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Hub\fa_grants\Data\Working tables\"/>
    </mc:Choice>
  </mc:AlternateContent>
  <xr:revisionPtr revIDLastSave="0" documentId="13_ncr:1_{0681EB12-0EB8-4440-958D-60069F6B5A4F}" xr6:coauthVersionLast="47" xr6:coauthVersionMax="47" xr10:uidLastSave="{00000000-0000-0000-0000-000000000000}"/>
  <bookViews>
    <workbookView xWindow="-330" yWindow="-16320" windowWidth="29040" windowHeight="15720" activeTab="1" xr2:uid="{DF8FEA54-7424-4ED5-A065-07E06B676E46}"/>
  </bookViews>
  <sheets>
    <sheet name="Control" sheetId="20" r:id="rId1"/>
    <sheet name="New South Wales" sheetId="17" r:id="rId2"/>
    <sheet name="Victoria" sheetId="10" r:id="rId3"/>
    <sheet name="Queensland" sheetId="26" r:id="rId4"/>
    <sheet name="Tasmania" sheetId="11" r:id="rId5"/>
    <sheet name="Western Australia" sheetId="9" r:id="rId6"/>
    <sheet name="South Australia" sheetId="19" r:id="rId7"/>
    <sheet name="Northern Territory" sheetId="18" r:id="rId8"/>
  </sheets>
  <definedNames>
    <definedName name="coin_cuttype" localSheetId="7" hidden="1">1</definedName>
    <definedName name="coin_dualtol" localSheetId="7" hidden="1">0.0000001</definedName>
    <definedName name="coin_heurs" localSheetId="7" hidden="1">1</definedName>
    <definedName name="coin_integerpresolve" localSheetId="7" hidden="1">1</definedName>
    <definedName name="coin_presolve1" localSheetId="7" hidden="1">1</definedName>
    <definedName name="coin_primaltol" localSheetId="7" hidden="1">0.0000001</definedName>
    <definedName name="solver_adj" localSheetId="6" hidden="1">'South Australia'!$O$4:$O$8</definedName>
    <definedName name="solver_adj" localSheetId="2" hidden="1">Victoria!#REF!</definedName>
    <definedName name="solver_adj1" localSheetId="6" hidden="1">'South Australia'!$O$11</definedName>
    <definedName name="solver_adj10" localSheetId="6" hidden="1">'South Australia'!$O$53:$O$59</definedName>
    <definedName name="solver_adj11" localSheetId="6" hidden="1">'South Australia'!$O$61:$O$62</definedName>
    <definedName name="solver_adj12" localSheetId="6" hidden="1">'South Australia'!$O$64</definedName>
    <definedName name="solver_adj13" localSheetId="6" hidden="1">'South Australia'!$O$66:$O$69</definedName>
    <definedName name="solver_adj2" localSheetId="6" hidden="1">'South Australia'!$O$13:$O$23</definedName>
    <definedName name="solver_adj3" localSheetId="6" hidden="1">'South Australia'!$O$25:$O$27</definedName>
    <definedName name="solver_adj4" localSheetId="6" hidden="1">'South Australia'!$O$29:$O$31</definedName>
    <definedName name="solver_adj5" localSheetId="6" hidden="1">'South Australia'!$O$33</definedName>
    <definedName name="solver_adj6" localSheetId="6" hidden="1">'South Australia'!$O$35:$O$40</definedName>
    <definedName name="solver_adj7" localSheetId="6" hidden="1">'South Australia'!$O$42:$O$45</definedName>
    <definedName name="solver_adj8" localSheetId="6" hidden="1">'South Australia'!$O$47:$O$49</definedName>
    <definedName name="solver_adj9" localSheetId="6" hidden="1">'South Australia'!$O$51</definedName>
    <definedName name="solver_cvg" localSheetId="7" hidden="1">0.0001</definedName>
    <definedName name="solver_eng" localSheetId="0" hidden="1">0</definedName>
    <definedName name="solver_eng" localSheetId="1" hidden="1">0</definedName>
    <definedName name="solver_eng" localSheetId="7" hidden="1">0</definedName>
    <definedName name="solver_eng" localSheetId="3" hidden="1">0</definedName>
    <definedName name="solver_eng" localSheetId="6" hidden="1">0</definedName>
    <definedName name="solver_eng" localSheetId="4" hidden="1">0</definedName>
    <definedName name="solver_eng" localSheetId="2" hidden="1">0</definedName>
    <definedName name="solver_eng" localSheetId="5" hidden="1">0</definedName>
    <definedName name="solver_est" localSheetId="7" hidden="1">1</definedName>
    <definedName name="solver_kiv" localSheetId="7" hidden="1">2E+30</definedName>
    <definedName name="solver_lhs1" localSheetId="7" hidden="1">'Northern Territory'!$W$2:$W$18</definedName>
    <definedName name="solver_lhs1" localSheetId="6" hidden="1">'South Australia'!$Y$22</definedName>
    <definedName name="solver_lhs1" localSheetId="2" hidden="1">Victoria!$N$3:$N$80</definedName>
    <definedName name="solver_lhs2" localSheetId="7" hidden="1">'Northern Territory'!$R$2:$R$18</definedName>
    <definedName name="solver_lhs2" localSheetId="6" hidden="1">'South Australia'!$Y$23</definedName>
    <definedName name="solver_lhs3" localSheetId="7" hidden="1">'Northern Territory'!$R$2:$R$18</definedName>
    <definedName name="solver_lhs4" localSheetId="6" hidden="1">'South Australia'!#REF!</definedName>
    <definedName name="solver_lhs5" localSheetId="6" hidden="1">'South Australia'!$Y$20</definedName>
    <definedName name="solver_mni" localSheetId="7" hidden="1">30</definedName>
    <definedName name="solver_mrt" localSheetId="7" hidden="1">0.075</definedName>
    <definedName name="solver_msl" localSheetId="7" hidden="1">0</definedName>
    <definedName name="solver_neg" localSheetId="7" hidden="1">1</definedName>
    <definedName name="solver_neg" localSheetId="6" hidden="1">1</definedName>
    <definedName name="solver_neg" localSheetId="2" hidden="1">1</definedName>
    <definedName name="solver_ntr" localSheetId="6" hidden="1">2</definedName>
    <definedName name="solver_num" localSheetId="7" hidden="1">0</definedName>
    <definedName name="solver_num" localSheetId="6" hidden="1">2</definedName>
    <definedName name="solver_num" localSheetId="2" hidden="1">1</definedName>
    <definedName name="solver_nwt" localSheetId="7" hidden="1">1</definedName>
    <definedName name="solver_opt" localSheetId="6" hidden="1">'South Australia'!$Y$19</definedName>
    <definedName name="solver_opt" localSheetId="2" hidden="1">Victoria!$N$2</definedName>
    <definedName name="solver_pre" localSheetId="7" hidden="1">0.000001</definedName>
    <definedName name="solver_rbv" localSheetId="7" hidden="1">1</definedName>
    <definedName name="solver_rel1" localSheetId="7" hidden="1">3</definedName>
    <definedName name="solver_rel1" localSheetId="6" hidden="1">3</definedName>
    <definedName name="solver_rel1" localSheetId="2" hidden="1">2</definedName>
    <definedName name="solver_rel2" localSheetId="7" hidden="1">3</definedName>
    <definedName name="solver_rel2" localSheetId="6" hidden="1">1</definedName>
    <definedName name="solver_rel3" localSheetId="7" hidden="1">3</definedName>
    <definedName name="solver_rel3" localSheetId="6" hidden="1">1</definedName>
    <definedName name="solver_rel4" localSheetId="6" hidden="1">3</definedName>
    <definedName name="solver_rel5" localSheetId="6" hidden="1">2</definedName>
    <definedName name="solver_rhs1" localSheetId="7" hidden="1">-5</definedName>
    <definedName name="solver_rhs1" localSheetId="6" hidden="1">-15</definedName>
    <definedName name="solver_rhs1" localSheetId="2" hidden="1">0</definedName>
    <definedName name="solver_rhs2" localSheetId="7" hidden="1">'Northern Territory'!$AA$23</definedName>
    <definedName name="solver_rhs2" localSheetId="6" hidden="1">30</definedName>
    <definedName name="solver_rhs3" localSheetId="7" hidden="1">'Northern Territory'!$AA$23</definedName>
    <definedName name="solver_rhs3" localSheetId="6" hidden="1">'South Australia'!$Y$21</definedName>
    <definedName name="solver_rhs4" localSheetId="6" hidden="1">'South Australia'!$Y$22</definedName>
    <definedName name="solver_rhs5" localSheetId="6" hidden="1">'South Australia'!$Y$5</definedName>
    <definedName name="solver_rlx" localSheetId="7" hidden="1">0</definedName>
    <definedName name="solver_rxc1" localSheetId="6" hidden="1">1</definedName>
    <definedName name="solver_rxc3" localSheetId="6" hidden="1">1</definedName>
    <definedName name="solver_rxv" localSheetId="7" hidden="1">1</definedName>
    <definedName name="solver_rxv" localSheetId="6" hidden="1">1</definedName>
    <definedName name="solver_rxv" localSheetId="2" hidden="1">1</definedName>
    <definedName name="solver_rxv1" localSheetId="6" hidden="1">1</definedName>
    <definedName name="solver_rxv10" localSheetId="6" hidden="1">1</definedName>
    <definedName name="solver_rxv11" localSheetId="6" hidden="1">1</definedName>
    <definedName name="solver_rxv12" localSheetId="6" hidden="1">1</definedName>
    <definedName name="solver_rxv13" localSheetId="6" hidden="1">1</definedName>
    <definedName name="solver_rxv2" localSheetId="6" hidden="1">1</definedName>
    <definedName name="solver_rxv3" localSheetId="6" hidden="1">1</definedName>
    <definedName name="solver_rxv4" localSheetId="6" hidden="1">1</definedName>
    <definedName name="solver_rxv5" localSheetId="6" hidden="1">1</definedName>
    <definedName name="solver_rxv6" localSheetId="6" hidden="1">1</definedName>
    <definedName name="solver_rxv7" localSheetId="6" hidden="1">1</definedName>
    <definedName name="solver_rxv8" localSheetId="6" hidden="1">1</definedName>
    <definedName name="solver_rxv9" localSheetId="6" hidden="1">1</definedName>
    <definedName name="solver_scl" localSheetId="7" hidden="1">0</definedName>
    <definedName name="solver_tms" localSheetId="7" hidden="1">0</definedName>
    <definedName name="solver_tol" localSheetId="7" hidden="1">0</definedName>
    <definedName name="solver_typ" localSheetId="7" hidden="1">1</definedName>
    <definedName name="solver_typ" localSheetId="6" hidden="1">3</definedName>
    <definedName name="solver_typ" localSheetId="2" hidden="1">3</definedName>
    <definedName name="solver_val" localSheetId="7" hidden="1">0</definedName>
    <definedName name="solver_val" localSheetId="6" hidden="1">0</definedName>
    <definedName name="solver_val" localSheetId="2" hidden="1">0</definedName>
  </definedNames>
  <calcPr calcId="191029"/>
  <customWorkbookViews>
    <customWorkbookView name="dash" guid="{6F58EB3B-97F3-43AA-9269-CE0BCA6518E5}" maximized="1" xWindow="-30" yWindow="-1096" windowWidth="1952" windowHeight="1064" activeSheetId="2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7" l="1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09" i="17"/>
  <c r="J110" i="17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J123" i="17"/>
  <c r="J124" i="17"/>
  <c r="J125" i="17"/>
  <c r="J126" i="17"/>
  <c r="J127" i="17"/>
  <c r="J128" i="17"/>
  <c r="J129" i="17"/>
  <c r="J130" i="17"/>
  <c r="J131" i="17"/>
  <c r="J132" i="17"/>
  <c r="J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2" i="17"/>
  <c r="E3" i="17"/>
  <c r="E4" i="17"/>
  <c r="E5" i="17"/>
  <c r="E6" i="17"/>
  <c r="E7" i="17"/>
  <c r="E8" i="17"/>
  <c r="E9" i="17"/>
  <c r="E10" i="17"/>
  <c r="E11" i="17"/>
  <c r="E12" i="17"/>
  <c r="F12" i="17" s="1"/>
  <c r="E13" i="17"/>
  <c r="F13" i="17" s="1"/>
  <c r="E14" i="17"/>
  <c r="F14" i="17" s="1"/>
  <c r="E15" i="17"/>
  <c r="F15" i="17" s="1"/>
  <c r="E16" i="17"/>
  <c r="F16" i="17" s="1"/>
  <c r="E17" i="17"/>
  <c r="E18" i="17"/>
  <c r="E19" i="17"/>
  <c r="E20" i="17"/>
  <c r="E21" i="17"/>
  <c r="E22" i="17"/>
  <c r="E23" i="17"/>
  <c r="E24" i="17"/>
  <c r="E25" i="17"/>
  <c r="E26" i="17"/>
  <c r="F26" i="17" s="1"/>
  <c r="E27" i="17"/>
  <c r="F27" i="17" s="1"/>
  <c r="E28" i="17"/>
  <c r="F28" i="17" s="1"/>
  <c r="E29" i="17"/>
  <c r="F29" i="17" s="1"/>
  <c r="E30" i="17"/>
  <c r="F30" i="17" s="1"/>
  <c r="E31" i="17"/>
  <c r="E32" i="17"/>
  <c r="E33" i="17"/>
  <c r="E34" i="17"/>
  <c r="E35" i="17"/>
  <c r="E36" i="17"/>
  <c r="E37" i="17"/>
  <c r="E38" i="17"/>
  <c r="E39" i="17"/>
  <c r="E40" i="17"/>
  <c r="F40" i="17" s="1"/>
  <c r="E41" i="17"/>
  <c r="F41" i="17" s="1"/>
  <c r="E42" i="17"/>
  <c r="F42" i="17" s="1"/>
  <c r="E43" i="17"/>
  <c r="F43" i="17" s="1"/>
  <c r="E44" i="17"/>
  <c r="F44" i="17" s="1"/>
  <c r="E45" i="17"/>
  <c r="E46" i="17"/>
  <c r="E47" i="17"/>
  <c r="E48" i="17"/>
  <c r="E49" i="17"/>
  <c r="E50" i="17"/>
  <c r="E51" i="17"/>
  <c r="E52" i="17"/>
  <c r="E53" i="17"/>
  <c r="E54" i="17"/>
  <c r="F54" i="17" s="1"/>
  <c r="E55" i="17"/>
  <c r="F55" i="17" s="1"/>
  <c r="E56" i="17"/>
  <c r="F56" i="17" s="1"/>
  <c r="E57" i="17"/>
  <c r="F57" i="17" s="1"/>
  <c r="E58" i="17"/>
  <c r="F58" i="17" s="1"/>
  <c r="E59" i="17"/>
  <c r="E60" i="17"/>
  <c r="E61" i="17"/>
  <c r="E62" i="17"/>
  <c r="E63" i="17"/>
  <c r="E64" i="17"/>
  <c r="E65" i="17"/>
  <c r="E66" i="17"/>
  <c r="E67" i="17"/>
  <c r="E68" i="17"/>
  <c r="F68" i="17" s="1"/>
  <c r="E69" i="17"/>
  <c r="F69" i="17" s="1"/>
  <c r="E70" i="17"/>
  <c r="F70" i="17" s="1"/>
  <c r="E71" i="17"/>
  <c r="F71" i="17" s="1"/>
  <c r="E72" i="17"/>
  <c r="F72" i="17" s="1"/>
  <c r="E73" i="17"/>
  <c r="E74" i="17"/>
  <c r="E75" i="17"/>
  <c r="E76" i="17"/>
  <c r="E77" i="17"/>
  <c r="E78" i="17"/>
  <c r="E79" i="17"/>
  <c r="E80" i="17"/>
  <c r="E81" i="17"/>
  <c r="E82" i="17"/>
  <c r="F82" i="17" s="1"/>
  <c r="E83" i="17"/>
  <c r="F83" i="17" s="1"/>
  <c r="E84" i="17"/>
  <c r="F84" i="17" s="1"/>
  <c r="E85" i="17"/>
  <c r="F85" i="17" s="1"/>
  <c r="E86" i="17"/>
  <c r="F86" i="17" s="1"/>
  <c r="E87" i="17"/>
  <c r="E88" i="17"/>
  <c r="E89" i="17"/>
  <c r="E90" i="17"/>
  <c r="E91" i="17"/>
  <c r="E92" i="17"/>
  <c r="E93" i="17"/>
  <c r="E94" i="17"/>
  <c r="E95" i="17"/>
  <c r="E96" i="17"/>
  <c r="F96" i="17" s="1"/>
  <c r="E97" i="17"/>
  <c r="F97" i="17" s="1"/>
  <c r="E98" i="17"/>
  <c r="F98" i="17" s="1"/>
  <c r="E99" i="17"/>
  <c r="F99" i="17" s="1"/>
  <c r="E100" i="17"/>
  <c r="F100" i="17" s="1"/>
  <c r="E101" i="17"/>
  <c r="E102" i="17"/>
  <c r="E103" i="17"/>
  <c r="E104" i="17"/>
  <c r="E105" i="17"/>
  <c r="E106" i="17"/>
  <c r="E107" i="17"/>
  <c r="E108" i="17"/>
  <c r="E109" i="17"/>
  <c r="E110" i="17"/>
  <c r="F110" i="17" s="1"/>
  <c r="E111" i="17"/>
  <c r="F111" i="17" s="1"/>
  <c r="E112" i="17"/>
  <c r="F112" i="17" s="1"/>
  <c r="E113" i="17"/>
  <c r="F113" i="17" s="1"/>
  <c r="E114" i="17"/>
  <c r="F114" i="17" s="1"/>
  <c r="E115" i="17"/>
  <c r="E116" i="17"/>
  <c r="E117" i="17"/>
  <c r="E118" i="17"/>
  <c r="E119" i="17"/>
  <c r="E120" i="17"/>
  <c r="E121" i="17"/>
  <c r="E122" i="17"/>
  <c r="E123" i="17"/>
  <c r="E124" i="17"/>
  <c r="F124" i="17" s="1"/>
  <c r="E125" i="17"/>
  <c r="F125" i="17" s="1"/>
  <c r="E126" i="17"/>
  <c r="F126" i="17" s="1"/>
  <c r="E127" i="17"/>
  <c r="F127" i="17" s="1"/>
  <c r="E128" i="17"/>
  <c r="F128" i="17" s="1"/>
  <c r="E129" i="17"/>
  <c r="E130" i="17"/>
  <c r="E131" i="17"/>
  <c r="E132" i="17"/>
  <c r="E2" i="17"/>
  <c r="F2" i="17" s="1"/>
  <c r="F3" i="17"/>
  <c r="F4" i="17"/>
  <c r="F5" i="17"/>
  <c r="F6" i="17"/>
  <c r="F7" i="17"/>
  <c r="F8" i="17"/>
  <c r="F9" i="17"/>
  <c r="F10" i="17"/>
  <c r="F11" i="17"/>
  <c r="F17" i="17"/>
  <c r="F18" i="17"/>
  <c r="F19" i="17"/>
  <c r="F20" i="17"/>
  <c r="F21" i="17"/>
  <c r="F22" i="17"/>
  <c r="F23" i="17"/>
  <c r="F24" i="17"/>
  <c r="F25" i="17"/>
  <c r="F31" i="17"/>
  <c r="F32" i="17"/>
  <c r="F33" i="17"/>
  <c r="F34" i="17"/>
  <c r="F35" i="17"/>
  <c r="F36" i="17"/>
  <c r="F37" i="17"/>
  <c r="F38" i="17"/>
  <c r="F39" i="17"/>
  <c r="F45" i="17"/>
  <c r="F46" i="17"/>
  <c r="F47" i="17"/>
  <c r="F48" i="17"/>
  <c r="F49" i="17"/>
  <c r="F50" i="17"/>
  <c r="F51" i="17"/>
  <c r="F52" i="17"/>
  <c r="F53" i="17"/>
  <c r="F59" i="17"/>
  <c r="F60" i="17"/>
  <c r="F61" i="17"/>
  <c r="F62" i="17"/>
  <c r="F63" i="17"/>
  <c r="F64" i="17"/>
  <c r="F65" i="17"/>
  <c r="F66" i="17"/>
  <c r="F67" i="17"/>
  <c r="F73" i="17"/>
  <c r="F74" i="17"/>
  <c r="F75" i="17"/>
  <c r="F76" i="17"/>
  <c r="F77" i="17"/>
  <c r="F78" i="17"/>
  <c r="F79" i="17"/>
  <c r="F80" i="17"/>
  <c r="F81" i="17"/>
  <c r="F87" i="17"/>
  <c r="F88" i="17"/>
  <c r="F89" i="17"/>
  <c r="F90" i="17"/>
  <c r="F91" i="17"/>
  <c r="F92" i="17"/>
  <c r="F93" i="17"/>
  <c r="F94" i="17"/>
  <c r="F95" i="17"/>
  <c r="F101" i="17"/>
  <c r="F102" i="17"/>
  <c r="F103" i="17"/>
  <c r="F104" i="17"/>
  <c r="F105" i="17"/>
  <c r="F106" i="17"/>
  <c r="F107" i="17"/>
  <c r="F108" i="17"/>
  <c r="F109" i="17"/>
  <c r="F115" i="17"/>
  <c r="F116" i="17"/>
  <c r="F117" i="17"/>
  <c r="F118" i="17"/>
  <c r="F119" i="17"/>
  <c r="F120" i="17"/>
  <c r="F121" i="17"/>
  <c r="F122" i="17"/>
  <c r="F123" i="17"/>
  <c r="F129" i="17"/>
  <c r="F130" i="17"/>
  <c r="F131" i="17"/>
  <c r="F132" i="17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2" i="11"/>
  <c r="G34" i="11"/>
  <c r="P3" i="18" l="1"/>
  <c r="P4" i="18"/>
  <c r="P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2" i="18"/>
  <c r="T3" i="19"/>
  <c r="T4" i="19"/>
  <c r="T5" i="19"/>
  <c r="T6" i="19"/>
  <c r="T7" i="19"/>
  <c r="T8" i="19"/>
  <c r="T9" i="19"/>
  <c r="T10" i="19"/>
  <c r="T11" i="19"/>
  <c r="T12" i="19"/>
  <c r="T13" i="19"/>
  <c r="T14" i="19"/>
  <c r="T15" i="19"/>
  <c r="T16" i="19"/>
  <c r="T17" i="19"/>
  <c r="T18" i="19"/>
  <c r="T19" i="19"/>
  <c r="T20" i="19"/>
  <c r="T21" i="19"/>
  <c r="T22" i="19"/>
  <c r="T23" i="19"/>
  <c r="T24" i="19"/>
  <c r="T25" i="19"/>
  <c r="T26" i="19"/>
  <c r="T27" i="19"/>
  <c r="T28" i="19"/>
  <c r="T29" i="19"/>
  <c r="T30" i="19"/>
  <c r="T31" i="19"/>
  <c r="T32" i="19"/>
  <c r="T33" i="19"/>
  <c r="T34" i="19"/>
  <c r="T35" i="19"/>
  <c r="T36" i="19"/>
  <c r="T37" i="19"/>
  <c r="T38" i="19"/>
  <c r="T39" i="19"/>
  <c r="T40" i="19"/>
  <c r="T41" i="19"/>
  <c r="T42" i="19"/>
  <c r="T43" i="19"/>
  <c r="T44" i="19"/>
  <c r="T45" i="19"/>
  <c r="T46" i="19"/>
  <c r="T47" i="19"/>
  <c r="T48" i="19"/>
  <c r="T49" i="19"/>
  <c r="T50" i="19"/>
  <c r="T51" i="19"/>
  <c r="T52" i="19"/>
  <c r="T53" i="19"/>
  <c r="T54" i="19"/>
  <c r="T55" i="19"/>
  <c r="T56" i="19"/>
  <c r="T57" i="19"/>
  <c r="T58" i="19"/>
  <c r="T59" i="19"/>
  <c r="T60" i="19"/>
  <c r="T61" i="19"/>
  <c r="T62" i="19"/>
  <c r="T63" i="19"/>
  <c r="T64" i="19"/>
  <c r="T65" i="19"/>
  <c r="T66" i="19"/>
  <c r="T67" i="19"/>
  <c r="T68" i="19"/>
  <c r="T69" i="19"/>
  <c r="T2" i="19"/>
  <c r="Y8" i="19"/>
  <c r="J3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2" i="26"/>
  <c r="S10" i="26"/>
  <c r="S8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3" i="26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2" i="26"/>
  <c r="S5" i="26" l="1"/>
  <c r="G3" i="26"/>
  <c r="G4" i="26"/>
  <c r="G5" i="26"/>
  <c r="G6" i="26"/>
  <c r="G7" i="26"/>
  <c r="G8" i="26"/>
  <c r="G9" i="26"/>
  <c r="G10" i="26"/>
  <c r="G11" i="26"/>
  <c r="G12" i="26"/>
  <c r="G13" i="26"/>
  <c r="G14" i="26"/>
  <c r="G15" i="26"/>
  <c r="G16" i="26"/>
  <c r="G17" i="26"/>
  <c r="G18" i="26"/>
  <c r="G19" i="26"/>
  <c r="G20" i="26"/>
  <c r="G21" i="2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G43" i="26"/>
  <c r="G44" i="26"/>
  <c r="G45" i="26"/>
  <c r="G46" i="26"/>
  <c r="G47" i="26"/>
  <c r="G48" i="26"/>
  <c r="G49" i="26"/>
  <c r="G50" i="26"/>
  <c r="G51" i="26"/>
  <c r="G52" i="26"/>
  <c r="G53" i="26"/>
  <c r="G54" i="26"/>
  <c r="G55" i="26"/>
  <c r="G56" i="26"/>
  <c r="G57" i="26"/>
  <c r="G58" i="26"/>
  <c r="G59" i="26"/>
  <c r="G60" i="26"/>
  <c r="G61" i="26"/>
  <c r="G62" i="26"/>
  <c r="G63" i="26"/>
  <c r="G64" i="26"/>
  <c r="G65" i="26"/>
  <c r="G66" i="26"/>
  <c r="G67" i="26"/>
  <c r="G68" i="26"/>
  <c r="G69" i="26"/>
  <c r="G70" i="26"/>
  <c r="G71" i="26"/>
  <c r="G72" i="26"/>
  <c r="G73" i="26"/>
  <c r="G74" i="26"/>
  <c r="G75" i="26"/>
  <c r="G76" i="26"/>
  <c r="G77" i="26"/>
  <c r="G78" i="26"/>
  <c r="G2" i="26"/>
  <c r="X3" i="18"/>
  <c r="X4" i="18"/>
  <c r="X5" i="18"/>
  <c r="X6" i="18"/>
  <c r="X7" i="18"/>
  <c r="X8" i="18"/>
  <c r="X9" i="18"/>
  <c r="X10" i="18"/>
  <c r="X11" i="18"/>
  <c r="X12" i="18"/>
  <c r="X13" i="18"/>
  <c r="X14" i="18"/>
  <c r="X15" i="18"/>
  <c r="X16" i="18"/>
  <c r="X17" i="18"/>
  <c r="X18" i="18"/>
  <c r="X2" i="18"/>
  <c r="J2" i="18"/>
  <c r="H3" i="26" l="1"/>
  <c r="I3" i="26" s="1"/>
  <c r="H27" i="26"/>
  <c r="I27" i="26" s="1"/>
  <c r="H51" i="26"/>
  <c r="H75" i="26"/>
  <c r="I75" i="26" s="1"/>
  <c r="H5" i="26"/>
  <c r="I5" i="26" s="1"/>
  <c r="H53" i="26"/>
  <c r="I53" i="26" s="1"/>
  <c r="H77" i="26"/>
  <c r="H30" i="26"/>
  <c r="H78" i="26"/>
  <c r="I78" i="26" s="1"/>
  <c r="H7" i="26"/>
  <c r="I7" i="26" s="1"/>
  <c r="H55" i="26"/>
  <c r="I55" i="26" s="1"/>
  <c r="H8" i="26"/>
  <c r="I8" i="26" s="1"/>
  <c r="H56" i="26"/>
  <c r="I56" i="26" s="1"/>
  <c r="H9" i="26"/>
  <c r="I9" i="26" s="1"/>
  <c r="H57" i="26"/>
  <c r="I57" i="26" s="1"/>
  <c r="H34" i="26"/>
  <c r="I34" i="26" s="1"/>
  <c r="H35" i="26"/>
  <c r="I35" i="26" s="1"/>
  <c r="H12" i="26"/>
  <c r="I12" i="26" s="1"/>
  <c r="H60" i="26"/>
  <c r="I60" i="26" s="1"/>
  <c r="H13" i="26"/>
  <c r="I13" i="26" s="1"/>
  <c r="H14" i="26"/>
  <c r="I14" i="26" s="1"/>
  <c r="H62" i="26"/>
  <c r="I62" i="26" s="1"/>
  <c r="H39" i="26"/>
  <c r="I39" i="26" s="1"/>
  <c r="H16" i="26"/>
  <c r="I16" i="26" s="1"/>
  <c r="H64" i="26"/>
  <c r="I64" i="26" s="1"/>
  <c r="H17" i="26"/>
  <c r="I17" i="26" s="1"/>
  <c r="H65" i="26"/>
  <c r="I65" i="26" s="1"/>
  <c r="H42" i="26"/>
  <c r="I42" i="26" s="1"/>
  <c r="H19" i="26"/>
  <c r="I19" i="26" s="1"/>
  <c r="H67" i="26"/>
  <c r="I67" i="26" s="1"/>
  <c r="H44" i="26"/>
  <c r="H21" i="26"/>
  <c r="I21" i="26" s="1"/>
  <c r="H69" i="26"/>
  <c r="I69" i="26" s="1"/>
  <c r="H46" i="26"/>
  <c r="I46" i="26" s="1"/>
  <c r="H23" i="26"/>
  <c r="I23" i="26" s="1"/>
  <c r="H71" i="26"/>
  <c r="I71" i="26" s="1"/>
  <c r="H24" i="26"/>
  <c r="I24" i="26" s="1"/>
  <c r="H25" i="26"/>
  <c r="I25" i="26" s="1"/>
  <c r="H73" i="26"/>
  <c r="I73" i="26" s="1"/>
  <c r="H50" i="26"/>
  <c r="I50" i="26" s="1"/>
  <c r="H4" i="26"/>
  <c r="I4" i="26" s="1"/>
  <c r="H28" i="26"/>
  <c r="I28" i="26" s="1"/>
  <c r="H52" i="26"/>
  <c r="I52" i="26" s="1"/>
  <c r="H76" i="26"/>
  <c r="I76" i="26" s="1"/>
  <c r="H29" i="26"/>
  <c r="I29" i="26" s="1"/>
  <c r="H6" i="26"/>
  <c r="I6" i="26" s="1"/>
  <c r="H54" i="26"/>
  <c r="I54" i="26" s="1"/>
  <c r="H31" i="26"/>
  <c r="I31" i="26" s="1"/>
  <c r="H2" i="26"/>
  <c r="I2" i="26" s="1"/>
  <c r="H32" i="26"/>
  <c r="H33" i="26"/>
  <c r="I33" i="26" s="1"/>
  <c r="H10" i="26"/>
  <c r="I10" i="26" s="1"/>
  <c r="H58" i="26"/>
  <c r="I58" i="26" s="1"/>
  <c r="H11" i="26"/>
  <c r="I11" i="26" s="1"/>
  <c r="H59" i="26"/>
  <c r="I59" i="26" s="1"/>
  <c r="H36" i="26"/>
  <c r="I36" i="26" s="1"/>
  <c r="H37" i="26"/>
  <c r="I37" i="26" s="1"/>
  <c r="H61" i="26"/>
  <c r="I61" i="26" s="1"/>
  <c r="H38" i="26"/>
  <c r="I38" i="26" s="1"/>
  <c r="H15" i="26"/>
  <c r="I15" i="26" s="1"/>
  <c r="H63" i="26"/>
  <c r="I63" i="26" s="1"/>
  <c r="H40" i="26"/>
  <c r="I40" i="26" s="1"/>
  <c r="H41" i="26"/>
  <c r="I41" i="26" s="1"/>
  <c r="H18" i="26"/>
  <c r="I18" i="26" s="1"/>
  <c r="H66" i="26"/>
  <c r="I66" i="26" s="1"/>
  <c r="H43" i="26"/>
  <c r="I43" i="26" s="1"/>
  <c r="H20" i="26"/>
  <c r="I20" i="26" s="1"/>
  <c r="H68" i="26"/>
  <c r="I68" i="26" s="1"/>
  <c r="H45" i="26"/>
  <c r="I45" i="26" s="1"/>
  <c r="H22" i="26"/>
  <c r="I22" i="26" s="1"/>
  <c r="H70" i="26"/>
  <c r="I70" i="26" s="1"/>
  <c r="H47" i="26"/>
  <c r="I47" i="26" s="1"/>
  <c r="H48" i="26"/>
  <c r="I48" i="26" s="1"/>
  <c r="H72" i="26"/>
  <c r="I72" i="26" s="1"/>
  <c r="H49" i="26"/>
  <c r="I49" i="26" s="1"/>
  <c r="H26" i="26"/>
  <c r="I26" i="26" s="1"/>
  <c r="H74" i="26"/>
  <c r="I74" i="26" s="1"/>
  <c r="S7" i="26"/>
  <c r="S6" i="26" s="1"/>
  <c r="K36" i="26" s="1"/>
  <c r="I32" i="26"/>
  <c r="I44" i="26"/>
  <c r="I30" i="26"/>
  <c r="I77" i="26"/>
  <c r="I51" i="26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2" i="18"/>
  <c r="M16" i="18" l="1"/>
  <c r="M15" i="18"/>
  <c r="M12" i="18"/>
  <c r="M11" i="18"/>
  <c r="M14" i="18"/>
  <c r="M13" i="18"/>
  <c r="M10" i="18"/>
  <c r="M2" i="18"/>
  <c r="M18" i="18"/>
  <c r="M17" i="18"/>
  <c r="K59" i="26"/>
  <c r="K34" i="26"/>
  <c r="K33" i="26"/>
  <c r="K4" i="26"/>
  <c r="K6" i="26"/>
  <c r="K5" i="26"/>
  <c r="K40" i="26"/>
  <c r="K63" i="26"/>
  <c r="K2" i="26"/>
  <c r="K39" i="26"/>
  <c r="K62" i="26"/>
  <c r="K9" i="26"/>
  <c r="K23" i="26"/>
  <c r="K75" i="26"/>
  <c r="K51" i="26"/>
  <c r="K21" i="26"/>
  <c r="K72" i="26"/>
  <c r="K19" i="26"/>
  <c r="K47" i="26"/>
  <c r="K65" i="26"/>
  <c r="K12" i="26"/>
  <c r="K60" i="26"/>
  <c r="K17" i="26"/>
  <c r="K64" i="26"/>
  <c r="K31" i="26"/>
  <c r="K26" i="26"/>
  <c r="K10" i="26"/>
  <c r="K44" i="26"/>
  <c r="K38" i="26"/>
  <c r="K53" i="26"/>
  <c r="K37" i="26"/>
  <c r="K18" i="26"/>
  <c r="K56" i="26"/>
  <c r="K70" i="26"/>
  <c r="K32" i="26"/>
  <c r="K7" i="26"/>
  <c r="K46" i="26"/>
  <c r="K3" i="26"/>
  <c r="K35" i="26"/>
  <c r="K69" i="26"/>
  <c r="K78" i="26"/>
  <c r="K30" i="26"/>
  <c r="K16" i="26"/>
  <c r="K54" i="26"/>
  <c r="K73" i="26"/>
  <c r="K58" i="26"/>
  <c r="K15" i="26"/>
  <c r="K77" i="26"/>
  <c r="K49" i="26"/>
  <c r="K29" i="26"/>
  <c r="K43" i="26"/>
  <c r="K76" i="26"/>
  <c r="K20" i="26"/>
  <c r="K57" i="26"/>
  <c r="K66" i="26"/>
  <c r="K22" i="26"/>
  <c r="K48" i="26"/>
  <c r="K28" i="26"/>
  <c r="K13" i="26"/>
  <c r="K74" i="26"/>
  <c r="K71" i="26"/>
  <c r="K27" i="26"/>
  <c r="K41" i="26"/>
  <c r="K50" i="26"/>
  <c r="K55" i="26"/>
  <c r="K45" i="26"/>
  <c r="K11" i="26"/>
  <c r="K68" i="26"/>
  <c r="K25" i="26"/>
  <c r="K67" i="26"/>
  <c r="K61" i="26"/>
  <c r="K14" i="26"/>
  <c r="K24" i="26"/>
  <c r="K8" i="26"/>
  <c r="K42" i="26"/>
  <c r="K52" i="26"/>
  <c r="M9" i="18"/>
  <c r="M8" i="18"/>
  <c r="M7" i="18"/>
  <c r="M6" i="18"/>
  <c r="M5" i="18"/>
  <c r="M4" i="18"/>
  <c r="M3" i="18"/>
  <c r="AA11" i="18" s="1"/>
  <c r="O15" i="18" s="1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2" i="18"/>
  <c r="J3" i="18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AA5" i="18"/>
  <c r="AA8" i="18"/>
  <c r="AA6" i="18"/>
  <c r="H8" i="10"/>
  <c r="O4" i="18" l="1"/>
  <c r="O18" i="18"/>
  <c r="O16" i="18"/>
  <c r="O6" i="18"/>
  <c r="O17" i="18"/>
  <c r="O8" i="18"/>
  <c r="O2" i="18"/>
  <c r="O5" i="18"/>
  <c r="O10" i="18"/>
  <c r="O13" i="18"/>
  <c r="O14" i="18"/>
  <c r="O11" i="18"/>
  <c r="O7" i="18"/>
  <c r="O3" i="18"/>
  <c r="O9" i="18"/>
  <c r="O12" i="18"/>
  <c r="N10" i="18"/>
  <c r="S9" i="26"/>
  <c r="N16" i="18"/>
  <c r="N3" i="18"/>
  <c r="N4" i="18"/>
  <c r="N5" i="18"/>
  <c r="N6" i="18"/>
  <c r="N7" i="18"/>
  <c r="N8" i="18"/>
  <c r="N9" i="18"/>
  <c r="N11" i="18"/>
  <c r="N12" i="18"/>
  <c r="N13" i="18"/>
  <c r="N14" i="18"/>
  <c r="N15" i="18"/>
  <c r="N17" i="18"/>
  <c r="N18" i="18"/>
  <c r="N2" i="18"/>
  <c r="Y5" i="19"/>
  <c r="Y7" i="19"/>
  <c r="Y6" i="19" s="1"/>
  <c r="I3" i="19"/>
  <c r="L3" i="19" s="1"/>
  <c r="I4" i="19"/>
  <c r="L4" i="19" s="1"/>
  <c r="I5" i="19"/>
  <c r="L5" i="19" s="1"/>
  <c r="I6" i="19"/>
  <c r="L6" i="19" s="1"/>
  <c r="I7" i="19"/>
  <c r="L7" i="19" s="1"/>
  <c r="I8" i="19"/>
  <c r="L8" i="19" s="1"/>
  <c r="I9" i="19"/>
  <c r="L9" i="19" s="1"/>
  <c r="I10" i="19"/>
  <c r="L10" i="19" s="1"/>
  <c r="I11" i="19"/>
  <c r="L11" i="19" s="1"/>
  <c r="I12" i="19"/>
  <c r="L12" i="19" s="1"/>
  <c r="I13" i="19"/>
  <c r="L13" i="19" s="1"/>
  <c r="I14" i="19"/>
  <c r="L14" i="19" s="1"/>
  <c r="I15" i="19"/>
  <c r="L15" i="19" s="1"/>
  <c r="I16" i="19"/>
  <c r="L16" i="19" s="1"/>
  <c r="I17" i="19"/>
  <c r="L17" i="19" s="1"/>
  <c r="I18" i="19"/>
  <c r="L18" i="19" s="1"/>
  <c r="I19" i="19"/>
  <c r="L19" i="19" s="1"/>
  <c r="I20" i="19"/>
  <c r="L20" i="19" s="1"/>
  <c r="I21" i="19"/>
  <c r="L21" i="19" s="1"/>
  <c r="I22" i="19"/>
  <c r="L22" i="19" s="1"/>
  <c r="I23" i="19"/>
  <c r="L23" i="19" s="1"/>
  <c r="I24" i="19"/>
  <c r="L24" i="19" s="1"/>
  <c r="I25" i="19"/>
  <c r="L25" i="19" s="1"/>
  <c r="I26" i="19"/>
  <c r="L26" i="19" s="1"/>
  <c r="I27" i="19"/>
  <c r="L27" i="19" s="1"/>
  <c r="I28" i="19"/>
  <c r="L28" i="19" s="1"/>
  <c r="I29" i="19"/>
  <c r="L29" i="19" s="1"/>
  <c r="I30" i="19"/>
  <c r="L30" i="19" s="1"/>
  <c r="I31" i="19"/>
  <c r="L31" i="19" s="1"/>
  <c r="I32" i="19"/>
  <c r="L32" i="19" s="1"/>
  <c r="I33" i="19"/>
  <c r="L33" i="19" s="1"/>
  <c r="I34" i="19"/>
  <c r="L34" i="19" s="1"/>
  <c r="I35" i="19"/>
  <c r="L35" i="19" s="1"/>
  <c r="I36" i="19"/>
  <c r="L36" i="19" s="1"/>
  <c r="I37" i="19"/>
  <c r="L37" i="19" s="1"/>
  <c r="I38" i="19"/>
  <c r="L38" i="19" s="1"/>
  <c r="I39" i="19"/>
  <c r="L39" i="19" s="1"/>
  <c r="I40" i="19"/>
  <c r="L40" i="19" s="1"/>
  <c r="I41" i="19"/>
  <c r="L41" i="19" s="1"/>
  <c r="I42" i="19"/>
  <c r="L42" i="19" s="1"/>
  <c r="I43" i="19"/>
  <c r="L43" i="19" s="1"/>
  <c r="I44" i="19"/>
  <c r="L44" i="19" s="1"/>
  <c r="I45" i="19"/>
  <c r="L45" i="19" s="1"/>
  <c r="I46" i="19"/>
  <c r="L46" i="19" s="1"/>
  <c r="I47" i="19"/>
  <c r="L47" i="19" s="1"/>
  <c r="I48" i="19"/>
  <c r="L48" i="19" s="1"/>
  <c r="I49" i="19"/>
  <c r="L49" i="19" s="1"/>
  <c r="I50" i="19"/>
  <c r="L50" i="19" s="1"/>
  <c r="I51" i="19"/>
  <c r="L51" i="19" s="1"/>
  <c r="I52" i="19"/>
  <c r="L52" i="19" s="1"/>
  <c r="I53" i="19"/>
  <c r="L53" i="19" s="1"/>
  <c r="I54" i="19"/>
  <c r="L54" i="19" s="1"/>
  <c r="I55" i="19"/>
  <c r="L55" i="19" s="1"/>
  <c r="I56" i="19"/>
  <c r="L56" i="19" s="1"/>
  <c r="I57" i="19"/>
  <c r="L57" i="19" s="1"/>
  <c r="I58" i="19"/>
  <c r="L58" i="19" s="1"/>
  <c r="I59" i="19"/>
  <c r="L59" i="19" s="1"/>
  <c r="I60" i="19"/>
  <c r="L60" i="19" s="1"/>
  <c r="I61" i="19"/>
  <c r="L61" i="19" s="1"/>
  <c r="I62" i="19"/>
  <c r="L62" i="19" s="1"/>
  <c r="I63" i="19"/>
  <c r="L63" i="19" s="1"/>
  <c r="I64" i="19"/>
  <c r="L64" i="19" s="1"/>
  <c r="I65" i="19"/>
  <c r="L65" i="19" s="1"/>
  <c r="I66" i="19"/>
  <c r="L66" i="19" s="1"/>
  <c r="I67" i="19"/>
  <c r="L67" i="19" s="1"/>
  <c r="I68" i="19"/>
  <c r="L68" i="19" s="1"/>
  <c r="I69" i="19"/>
  <c r="L69" i="19" s="1"/>
  <c r="I2" i="19"/>
  <c r="L2" i="19" s="1"/>
  <c r="AA6" i="9"/>
  <c r="R6" i="10"/>
  <c r="AA11" i="9"/>
  <c r="S19" i="9" s="1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2" i="9"/>
  <c r="AA7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2" i="9"/>
  <c r="AA5" i="9"/>
  <c r="AA8" i="9"/>
  <c r="T11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2" i="11"/>
  <c r="T5" i="11"/>
  <c r="T8" i="11"/>
  <c r="R8" i="10"/>
  <c r="M3" i="26" l="1"/>
  <c r="M28" i="26"/>
  <c r="M52" i="26"/>
  <c r="M5" i="26"/>
  <c r="M29" i="26"/>
  <c r="M53" i="26"/>
  <c r="M77" i="26"/>
  <c r="M6" i="26"/>
  <c r="M54" i="26"/>
  <c r="M78" i="26"/>
  <c r="O78" i="26" s="1"/>
  <c r="M7" i="26"/>
  <c r="M31" i="26"/>
  <c r="M55" i="26"/>
  <c r="M2" i="26"/>
  <c r="M8" i="26"/>
  <c r="M32" i="26"/>
  <c r="M56" i="26"/>
  <c r="M9" i="26"/>
  <c r="M33" i="26"/>
  <c r="M57" i="26"/>
  <c r="M10" i="26"/>
  <c r="M11" i="26"/>
  <c r="M35" i="26"/>
  <c r="M59" i="26"/>
  <c r="M12" i="26"/>
  <c r="M60" i="26"/>
  <c r="M13" i="26"/>
  <c r="M37" i="26"/>
  <c r="M14" i="26"/>
  <c r="M38" i="26"/>
  <c r="M62" i="26"/>
  <c r="M15" i="26"/>
  <c r="M63" i="26"/>
  <c r="M16" i="26"/>
  <c r="M40" i="26"/>
  <c r="M64" i="26"/>
  <c r="M17" i="26"/>
  <c r="M41" i="26"/>
  <c r="M18" i="26"/>
  <c r="M42" i="26"/>
  <c r="O42" i="26" s="1"/>
  <c r="M66" i="26"/>
  <c r="M20" i="26"/>
  <c r="M68" i="26"/>
  <c r="M69" i="26"/>
  <c r="M22" i="26"/>
  <c r="M70" i="26"/>
  <c r="M47" i="26"/>
  <c r="M24" i="26"/>
  <c r="M48" i="26"/>
  <c r="M72" i="26"/>
  <c r="M49" i="26"/>
  <c r="M73" i="26"/>
  <c r="M26" i="26"/>
  <c r="M74" i="26"/>
  <c r="M4" i="26"/>
  <c r="M34" i="26"/>
  <c r="M61" i="26"/>
  <c r="M39" i="26"/>
  <c r="M65" i="26"/>
  <c r="M43" i="26"/>
  <c r="M45" i="26"/>
  <c r="O45" i="26" s="1"/>
  <c r="M50" i="26"/>
  <c r="M25" i="26"/>
  <c r="M51" i="26"/>
  <c r="M58" i="26"/>
  <c r="M75" i="26"/>
  <c r="M36" i="26"/>
  <c r="M23" i="26"/>
  <c r="M27" i="26"/>
  <c r="M76" i="26"/>
  <c r="M21" i="26"/>
  <c r="M19" i="26"/>
  <c r="M67" i="26"/>
  <c r="M30" i="26"/>
  <c r="M44" i="26"/>
  <c r="M71" i="26"/>
  <c r="M46" i="26"/>
  <c r="J3" i="19"/>
  <c r="M3" i="19" s="1"/>
  <c r="J2" i="19"/>
  <c r="J5" i="19"/>
  <c r="J29" i="19"/>
  <c r="J53" i="19"/>
  <c r="J6" i="19"/>
  <c r="J30" i="19"/>
  <c r="J54" i="19"/>
  <c r="J7" i="19"/>
  <c r="J31" i="19"/>
  <c r="J55" i="19"/>
  <c r="J8" i="19"/>
  <c r="J32" i="19"/>
  <c r="M32" i="19" s="1"/>
  <c r="J56" i="19"/>
  <c r="J9" i="19"/>
  <c r="M9" i="19" s="1"/>
  <c r="J33" i="19"/>
  <c r="J57" i="19"/>
  <c r="J10" i="19"/>
  <c r="M10" i="19" s="1"/>
  <c r="J34" i="19"/>
  <c r="M34" i="19" s="1"/>
  <c r="J58" i="19"/>
  <c r="J11" i="19"/>
  <c r="J35" i="19"/>
  <c r="J59" i="19"/>
  <c r="J12" i="19"/>
  <c r="M12" i="19" s="1"/>
  <c r="J60" i="19"/>
  <c r="M60" i="19" s="1"/>
  <c r="J14" i="19"/>
  <c r="J62" i="19"/>
  <c r="J15" i="19"/>
  <c r="J40" i="19"/>
  <c r="J41" i="19"/>
  <c r="M41" i="19" s="1"/>
  <c r="J18" i="19"/>
  <c r="J66" i="19"/>
  <c r="J43" i="19"/>
  <c r="J67" i="19"/>
  <c r="J44" i="19"/>
  <c r="J45" i="19"/>
  <c r="J46" i="19"/>
  <c r="M46" i="19" s="1"/>
  <c r="J23" i="19"/>
  <c r="J48" i="19"/>
  <c r="J63" i="19"/>
  <c r="M63" i="19" s="1"/>
  <c r="J69" i="19"/>
  <c r="J49" i="19"/>
  <c r="J26" i="19"/>
  <c r="J36" i="19"/>
  <c r="J64" i="19"/>
  <c r="J42" i="19"/>
  <c r="J19" i="19"/>
  <c r="J20" i="19"/>
  <c r="J50" i="19"/>
  <c r="M50" i="19" s="1"/>
  <c r="J13" i="19"/>
  <c r="J37" i="19"/>
  <c r="J61" i="19"/>
  <c r="J38" i="19"/>
  <c r="J39" i="19"/>
  <c r="J16" i="19"/>
  <c r="J17" i="19"/>
  <c r="J65" i="19"/>
  <c r="M65" i="19" s="1"/>
  <c r="J68" i="19"/>
  <c r="J21" i="19"/>
  <c r="J22" i="19"/>
  <c r="J47" i="19"/>
  <c r="J24" i="19"/>
  <c r="M24" i="19" s="1"/>
  <c r="J25" i="19"/>
  <c r="Y11" i="19"/>
  <c r="K3" i="19" s="1"/>
  <c r="J52" i="19"/>
  <c r="M52" i="19" s="1"/>
  <c r="J28" i="19"/>
  <c r="M28" i="19" s="1"/>
  <c r="J4" i="19"/>
  <c r="J51" i="19"/>
  <c r="J27" i="19"/>
  <c r="R63" i="9"/>
  <c r="T63" i="9" s="1"/>
  <c r="R5" i="9"/>
  <c r="T5" i="9" s="1"/>
  <c r="R135" i="9"/>
  <c r="T135" i="9" s="1"/>
  <c r="R103" i="9"/>
  <c r="T103" i="9" s="1"/>
  <c r="R68" i="9"/>
  <c r="R37" i="9"/>
  <c r="T37" i="9" s="1"/>
  <c r="R4" i="9"/>
  <c r="T4" i="9" s="1"/>
  <c r="R134" i="9"/>
  <c r="T134" i="9" s="1"/>
  <c r="R102" i="9"/>
  <c r="T102" i="9" s="1"/>
  <c r="R64" i="9"/>
  <c r="T64" i="9" s="1"/>
  <c r="R31" i="9"/>
  <c r="T31" i="9" s="1"/>
  <c r="R128" i="9"/>
  <c r="T128" i="9" s="1"/>
  <c r="R105" i="9"/>
  <c r="T105" i="9" s="1"/>
  <c r="R93" i="9"/>
  <c r="R70" i="9"/>
  <c r="R94" i="9"/>
  <c r="R112" i="9"/>
  <c r="T112" i="9" s="1"/>
  <c r="U112" i="9" s="1"/>
  <c r="R39" i="9"/>
  <c r="T39" i="9" s="1"/>
  <c r="R47" i="9"/>
  <c r="R75" i="9"/>
  <c r="T75" i="9" s="1"/>
  <c r="U75" i="9" s="1"/>
  <c r="R13" i="9"/>
  <c r="T13" i="9" s="1"/>
  <c r="R111" i="9"/>
  <c r="T111" i="9" s="1"/>
  <c r="U111" i="9" s="1"/>
  <c r="R2" i="9"/>
  <c r="R62" i="9"/>
  <c r="T62" i="9" s="1"/>
  <c r="R126" i="9"/>
  <c r="T126" i="9" s="1"/>
  <c r="R60" i="9"/>
  <c r="T60" i="9" s="1"/>
  <c r="U60" i="9" s="1"/>
  <c r="I8" i="10"/>
  <c r="R79" i="9"/>
  <c r="T79" i="9" s="1"/>
  <c r="R8" i="9"/>
  <c r="T8" i="9" s="1"/>
  <c r="U8" i="9" s="1"/>
  <c r="R87" i="9"/>
  <c r="T87" i="9" s="1"/>
  <c r="R44" i="9"/>
  <c r="R110" i="9"/>
  <c r="T110" i="9" s="1"/>
  <c r="R41" i="9"/>
  <c r="T41" i="9" s="1"/>
  <c r="R108" i="9"/>
  <c r="T108" i="9" s="1"/>
  <c r="R6" i="9"/>
  <c r="T6" i="9" s="1"/>
  <c r="U6" i="9" s="1"/>
  <c r="R29" i="9"/>
  <c r="T29" i="9" s="1"/>
  <c r="R35" i="9"/>
  <c r="T35" i="9" s="1"/>
  <c r="R11" i="9"/>
  <c r="T11" i="9" s="1"/>
  <c r="R130" i="9"/>
  <c r="T130" i="9" s="1"/>
  <c r="R106" i="9"/>
  <c r="T106" i="9" s="1"/>
  <c r="R82" i="9"/>
  <c r="T82" i="9" s="1"/>
  <c r="R58" i="9"/>
  <c r="T58" i="9" s="1"/>
  <c r="R34" i="9"/>
  <c r="T34" i="9" s="1"/>
  <c r="R10" i="9"/>
  <c r="T10" i="9" s="1"/>
  <c r="U10" i="9" s="1"/>
  <c r="R96" i="9"/>
  <c r="S26" i="9"/>
  <c r="S121" i="9"/>
  <c r="S97" i="9"/>
  <c r="S73" i="9"/>
  <c r="S49" i="9"/>
  <c r="S25" i="9"/>
  <c r="S120" i="9"/>
  <c r="S96" i="9"/>
  <c r="S72" i="9"/>
  <c r="S48" i="9"/>
  <c r="S24" i="9"/>
  <c r="S119" i="9"/>
  <c r="S95" i="9"/>
  <c r="S71" i="9"/>
  <c r="S47" i="9"/>
  <c r="S23" i="9"/>
  <c r="S118" i="9"/>
  <c r="S94" i="9"/>
  <c r="S70" i="9"/>
  <c r="S46" i="9"/>
  <c r="S22" i="9"/>
  <c r="S117" i="9"/>
  <c r="S93" i="9"/>
  <c r="S69" i="9"/>
  <c r="S45" i="9"/>
  <c r="S21" i="9"/>
  <c r="S116" i="9"/>
  <c r="S92" i="9"/>
  <c r="S68" i="9"/>
  <c r="S44" i="9"/>
  <c r="S20" i="9"/>
  <c r="S2" i="9"/>
  <c r="S115" i="9"/>
  <c r="S91" i="9"/>
  <c r="S67" i="9"/>
  <c r="S43" i="9"/>
  <c r="I11" i="10"/>
  <c r="T15" i="11"/>
  <c r="I36" i="10"/>
  <c r="I35" i="10"/>
  <c r="I12" i="10"/>
  <c r="I10" i="10"/>
  <c r="I9" i="10"/>
  <c r="I62" i="10"/>
  <c r="I60" i="10"/>
  <c r="I59" i="10"/>
  <c r="I58" i="10"/>
  <c r="I57" i="10"/>
  <c r="I56" i="10"/>
  <c r="I43" i="10"/>
  <c r="I42" i="10"/>
  <c r="I41" i="10"/>
  <c r="I40" i="10"/>
  <c r="I39" i="10"/>
  <c r="I38" i="10"/>
  <c r="I37" i="10"/>
  <c r="I19" i="10"/>
  <c r="I32" i="10"/>
  <c r="I80" i="10"/>
  <c r="I18" i="10"/>
  <c r="I67" i="10"/>
  <c r="I17" i="10"/>
  <c r="I66" i="10"/>
  <c r="I16" i="10"/>
  <c r="I65" i="10"/>
  <c r="I15" i="10"/>
  <c r="I64" i="10"/>
  <c r="I14" i="10"/>
  <c r="I63" i="10"/>
  <c r="I13" i="10"/>
  <c r="I61" i="10"/>
  <c r="I20" i="10"/>
  <c r="I44" i="10"/>
  <c r="I68" i="10"/>
  <c r="I21" i="10"/>
  <c r="I45" i="10"/>
  <c r="I69" i="10"/>
  <c r="I22" i="10"/>
  <c r="I46" i="10"/>
  <c r="I70" i="10"/>
  <c r="I23" i="10"/>
  <c r="I47" i="10"/>
  <c r="I71" i="10"/>
  <c r="I24" i="10"/>
  <c r="I48" i="10"/>
  <c r="I72" i="10"/>
  <c r="I25" i="10"/>
  <c r="I49" i="10"/>
  <c r="I73" i="10"/>
  <c r="I26" i="10"/>
  <c r="I50" i="10"/>
  <c r="I74" i="10"/>
  <c r="I3" i="10"/>
  <c r="I27" i="10"/>
  <c r="I51" i="10"/>
  <c r="I75" i="10"/>
  <c r="I4" i="10"/>
  <c r="I28" i="10"/>
  <c r="I52" i="10"/>
  <c r="I76" i="10"/>
  <c r="I5" i="10"/>
  <c r="I29" i="10"/>
  <c r="I53" i="10"/>
  <c r="I77" i="10"/>
  <c r="I6" i="10"/>
  <c r="I30" i="10"/>
  <c r="I54" i="10"/>
  <c r="I78" i="10"/>
  <c r="I7" i="10"/>
  <c r="I31" i="10"/>
  <c r="I55" i="10"/>
  <c r="I79" i="10"/>
  <c r="I34" i="10"/>
  <c r="I2" i="10"/>
  <c r="I33" i="10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2" i="11"/>
  <c r="T7" i="11" s="1"/>
  <c r="T6" i="11" s="1"/>
  <c r="K29" i="11" s="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2" i="10"/>
  <c r="H3" i="10"/>
  <c r="H4" i="10"/>
  <c r="H5" i="10"/>
  <c r="H6" i="10"/>
  <c r="H7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2" i="10"/>
  <c r="R5" i="10"/>
  <c r="K28" i="11" l="1"/>
  <c r="K6" i="11"/>
  <c r="K23" i="11"/>
  <c r="K10" i="11"/>
  <c r="K26" i="11"/>
  <c r="K7" i="11"/>
  <c r="K8" i="11"/>
  <c r="K9" i="11"/>
  <c r="K12" i="11"/>
  <c r="K20" i="11"/>
  <c r="K11" i="11"/>
  <c r="K17" i="11"/>
  <c r="K18" i="11"/>
  <c r="K13" i="11"/>
  <c r="K21" i="11"/>
  <c r="K16" i="11"/>
  <c r="K3" i="11"/>
  <c r="K4" i="11"/>
  <c r="K5" i="11"/>
  <c r="K30" i="11"/>
  <c r="K19" i="11"/>
  <c r="K14" i="11"/>
  <c r="K25" i="11"/>
  <c r="K15" i="11"/>
  <c r="K27" i="11"/>
  <c r="K2" i="11"/>
  <c r="K24" i="11"/>
  <c r="K22" i="11"/>
  <c r="P34" i="19"/>
  <c r="P28" i="19"/>
  <c r="P52" i="19"/>
  <c r="P63" i="19"/>
  <c r="P9" i="19"/>
  <c r="P24" i="19"/>
  <c r="P32" i="19"/>
  <c r="P10" i="19"/>
  <c r="P60" i="19"/>
  <c r="P46" i="19"/>
  <c r="P12" i="19"/>
  <c r="P50" i="19"/>
  <c r="P3" i="19"/>
  <c r="P41" i="19"/>
  <c r="P65" i="19"/>
  <c r="N45" i="26"/>
  <c r="S12" i="26"/>
  <c r="O20" i="26"/>
  <c r="N20" i="26"/>
  <c r="N42" i="26"/>
  <c r="N78" i="26"/>
  <c r="O43" i="26"/>
  <c r="N43" i="26"/>
  <c r="P43" i="26" s="1"/>
  <c r="O74" i="26"/>
  <c r="N74" i="26"/>
  <c r="N12" i="26"/>
  <c r="O12" i="26"/>
  <c r="O71" i="26"/>
  <c r="N71" i="26"/>
  <c r="O21" i="26"/>
  <c r="N21" i="26"/>
  <c r="O51" i="26"/>
  <c r="N51" i="26"/>
  <c r="O55" i="26"/>
  <c r="N55" i="26"/>
  <c r="O64" i="26"/>
  <c r="N64" i="26"/>
  <c r="O72" i="26"/>
  <c r="N72" i="26"/>
  <c r="P72" i="26" s="1"/>
  <c r="O50" i="26"/>
  <c r="N50" i="26"/>
  <c r="N31" i="26"/>
  <c r="O31" i="26"/>
  <c r="O6" i="26"/>
  <c r="N6" i="26"/>
  <c r="O69" i="26"/>
  <c r="N69" i="26"/>
  <c r="P69" i="26" s="1"/>
  <c r="O44" i="26"/>
  <c r="N44" i="26"/>
  <c r="O49" i="26"/>
  <c r="N49" i="26"/>
  <c r="N59" i="26"/>
  <c r="O59" i="26"/>
  <c r="O76" i="26"/>
  <c r="N76" i="26"/>
  <c r="O33" i="26"/>
  <c r="N33" i="26"/>
  <c r="N38" i="26"/>
  <c r="O38" i="26"/>
  <c r="O63" i="26"/>
  <c r="N63" i="26"/>
  <c r="N30" i="26"/>
  <c r="P30" i="26" s="1"/>
  <c r="O30" i="26"/>
  <c r="O4" i="26"/>
  <c r="N4" i="26"/>
  <c r="O15" i="26"/>
  <c r="N15" i="26"/>
  <c r="N62" i="26"/>
  <c r="P62" i="26" s="1"/>
  <c r="O62" i="26"/>
  <c r="O24" i="26"/>
  <c r="N24" i="26"/>
  <c r="N2" i="26"/>
  <c r="O2" i="26"/>
  <c r="O39" i="26"/>
  <c r="N39" i="26"/>
  <c r="N70" i="26"/>
  <c r="O70" i="26"/>
  <c r="O54" i="26"/>
  <c r="N54" i="26"/>
  <c r="O47" i="26"/>
  <c r="N47" i="26"/>
  <c r="O73" i="26"/>
  <c r="N73" i="26"/>
  <c r="O40" i="26"/>
  <c r="N40" i="26"/>
  <c r="N61" i="26"/>
  <c r="O61" i="26"/>
  <c r="O68" i="26"/>
  <c r="N68" i="26"/>
  <c r="N58" i="26"/>
  <c r="O58" i="26"/>
  <c r="N22" i="26"/>
  <c r="O22" i="26"/>
  <c r="N34" i="26"/>
  <c r="O34" i="26"/>
  <c r="O26" i="26"/>
  <c r="N26" i="26"/>
  <c r="O28" i="26"/>
  <c r="N28" i="26"/>
  <c r="P28" i="26" s="1"/>
  <c r="O57" i="26"/>
  <c r="N57" i="26"/>
  <c r="O77" i="26"/>
  <c r="N77" i="26"/>
  <c r="O75" i="26"/>
  <c r="N75" i="26"/>
  <c r="O8" i="26"/>
  <c r="N8" i="26"/>
  <c r="N60" i="26"/>
  <c r="P60" i="26" s="1"/>
  <c r="O60" i="26"/>
  <c r="O41" i="26"/>
  <c r="N41" i="26"/>
  <c r="P41" i="26" s="1"/>
  <c r="O27" i="26"/>
  <c r="N27" i="26"/>
  <c r="O25" i="26"/>
  <c r="N25" i="26"/>
  <c r="O67" i="26"/>
  <c r="N67" i="26"/>
  <c r="P67" i="26" s="1"/>
  <c r="O23" i="26"/>
  <c r="N23" i="26"/>
  <c r="O9" i="26"/>
  <c r="N9" i="26"/>
  <c r="P9" i="26" s="1"/>
  <c r="O53" i="26"/>
  <c r="N53" i="26"/>
  <c r="N11" i="26"/>
  <c r="P11" i="26" s="1"/>
  <c r="O11" i="26"/>
  <c r="N46" i="26"/>
  <c r="O46" i="26"/>
  <c r="O17" i="26"/>
  <c r="N17" i="26"/>
  <c r="N36" i="26"/>
  <c r="O36" i="26"/>
  <c r="O65" i="26"/>
  <c r="N65" i="26"/>
  <c r="O52" i="26"/>
  <c r="N52" i="26"/>
  <c r="O48" i="26"/>
  <c r="N48" i="26"/>
  <c r="P48" i="26" s="1"/>
  <c r="O19" i="26"/>
  <c r="N19" i="26"/>
  <c r="N13" i="26"/>
  <c r="O13" i="26"/>
  <c r="N10" i="26"/>
  <c r="O10" i="26"/>
  <c r="O16" i="26"/>
  <c r="N16" i="26"/>
  <c r="O56" i="26"/>
  <c r="N56" i="26"/>
  <c r="N14" i="26"/>
  <c r="P14" i="26" s="1"/>
  <c r="O14" i="26"/>
  <c r="O29" i="26"/>
  <c r="N29" i="26"/>
  <c r="N37" i="26"/>
  <c r="O37" i="26"/>
  <c r="O3" i="26"/>
  <c r="N3" i="26"/>
  <c r="N35" i="26"/>
  <c r="P35" i="26" s="1"/>
  <c r="O35" i="26"/>
  <c r="N32" i="26"/>
  <c r="O32" i="26"/>
  <c r="O18" i="26"/>
  <c r="N18" i="26"/>
  <c r="O5" i="26"/>
  <c r="N5" i="26"/>
  <c r="O7" i="26"/>
  <c r="N7" i="26"/>
  <c r="O66" i="26"/>
  <c r="N66" i="26"/>
  <c r="K53" i="19"/>
  <c r="K16" i="19"/>
  <c r="K40" i="19"/>
  <c r="K64" i="19"/>
  <c r="K17" i="19"/>
  <c r="K41" i="19"/>
  <c r="K65" i="19"/>
  <c r="K18" i="19"/>
  <c r="K42" i="19"/>
  <c r="K66" i="19"/>
  <c r="K19" i="19"/>
  <c r="K43" i="19"/>
  <c r="K67" i="19"/>
  <c r="K20" i="19"/>
  <c r="K44" i="19"/>
  <c r="K68" i="19"/>
  <c r="K21" i="19"/>
  <c r="K45" i="19"/>
  <c r="K69" i="19"/>
  <c r="K22" i="19"/>
  <c r="K46" i="19"/>
  <c r="K2" i="19"/>
  <c r="K23" i="19"/>
  <c r="K47" i="19"/>
  <c r="K6" i="19"/>
  <c r="K30" i="19"/>
  <c r="K54" i="19"/>
  <c r="K7" i="19"/>
  <c r="K31" i="19"/>
  <c r="K55" i="19"/>
  <c r="K8" i="19"/>
  <c r="K32" i="19"/>
  <c r="K56" i="19"/>
  <c r="K9" i="19"/>
  <c r="K33" i="19"/>
  <c r="K57" i="19"/>
  <c r="K10" i="19"/>
  <c r="K34" i="19"/>
  <c r="K58" i="19"/>
  <c r="K11" i="19"/>
  <c r="K35" i="19"/>
  <c r="K59" i="19"/>
  <c r="K12" i="19"/>
  <c r="K36" i="19"/>
  <c r="K60" i="19"/>
  <c r="K13" i="19"/>
  <c r="K37" i="19"/>
  <c r="K61" i="19"/>
  <c r="K14" i="19"/>
  <c r="K38" i="19"/>
  <c r="K62" i="19"/>
  <c r="K15" i="19"/>
  <c r="K39" i="19"/>
  <c r="K63" i="19"/>
  <c r="K24" i="19"/>
  <c r="K48" i="19"/>
  <c r="K25" i="19"/>
  <c r="K49" i="19"/>
  <c r="K26" i="19"/>
  <c r="K50" i="19"/>
  <c r="K27" i="19"/>
  <c r="K51" i="19"/>
  <c r="K4" i="19"/>
  <c r="K28" i="19"/>
  <c r="K52" i="19"/>
  <c r="K5" i="19"/>
  <c r="K29" i="19"/>
  <c r="R55" i="9"/>
  <c r="T55" i="9" s="1"/>
  <c r="R99" i="9"/>
  <c r="T99" i="9" s="1"/>
  <c r="U99" i="9" s="1"/>
  <c r="V99" i="9" s="1"/>
  <c r="X99" i="9" s="1"/>
  <c r="R19" i="9"/>
  <c r="T19" i="9" s="1"/>
  <c r="U19" i="9" s="1"/>
  <c r="W19" i="9" s="1"/>
  <c r="R91" i="9"/>
  <c r="T91" i="9" s="1"/>
  <c r="R36" i="9"/>
  <c r="T36" i="9" s="1"/>
  <c r="R69" i="9"/>
  <c r="T69" i="9" s="1"/>
  <c r="R136" i="9"/>
  <c r="T136" i="9" s="1"/>
  <c r="T93" i="9"/>
  <c r="R129" i="9"/>
  <c r="T129" i="9" s="1"/>
  <c r="R32" i="9"/>
  <c r="T32" i="9" s="1"/>
  <c r="U32" i="9" s="1"/>
  <c r="V32" i="9" s="1"/>
  <c r="X32" i="9" s="1"/>
  <c r="R122" i="9"/>
  <c r="T122" i="9" s="1"/>
  <c r="U122" i="9" s="1"/>
  <c r="W122" i="9" s="1"/>
  <c r="R86" i="9"/>
  <c r="T86" i="9" s="1"/>
  <c r="R20" i="9"/>
  <c r="T20" i="9" s="1"/>
  <c r="R98" i="9"/>
  <c r="T98" i="9" s="1"/>
  <c r="R100" i="9"/>
  <c r="T100" i="9" s="1"/>
  <c r="R14" i="9"/>
  <c r="T14" i="9" s="1"/>
  <c r="R51" i="9"/>
  <c r="T51" i="9" s="1"/>
  <c r="R40" i="9"/>
  <c r="T40" i="9" s="1"/>
  <c r="R3" i="9"/>
  <c r="T3" i="9" s="1"/>
  <c r="R65" i="9"/>
  <c r="T65" i="9" s="1"/>
  <c r="R116" i="9"/>
  <c r="T116" i="9" s="1"/>
  <c r="R56" i="9"/>
  <c r="T56" i="9" s="1"/>
  <c r="R74" i="9"/>
  <c r="T74" i="9" s="1"/>
  <c r="R132" i="9"/>
  <c r="T132" i="9" s="1"/>
  <c r="R45" i="9"/>
  <c r="T45" i="9" s="1"/>
  <c r="R28" i="9"/>
  <c r="T28" i="9" s="1"/>
  <c r="R27" i="9"/>
  <c r="T27" i="9" s="1"/>
  <c r="U27" i="9" s="1"/>
  <c r="V27" i="9" s="1"/>
  <c r="X27" i="9" s="1"/>
  <c r="R17" i="9"/>
  <c r="T17" i="9" s="1"/>
  <c r="U17" i="9" s="1"/>
  <c r="W17" i="9" s="1"/>
  <c r="R80" i="9"/>
  <c r="T80" i="9" s="1"/>
  <c r="R113" i="9"/>
  <c r="T113" i="9" s="1"/>
  <c r="U113" i="9" s="1"/>
  <c r="V113" i="9" s="1"/>
  <c r="X113" i="9" s="1"/>
  <c r="R18" i="9"/>
  <c r="T18" i="9" s="1"/>
  <c r="U18" i="9" s="1"/>
  <c r="W18" i="9" s="1"/>
  <c r="R89" i="9"/>
  <c r="T89" i="9" s="1"/>
  <c r="R50" i="9"/>
  <c r="T50" i="9" s="1"/>
  <c r="U50" i="9" s="1"/>
  <c r="W50" i="9" s="1"/>
  <c r="R46" i="9"/>
  <c r="T46" i="9" s="1"/>
  <c r="R59" i="9"/>
  <c r="T59" i="9" s="1"/>
  <c r="R137" i="9"/>
  <c r="T137" i="9" s="1"/>
  <c r="R83" i="9"/>
  <c r="T83" i="9" s="1"/>
  <c r="R138" i="9"/>
  <c r="T138" i="9" s="1"/>
  <c r="R42" i="9"/>
  <c r="T42" i="9" s="1"/>
  <c r="R109" i="9"/>
  <c r="T109" i="9" s="1"/>
  <c r="R53" i="9"/>
  <c r="T53" i="9" s="1"/>
  <c r="R54" i="9"/>
  <c r="T54" i="9" s="1"/>
  <c r="R123" i="9"/>
  <c r="T123" i="9" s="1"/>
  <c r="R26" i="9"/>
  <c r="T26" i="9" s="1"/>
  <c r="U26" i="9" s="1"/>
  <c r="V26" i="9" s="1"/>
  <c r="X26" i="9" s="1"/>
  <c r="R43" i="9"/>
  <c r="T43" i="9" s="1"/>
  <c r="R81" i="9"/>
  <c r="T81" i="9" s="1"/>
  <c r="R117" i="9"/>
  <c r="T117" i="9" s="1"/>
  <c r="R22" i="9"/>
  <c r="T22" i="9" s="1"/>
  <c r="R121" i="9"/>
  <c r="T121" i="9" s="1"/>
  <c r="R33" i="9"/>
  <c r="T33" i="9" s="1"/>
  <c r="R115" i="9"/>
  <c r="T115" i="9" s="1"/>
  <c r="R24" i="9"/>
  <c r="T24" i="9" s="1"/>
  <c r="R88" i="9"/>
  <c r="T88" i="9" s="1"/>
  <c r="R97" i="9"/>
  <c r="T97" i="9" s="1"/>
  <c r="R66" i="9"/>
  <c r="T66" i="9" s="1"/>
  <c r="R84" i="9"/>
  <c r="T84" i="9" s="1"/>
  <c r="U84" i="9" s="1"/>
  <c r="V84" i="9" s="1"/>
  <c r="X84" i="9" s="1"/>
  <c r="R48" i="9"/>
  <c r="T48" i="9" s="1"/>
  <c r="R125" i="9"/>
  <c r="T125" i="9" s="1"/>
  <c r="U125" i="9" s="1"/>
  <c r="W125" i="9" s="1"/>
  <c r="R73" i="9"/>
  <c r="T73" i="9" s="1"/>
  <c r="R101" i="9"/>
  <c r="T101" i="9" s="1"/>
  <c r="U101" i="9" s="1"/>
  <c r="V101" i="9" s="1"/>
  <c r="X101" i="9" s="1"/>
  <c r="R16" i="9"/>
  <c r="T16" i="9" s="1"/>
  <c r="R72" i="9"/>
  <c r="T72" i="9" s="1"/>
  <c r="R92" i="9"/>
  <c r="T92" i="9" s="1"/>
  <c r="R76" i="9"/>
  <c r="T76" i="9" s="1"/>
  <c r="R49" i="9"/>
  <c r="T49" i="9" s="1"/>
  <c r="R133" i="9"/>
  <c r="T133" i="9" s="1"/>
  <c r="R114" i="9"/>
  <c r="T114" i="9" s="1"/>
  <c r="U114" i="9" s="1"/>
  <c r="W114" i="9" s="1"/>
  <c r="R120" i="9"/>
  <c r="T120" i="9" s="1"/>
  <c r="U120" i="9" s="1"/>
  <c r="R30" i="9"/>
  <c r="T30" i="9" s="1"/>
  <c r="R78" i="9"/>
  <c r="T78" i="9" s="1"/>
  <c r="U78" i="9" s="1"/>
  <c r="W78" i="9" s="1"/>
  <c r="R23" i="9"/>
  <c r="T23" i="9" s="1"/>
  <c r="R67" i="9"/>
  <c r="T67" i="9" s="1"/>
  <c r="R15" i="9"/>
  <c r="T15" i="9" s="1"/>
  <c r="R107" i="9"/>
  <c r="T107" i="9" s="1"/>
  <c r="R118" i="9"/>
  <c r="T118" i="9" s="1"/>
  <c r="R21" i="9"/>
  <c r="T21" i="9" s="1"/>
  <c r="R25" i="9"/>
  <c r="T25" i="9" s="1"/>
  <c r="R38" i="9"/>
  <c r="T38" i="9" s="1"/>
  <c r="R12" i="9"/>
  <c r="T12" i="9" s="1"/>
  <c r="R131" i="9"/>
  <c r="T131" i="9" s="1"/>
  <c r="R61" i="9"/>
  <c r="T61" i="9" s="1"/>
  <c r="U61" i="9" s="1"/>
  <c r="R57" i="9"/>
  <c r="T57" i="9" s="1"/>
  <c r="R119" i="9"/>
  <c r="T119" i="9" s="1"/>
  <c r="R104" i="9"/>
  <c r="T104" i="9" s="1"/>
  <c r="U104" i="9" s="1"/>
  <c r="V104" i="9" s="1"/>
  <c r="X104" i="9" s="1"/>
  <c r="R127" i="9"/>
  <c r="T127" i="9" s="1"/>
  <c r="R90" i="9"/>
  <c r="T90" i="9" s="1"/>
  <c r="R95" i="9"/>
  <c r="T95" i="9" s="1"/>
  <c r="R77" i="9"/>
  <c r="T77" i="9" s="1"/>
  <c r="R52" i="9"/>
  <c r="T52" i="9" s="1"/>
  <c r="R7" i="9"/>
  <c r="T7" i="9" s="1"/>
  <c r="U7" i="9" s="1"/>
  <c r="V7" i="9" s="1"/>
  <c r="X7" i="9" s="1"/>
  <c r="R124" i="9"/>
  <c r="T124" i="9" s="1"/>
  <c r="R71" i="9"/>
  <c r="T71" i="9" s="1"/>
  <c r="R9" i="9"/>
  <c r="T9" i="9" s="1"/>
  <c r="R85" i="9"/>
  <c r="T85" i="9" s="1"/>
  <c r="T2" i="9"/>
  <c r="T96" i="9"/>
  <c r="T70" i="9"/>
  <c r="T68" i="9"/>
  <c r="V75" i="9"/>
  <c r="X75" i="9" s="1"/>
  <c r="W75" i="9"/>
  <c r="V112" i="9"/>
  <c r="X112" i="9" s="1"/>
  <c r="W112" i="9"/>
  <c r="W8" i="9"/>
  <c r="V8" i="9"/>
  <c r="X8" i="9" s="1"/>
  <c r="T94" i="9"/>
  <c r="U94" i="9" s="1"/>
  <c r="W10" i="9"/>
  <c r="V10" i="9"/>
  <c r="X10" i="9" s="1"/>
  <c r="V111" i="9"/>
  <c r="X111" i="9" s="1"/>
  <c r="W111" i="9"/>
  <c r="T47" i="9"/>
  <c r="W6" i="9"/>
  <c r="V6" i="9"/>
  <c r="X6" i="9" s="1"/>
  <c r="T44" i="9"/>
  <c r="V60" i="9"/>
  <c r="X60" i="9" s="1"/>
  <c r="W60" i="9"/>
  <c r="L13" i="11"/>
  <c r="M13" i="11" s="1"/>
  <c r="L14" i="11"/>
  <c r="L15" i="11"/>
  <c r="L16" i="11"/>
  <c r="M16" i="11" s="1"/>
  <c r="N16" i="11" s="1"/>
  <c r="L17" i="11"/>
  <c r="L18" i="11"/>
  <c r="L19" i="11"/>
  <c r="L20" i="11"/>
  <c r="L21" i="11"/>
  <c r="M21" i="11" s="1"/>
  <c r="L22" i="11"/>
  <c r="L4" i="11"/>
  <c r="M4" i="11" s="1"/>
  <c r="L28" i="11"/>
  <c r="M28" i="11" s="1"/>
  <c r="L5" i="11"/>
  <c r="M5" i="11" s="1"/>
  <c r="L6" i="11"/>
  <c r="M6" i="11" s="1"/>
  <c r="L2" i="11"/>
  <c r="L9" i="11"/>
  <c r="L10" i="11"/>
  <c r="L23" i="11"/>
  <c r="M23" i="11" s="1"/>
  <c r="L24" i="11"/>
  <c r="L25" i="11"/>
  <c r="L26" i="11"/>
  <c r="L3" i="11"/>
  <c r="M3" i="11" s="1"/>
  <c r="L27" i="11"/>
  <c r="L29" i="11"/>
  <c r="M29" i="11" s="1"/>
  <c r="L30" i="11"/>
  <c r="M30" i="11" s="1"/>
  <c r="L7" i="11"/>
  <c r="M7" i="11" s="1"/>
  <c r="L8" i="11"/>
  <c r="M8" i="11" s="1"/>
  <c r="N8" i="11" s="1"/>
  <c r="L11" i="11"/>
  <c r="M11" i="11" s="1"/>
  <c r="L12" i="11"/>
  <c r="M12" i="11" s="1"/>
  <c r="R11" i="10"/>
  <c r="J14" i="10" s="1"/>
  <c r="K14" i="10" s="1"/>
  <c r="L2" i="18"/>
  <c r="M26" i="11" l="1"/>
  <c r="M10" i="11"/>
  <c r="M18" i="11"/>
  <c r="M20" i="11"/>
  <c r="N20" i="11" s="1"/>
  <c r="O20" i="11" s="1"/>
  <c r="Q20" i="11" s="1"/>
  <c r="M19" i="11"/>
  <c r="M25" i="11"/>
  <c r="M24" i="11"/>
  <c r="M15" i="11"/>
  <c r="N15" i="11" s="1"/>
  <c r="M22" i="11"/>
  <c r="N22" i="11" s="1"/>
  <c r="O22" i="11" s="1"/>
  <c r="Q22" i="11" s="1"/>
  <c r="M27" i="11"/>
  <c r="M17" i="11"/>
  <c r="M9" i="11"/>
  <c r="M14" i="11"/>
  <c r="L9" i="18"/>
  <c r="L15" i="18"/>
  <c r="L5" i="18"/>
  <c r="L18" i="18"/>
  <c r="L8" i="18"/>
  <c r="L4" i="18"/>
  <c r="L3" i="18"/>
  <c r="L12" i="18"/>
  <c r="L11" i="18"/>
  <c r="L7" i="18"/>
  <c r="L6" i="18"/>
  <c r="L17" i="18"/>
  <c r="L16" i="18"/>
  <c r="L14" i="18"/>
  <c r="L13" i="18"/>
  <c r="L10" i="18"/>
  <c r="Y12" i="19" a="1"/>
  <c r="Y12" i="19" s="1"/>
  <c r="V50" i="9"/>
  <c r="X50" i="9" s="1"/>
  <c r="W101" i="9"/>
  <c r="V125" i="9"/>
  <c r="X125" i="9" s="1"/>
  <c r="W99" i="9"/>
  <c r="Y9" i="19"/>
  <c r="V19" i="9"/>
  <c r="X19" i="9" s="1"/>
  <c r="W32" i="9"/>
  <c r="V122" i="9"/>
  <c r="X122" i="9" s="1"/>
  <c r="W104" i="9"/>
  <c r="V17" i="9"/>
  <c r="X17" i="9" s="1"/>
  <c r="V78" i="9"/>
  <c r="X78" i="9" s="1"/>
  <c r="W7" i="9"/>
  <c r="U46" i="9"/>
  <c r="V46" i="9" s="1"/>
  <c r="X46" i="9" s="1"/>
  <c r="U20" i="9"/>
  <c r="V20" i="9" s="1"/>
  <c r="X20" i="9" s="1"/>
  <c r="V114" i="9"/>
  <c r="X114" i="9" s="1"/>
  <c r="W84" i="9"/>
  <c r="W113" i="9"/>
  <c r="W27" i="9"/>
  <c r="V18" i="9"/>
  <c r="X18" i="9" s="1"/>
  <c r="V61" i="9"/>
  <c r="X61" i="9" s="1"/>
  <c r="W61" i="9"/>
  <c r="AA9" i="9"/>
  <c r="AA12" i="9" a="1"/>
  <c r="AA12" i="9" s="1"/>
  <c r="W26" i="9"/>
  <c r="V94" i="9"/>
  <c r="X94" i="9" s="1"/>
  <c r="W94" i="9"/>
  <c r="V120" i="9"/>
  <c r="X120" i="9" s="1"/>
  <c r="W120" i="9"/>
  <c r="M2" i="11"/>
  <c r="P16" i="11"/>
  <c r="O16" i="11"/>
  <c r="Q16" i="11" s="1"/>
  <c r="P8" i="11"/>
  <c r="O8" i="11"/>
  <c r="Q8" i="11" s="1"/>
  <c r="P15" i="11"/>
  <c r="O15" i="11"/>
  <c r="Q15" i="11" s="1"/>
  <c r="J51" i="10"/>
  <c r="K51" i="10" s="1"/>
  <c r="J52" i="10"/>
  <c r="K52" i="10" s="1"/>
  <c r="J76" i="10"/>
  <c r="K76" i="10" s="1"/>
  <c r="J32" i="10"/>
  <c r="K32" i="10" s="1"/>
  <c r="J80" i="10"/>
  <c r="K80" i="10" s="1"/>
  <c r="J9" i="10"/>
  <c r="K9" i="10" s="1"/>
  <c r="J33" i="10"/>
  <c r="K33" i="10" s="1"/>
  <c r="J38" i="10"/>
  <c r="K38" i="10" s="1"/>
  <c r="J15" i="10"/>
  <c r="K15" i="10" s="1"/>
  <c r="J39" i="10"/>
  <c r="K39" i="10" s="1"/>
  <c r="J28" i="10"/>
  <c r="K28" i="10" s="1"/>
  <c r="J77" i="10"/>
  <c r="K77" i="10" s="1"/>
  <c r="J11" i="10"/>
  <c r="K11" i="10" s="1"/>
  <c r="J35" i="10"/>
  <c r="K35" i="10" s="1"/>
  <c r="J59" i="10"/>
  <c r="K59" i="10" s="1"/>
  <c r="J20" i="10"/>
  <c r="K20" i="10" s="1"/>
  <c r="J44" i="10"/>
  <c r="K44" i="10" s="1"/>
  <c r="J42" i="10"/>
  <c r="K42" i="10" s="1"/>
  <c r="J68" i="10"/>
  <c r="K68" i="10" s="1"/>
  <c r="J71" i="10"/>
  <c r="K71" i="10" s="1"/>
  <c r="J24" i="10"/>
  <c r="K24" i="10" s="1"/>
  <c r="J48" i="10"/>
  <c r="K48" i="10" s="1"/>
  <c r="J4" i="10"/>
  <c r="K4" i="10" s="1"/>
  <c r="J10" i="10"/>
  <c r="K10" i="10" s="1"/>
  <c r="J21" i="10"/>
  <c r="K21" i="10" s="1"/>
  <c r="J58" i="10"/>
  <c r="K58" i="10" s="1"/>
  <c r="J45" i="10"/>
  <c r="K45" i="10" s="1"/>
  <c r="J25" i="10"/>
  <c r="K25" i="10" s="1"/>
  <c r="J5" i="10"/>
  <c r="K5" i="10" s="1"/>
  <c r="J69" i="10"/>
  <c r="K69" i="10" s="1"/>
  <c r="J49" i="10"/>
  <c r="K49" i="10" s="1"/>
  <c r="J29" i="10"/>
  <c r="K29" i="10" s="1"/>
  <c r="J17" i="10"/>
  <c r="K17" i="10" s="1"/>
  <c r="J7" i="10"/>
  <c r="K7" i="10" s="1"/>
  <c r="J53" i="10"/>
  <c r="K53" i="10" s="1"/>
  <c r="J12" i="10"/>
  <c r="K12" i="10" s="1"/>
  <c r="J41" i="10"/>
  <c r="K41" i="10" s="1"/>
  <c r="J6" i="10"/>
  <c r="K6" i="10" s="1"/>
  <c r="J36" i="10"/>
  <c r="K36" i="10" s="1"/>
  <c r="J65" i="10"/>
  <c r="K65" i="10" s="1"/>
  <c r="J62" i="10"/>
  <c r="K62" i="10" s="1"/>
  <c r="J54" i="10"/>
  <c r="K54" i="10" s="1"/>
  <c r="J72" i="10"/>
  <c r="K72" i="10" s="1"/>
  <c r="J63" i="10"/>
  <c r="K63" i="10" s="1"/>
  <c r="J60" i="10"/>
  <c r="K60" i="10" s="1"/>
  <c r="J16" i="10"/>
  <c r="K16" i="10" s="1"/>
  <c r="J30" i="10"/>
  <c r="K30" i="10" s="1"/>
  <c r="J64" i="10"/>
  <c r="K64" i="10" s="1"/>
  <c r="J78" i="10"/>
  <c r="K78" i="10" s="1"/>
  <c r="J56" i="10"/>
  <c r="K56" i="10" s="1"/>
  <c r="J22" i="10"/>
  <c r="K22" i="10" s="1"/>
  <c r="J50" i="10"/>
  <c r="K50" i="10" s="1"/>
  <c r="J18" i="10"/>
  <c r="K18" i="10" s="1"/>
  <c r="J46" i="10"/>
  <c r="K46" i="10" s="1"/>
  <c r="J74" i="10"/>
  <c r="K74" i="10" s="1"/>
  <c r="J66" i="10"/>
  <c r="K66" i="10" s="1"/>
  <c r="J57" i="10"/>
  <c r="K57" i="10" s="1"/>
  <c r="J19" i="10"/>
  <c r="K19" i="10" s="1"/>
  <c r="J70" i="10"/>
  <c r="K70" i="10" s="1"/>
  <c r="J31" i="10"/>
  <c r="K31" i="10" s="1"/>
  <c r="J13" i="10"/>
  <c r="K13" i="10" s="1"/>
  <c r="J43" i="10"/>
  <c r="K43" i="10" s="1"/>
  <c r="J55" i="10"/>
  <c r="K55" i="10" s="1"/>
  <c r="J37" i="10"/>
  <c r="K37" i="10" s="1"/>
  <c r="J34" i="10"/>
  <c r="K34" i="10" s="1"/>
  <c r="J67" i="10"/>
  <c r="K67" i="10" s="1"/>
  <c r="J3" i="10"/>
  <c r="K3" i="10" s="1"/>
  <c r="J79" i="10"/>
  <c r="K79" i="10" s="1"/>
  <c r="J61" i="10"/>
  <c r="K61" i="10" s="1"/>
  <c r="J73" i="10"/>
  <c r="K73" i="10" s="1"/>
  <c r="J40" i="10"/>
  <c r="K40" i="10" s="1"/>
  <c r="J23" i="10"/>
  <c r="K23" i="10" s="1"/>
  <c r="J27" i="10"/>
  <c r="K27" i="10" s="1"/>
  <c r="J26" i="10"/>
  <c r="K26" i="10" s="1"/>
  <c r="J47" i="10"/>
  <c r="K47" i="10" s="1"/>
  <c r="J75" i="10"/>
  <c r="K75" i="10" s="1"/>
  <c r="J8" i="10"/>
  <c r="K8" i="10" s="1"/>
  <c r="J2" i="10"/>
  <c r="K2" i="10" s="1"/>
  <c r="P20" i="11" l="1"/>
  <c r="T12" i="11" a="1"/>
  <c r="T12" i="11" s="1"/>
  <c r="P22" i="11"/>
  <c r="AE11" i="18"/>
  <c r="AA12" i="18" a="1"/>
  <c r="AA12" i="18" s="1"/>
  <c r="AA14" i="18" a="1"/>
  <c r="AA14" i="18" s="1"/>
  <c r="M6" i="19"/>
  <c r="M44" i="19"/>
  <c r="M69" i="19"/>
  <c r="M20" i="19"/>
  <c r="M21" i="19"/>
  <c r="M17" i="19"/>
  <c r="M66" i="19"/>
  <c r="M56" i="19"/>
  <c r="M42" i="19"/>
  <c r="M55" i="19"/>
  <c r="M8" i="19"/>
  <c r="M54" i="19"/>
  <c r="M5" i="19"/>
  <c r="M33" i="19"/>
  <c r="M68" i="19"/>
  <c r="M36" i="19"/>
  <c r="M19" i="19"/>
  <c r="M67" i="19"/>
  <c r="M62" i="19"/>
  <c r="M35" i="19"/>
  <c r="M18" i="19"/>
  <c r="M43" i="19"/>
  <c r="M61" i="19"/>
  <c r="M29" i="19"/>
  <c r="M64" i="19"/>
  <c r="M31" i="19"/>
  <c r="M25" i="19"/>
  <c r="M47" i="19"/>
  <c r="M16" i="19"/>
  <c r="M40" i="19"/>
  <c r="M53" i="19"/>
  <c r="M39" i="19"/>
  <c r="M7" i="19"/>
  <c r="M14" i="19"/>
  <c r="M49" i="19"/>
  <c r="M23" i="19"/>
  <c r="M37" i="19"/>
  <c r="M13" i="19"/>
  <c r="M58" i="19"/>
  <c r="M15" i="19"/>
  <c r="M27" i="19"/>
  <c r="M11" i="19"/>
  <c r="M45" i="19"/>
  <c r="M59" i="19"/>
  <c r="M51" i="19"/>
  <c r="M22" i="19"/>
  <c r="M57" i="19"/>
  <c r="M30" i="19"/>
  <c r="M38" i="19"/>
  <c r="M4" i="19"/>
  <c r="M26" i="19"/>
  <c r="M48" i="19"/>
  <c r="R12" i="10" a="1"/>
  <c r="R12" i="10" s="1"/>
  <c r="M2" i="19"/>
  <c r="W20" i="9"/>
  <c r="W46" i="9"/>
  <c r="U77" i="9"/>
  <c r="V77" i="9" s="1"/>
  <c r="X77" i="9" s="1"/>
  <c r="U71" i="9"/>
  <c r="V71" i="9" s="1"/>
  <c r="X71" i="9" s="1"/>
  <c r="U107" i="9"/>
  <c r="V107" i="9" s="1"/>
  <c r="X107" i="9" s="1"/>
  <c r="U54" i="9"/>
  <c r="W54" i="9" s="1"/>
  <c r="U12" i="9"/>
  <c r="W12" i="9" s="1"/>
  <c r="U40" i="9"/>
  <c r="V40" i="9" s="1"/>
  <c r="X40" i="9" s="1"/>
  <c r="U128" i="9"/>
  <c r="W128" i="9" s="1"/>
  <c r="U133" i="9"/>
  <c r="V133" i="9" s="1"/>
  <c r="X133" i="9" s="1"/>
  <c r="U121" i="9"/>
  <c r="V121" i="9" s="1"/>
  <c r="X121" i="9" s="1"/>
  <c r="U62" i="9"/>
  <c r="V62" i="9" s="1"/>
  <c r="X62" i="9" s="1"/>
  <c r="U92" i="9"/>
  <c r="V92" i="9" s="1"/>
  <c r="X92" i="9" s="1"/>
  <c r="U69" i="9"/>
  <c r="W69" i="9" s="1"/>
  <c r="U2" i="9"/>
  <c r="V2" i="9" s="1"/>
  <c r="X2" i="9" s="1"/>
  <c r="U79" i="9"/>
  <c r="W79" i="9" s="1"/>
  <c r="U42" i="9"/>
  <c r="W42" i="9" s="1"/>
  <c r="U105" i="9"/>
  <c r="V105" i="9" s="1"/>
  <c r="X105" i="9" s="1"/>
  <c r="U73" i="9"/>
  <c r="V73" i="9" s="1"/>
  <c r="X73" i="9" s="1"/>
  <c r="U4" i="9"/>
  <c r="W4" i="9" s="1"/>
  <c r="U43" i="9"/>
  <c r="V43" i="9" s="1"/>
  <c r="X43" i="9" s="1"/>
  <c r="U15" i="9"/>
  <c r="V15" i="9" s="1"/>
  <c r="X15" i="9" s="1"/>
  <c r="U131" i="9"/>
  <c r="W131" i="9" s="1"/>
  <c r="U38" i="9"/>
  <c r="V38" i="9" s="1"/>
  <c r="X38" i="9" s="1"/>
  <c r="U136" i="9"/>
  <c r="V136" i="9" s="1"/>
  <c r="X136" i="9" s="1"/>
  <c r="U56" i="9"/>
  <c r="W56" i="9" s="1"/>
  <c r="U53" i="9"/>
  <c r="W53" i="9" s="1"/>
  <c r="U65" i="9"/>
  <c r="W65" i="9" s="1"/>
  <c r="U138" i="9"/>
  <c r="V138" i="9" s="1"/>
  <c r="X138" i="9" s="1"/>
  <c r="U57" i="9"/>
  <c r="W57" i="9" s="1"/>
  <c r="U52" i="9"/>
  <c r="W52" i="9" s="1"/>
  <c r="U35" i="9"/>
  <c r="V35" i="9" s="1"/>
  <c r="X35" i="9" s="1"/>
  <c r="U81" i="9"/>
  <c r="V81" i="9" s="1"/>
  <c r="X81" i="9" s="1"/>
  <c r="U98" i="9"/>
  <c r="W98" i="9" s="1"/>
  <c r="U14" i="9"/>
  <c r="V14" i="9" s="1"/>
  <c r="X14" i="9" s="1"/>
  <c r="U80" i="9"/>
  <c r="W80" i="9" s="1"/>
  <c r="U76" i="9"/>
  <c r="W76" i="9" s="1"/>
  <c r="U88" i="9"/>
  <c r="V88" i="9" s="1"/>
  <c r="X88" i="9" s="1"/>
  <c r="U31" i="9"/>
  <c r="W31" i="9" s="1"/>
  <c r="U89" i="9"/>
  <c r="W89" i="9" s="1"/>
  <c r="U39" i="9"/>
  <c r="V39" i="9" s="1"/>
  <c r="X39" i="9" s="1"/>
  <c r="U118" i="9"/>
  <c r="W118" i="9" s="1"/>
  <c r="U129" i="9"/>
  <c r="V129" i="9" s="1"/>
  <c r="X129" i="9" s="1"/>
  <c r="U34" i="9"/>
  <c r="V34" i="9" s="1"/>
  <c r="X34" i="9" s="1"/>
  <c r="U126" i="9"/>
  <c r="W126" i="9" s="1"/>
  <c r="U21" i="9"/>
  <c r="V21" i="9" s="1"/>
  <c r="X21" i="9" s="1"/>
  <c r="U74" i="9"/>
  <c r="V74" i="9" s="1"/>
  <c r="X74" i="9" s="1"/>
  <c r="U82" i="9"/>
  <c r="W82" i="9" s="1"/>
  <c r="U64" i="9"/>
  <c r="V64" i="9" s="1"/>
  <c r="X64" i="9" s="1"/>
  <c r="U110" i="9"/>
  <c r="W110" i="9" s="1"/>
  <c r="U37" i="9"/>
  <c r="W37" i="9" s="1"/>
  <c r="U109" i="9"/>
  <c r="V109" i="9" s="1"/>
  <c r="X109" i="9" s="1"/>
  <c r="U51" i="9"/>
  <c r="W51" i="9" s="1"/>
  <c r="U55" i="9"/>
  <c r="W55" i="9" s="1"/>
  <c r="U49" i="9"/>
  <c r="W49" i="9" s="1"/>
  <c r="U63" i="9"/>
  <c r="V63" i="9" s="1"/>
  <c r="X63" i="9" s="1"/>
  <c r="U96" i="9"/>
  <c r="V96" i="9" s="1"/>
  <c r="X96" i="9" s="1"/>
  <c r="U13" i="9"/>
  <c r="V13" i="9" s="1"/>
  <c r="X13" i="9" s="1"/>
  <c r="U90" i="9"/>
  <c r="W90" i="9" s="1"/>
  <c r="U33" i="9"/>
  <c r="W33" i="9" s="1"/>
  <c r="U29" i="9"/>
  <c r="V29" i="9" s="1"/>
  <c r="X29" i="9" s="1"/>
  <c r="U67" i="9"/>
  <c r="V67" i="9" s="1"/>
  <c r="X67" i="9" s="1"/>
  <c r="U48" i="9"/>
  <c r="V48" i="9" s="1"/>
  <c r="X48" i="9" s="1"/>
  <c r="U45" i="9"/>
  <c r="W45" i="9" s="1"/>
  <c r="U97" i="9"/>
  <c r="V97" i="9" s="1"/>
  <c r="X97" i="9" s="1"/>
  <c r="U87" i="9"/>
  <c r="V87" i="9" s="1"/>
  <c r="X87" i="9" s="1"/>
  <c r="U124" i="9"/>
  <c r="V124" i="9" s="1"/>
  <c r="X124" i="9" s="1"/>
  <c r="U95" i="9"/>
  <c r="W95" i="9" s="1"/>
  <c r="U117" i="9"/>
  <c r="W117" i="9" s="1"/>
  <c r="U24" i="9"/>
  <c r="W24" i="9" s="1"/>
  <c r="U23" i="9"/>
  <c r="V23" i="9" s="1"/>
  <c r="X23" i="9" s="1"/>
  <c r="U135" i="9"/>
  <c r="V135" i="9" s="1"/>
  <c r="X135" i="9" s="1"/>
  <c r="U115" i="9"/>
  <c r="V115" i="9" s="1"/>
  <c r="X115" i="9" s="1"/>
  <c r="U86" i="9"/>
  <c r="V86" i="9" s="1"/>
  <c r="X86" i="9" s="1"/>
  <c r="U70" i="9"/>
  <c r="W70" i="9" s="1"/>
  <c r="U116" i="9"/>
  <c r="W116" i="9" s="1"/>
  <c r="U22" i="9"/>
  <c r="V22" i="9" s="1"/>
  <c r="X22" i="9" s="1"/>
  <c r="U16" i="9"/>
  <c r="V16" i="9" s="1"/>
  <c r="X16" i="9" s="1"/>
  <c r="U41" i="9"/>
  <c r="V41" i="9" s="1"/>
  <c r="X41" i="9" s="1"/>
  <c r="U102" i="9"/>
  <c r="W102" i="9" s="1"/>
  <c r="U59" i="9"/>
  <c r="V59" i="9" s="1"/>
  <c r="X59" i="9" s="1"/>
  <c r="U85" i="9"/>
  <c r="V85" i="9" s="1"/>
  <c r="X85" i="9" s="1"/>
  <c r="U5" i="9"/>
  <c r="W5" i="9" s="1"/>
  <c r="U130" i="9"/>
  <c r="V130" i="9" s="1"/>
  <c r="X130" i="9" s="1"/>
  <c r="U83" i="9"/>
  <c r="W83" i="9" s="1"/>
  <c r="U68" i="9"/>
  <c r="V68" i="9" s="1"/>
  <c r="X68" i="9" s="1"/>
  <c r="U44" i="9"/>
  <c r="W44" i="9" s="1"/>
  <c r="U9" i="9"/>
  <c r="W9" i="9" s="1"/>
  <c r="U91" i="9"/>
  <c r="V91" i="9" s="1"/>
  <c r="X91" i="9" s="1"/>
  <c r="U47" i="9"/>
  <c r="W47" i="9" s="1"/>
  <c r="U103" i="9"/>
  <c r="V103" i="9" s="1"/>
  <c r="X103" i="9" s="1"/>
  <c r="U3" i="9"/>
  <c r="W3" i="9" s="1"/>
  <c r="U137" i="9"/>
  <c r="W137" i="9" s="1"/>
  <c r="U134" i="9"/>
  <c r="V134" i="9" s="1"/>
  <c r="X134" i="9" s="1"/>
  <c r="U66" i="9"/>
  <c r="W66" i="9" s="1"/>
  <c r="U25" i="9"/>
  <c r="V25" i="9" s="1"/>
  <c r="X25" i="9" s="1"/>
  <c r="U106" i="9"/>
  <c r="W106" i="9" s="1"/>
  <c r="U72" i="9"/>
  <c r="V72" i="9" s="1"/>
  <c r="X72" i="9" s="1"/>
  <c r="U119" i="9"/>
  <c r="W119" i="9" s="1"/>
  <c r="U93" i="9"/>
  <c r="V93" i="9" s="1"/>
  <c r="X93" i="9" s="1"/>
  <c r="U132" i="9"/>
  <c r="V132" i="9" s="1"/>
  <c r="X132" i="9" s="1"/>
  <c r="U123" i="9"/>
  <c r="W123" i="9" s="1"/>
  <c r="U108" i="9"/>
  <c r="V108" i="9" s="1"/>
  <c r="X108" i="9" s="1"/>
  <c r="U100" i="9"/>
  <c r="V100" i="9" s="1"/>
  <c r="X100" i="9" s="1"/>
  <c r="U36" i="9"/>
  <c r="V36" i="9" s="1"/>
  <c r="X36" i="9" s="1"/>
  <c r="U11" i="9"/>
  <c r="V11" i="9" s="1"/>
  <c r="X11" i="9" s="1"/>
  <c r="U30" i="9"/>
  <c r="U28" i="9"/>
  <c r="W28" i="9" s="1"/>
  <c r="U58" i="9"/>
  <c r="V58" i="9" s="1"/>
  <c r="X58" i="9" s="1"/>
  <c r="U127" i="9"/>
  <c r="W127" i="9" s="1"/>
  <c r="T9" i="11"/>
  <c r="R9" i="10"/>
  <c r="P57" i="19" l="1"/>
  <c r="P51" i="19"/>
  <c r="P59" i="19"/>
  <c r="P45" i="19"/>
  <c r="P27" i="19"/>
  <c r="P2" i="19"/>
  <c r="P29" i="19"/>
  <c r="P43" i="19"/>
  <c r="P35" i="19"/>
  <c r="P67" i="19"/>
  <c r="P15" i="19"/>
  <c r="P58" i="19"/>
  <c r="P42" i="19"/>
  <c r="P13" i="19"/>
  <c r="P37" i="19"/>
  <c r="P23" i="19"/>
  <c r="P30" i="19"/>
  <c r="P61" i="19"/>
  <c r="P22" i="19"/>
  <c r="P18" i="19"/>
  <c r="P62" i="19"/>
  <c r="P11" i="19"/>
  <c r="P19" i="19"/>
  <c r="P36" i="19"/>
  <c r="P68" i="19"/>
  <c r="P33" i="19"/>
  <c r="P5" i="19"/>
  <c r="P54" i="19"/>
  <c r="P49" i="19"/>
  <c r="P8" i="19"/>
  <c r="P14" i="19"/>
  <c r="P55" i="19"/>
  <c r="P7" i="19"/>
  <c r="P39" i="19"/>
  <c r="P56" i="19"/>
  <c r="P53" i="19"/>
  <c r="P66" i="19"/>
  <c r="P40" i="19"/>
  <c r="P17" i="19"/>
  <c r="P16" i="19"/>
  <c r="P21" i="19"/>
  <c r="P48" i="19"/>
  <c r="P47" i="19"/>
  <c r="P20" i="19"/>
  <c r="P26" i="19"/>
  <c r="P25" i="19"/>
  <c r="P69" i="19"/>
  <c r="P4" i="19"/>
  <c r="S4" i="19" s="1"/>
  <c r="P31" i="19"/>
  <c r="P44" i="19"/>
  <c r="P38" i="19"/>
  <c r="P64" i="19"/>
  <c r="P6" i="19"/>
  <c r="W121" i="9"/>
  <c r="V127" i="9"/>
  <c r="X127" i="9" s="1"/>
  <c r="W58" i="9"/>
  <c r="W77" i="9"/>
  <c r="W59" i="9"/>
  <c r="Y15" i="19"/>
  <c r="W105" i="9"/>
  <c r="V98" i="9"/>
  <c r="X98" i="9" s="1"/>
  <c r="W96" i="9"/>
  <c r="V128" i="9"/>
  <c r="X128" i="9" s="1"/>
  <c r="W34" i="9"/>
  <c r="V12" i="9"/>
  <c r="X12" i="9" s="1"/>
  <c r="W81" i="9"/>
  <c r="W133" i="9"/>
  <c r="W64" i="9"/>
  <c r="W124" i="9"/>
  <c r="V118" i="9"/>
  <c r="X118" i="9" s="1"/>
  <c r="V28" i="9"/>
  <c r="X28" i="9" s="1"/>
  <c r="W15" i="9"/>
  <c r="V3" i="9"/>
  <c r="X3" i="9" s="1"/>
  <c r="W87" i="9"/>
  <c r="W135" i="9"/>
  <c r="V56" i="9"/>
  <c r="X56" i="9" s="1"/>
  <c r="W85" i="9"/>
  <c r="V131" i="9"/>
  <c r="X131" i="9" s="1"/>
  <c r="V110" i="9"/>
  <c r="X110" i="9" s="1"/>
  <c r="W73" i="9"/>
  <c r="V80" i="9"/>
  <c r="X80" i="9" s="1"/>
  <c r="W13" i="9"/>
  <c r="V24" i="9"/>
  <c r="X24" i="9" s="1"/>
  <c r="V90" i="9"/>
  <c r="X90" i="9" s="1"/>
  <c r="W129" i="9"/>
  <c r="W21" i="9"/>
  <c r="V95" i="9"/>
  <c r="X95" i="9" s="1"/>
  <c r="V5" i="9"/>
  <c r="X5" i="9" s="1"/>
  <c r="W62" i="9"/>
  <c r="W41" i="9"/>
  <c r="V52" i="9"/>
  <c r="X52" i="9" s="1"/>
  <c r="W38" i="9"/>
  <c r="V49" i="9"/>
  <c r="X49" i="9" s="1"/>
  <c r="V37" i="9"/>
  <c r="X37" i="9" s="1"/>
  <c r="V54" i="9"/>
  <c r="X54" i="9" s="1"/>
  <c r="W107" i="9"/>
  <c r="W115" i="9"/>
  <c r="V116" i="9"/>
  <c r="X116" i="9" s="1"/>
  <c r="V4" i="9"/>
  <c r="X4" i="9" s="1"/>
  <c r="W138" i="9"/>
  <c r="W40" i="9"/>
  <c r="W71" i="9"/>
  <c r="V102" i="9"/>
  <c r="X102" i="9" s="1"/>
  <c r="W86" i="9"/>
  <c r="W23" i="9"/>
  <c r="W63" i="9"/>
  <c r="W43" i="9"/>
  <c r="V82" i="9"/>
  <c r="X82" i="9" s="1"/>
  <c r="W74" i="9"/>
  <c r="W29" i="9"/>
  <c r="W35" i="9"/>
  <c r="W136" i="9"/>
  <c r="W91" i="9"/>
  <c r="V55" i="9"/>
  <c r="X55" i="9" s="1"/>
  <c r="V9" i="9"/>
  <c r="X9" i="9" s="1"/>
  <c r="W92" i="9"/>
  <c r="V76" i="9"/>
  <c r="X76" i="9" s="1"/>
  <c r="V31" i="9"/>
  <c r="X31" i="9" s="1"/>
  <c r="W22" i="9"/>
  <c r="W68" i="9"/>
  <c r="W48" i="9"/>
  <c r="W16" i="9"/>
  <c r="V33" i="9"/>
  <c r="X33" i="9" s="1"/>
  <c r="W67" i="9"/>
  <c r="W109" i="9"/>
  <c r="W39" i="9"/>
  <c r="W88" i="9"/>
  <c r="V126" i="9"/>
  <c r="X126" i="9" s="1"/>
  <c r="V117" i="9"/>
  <c r="X117" i="9" s="1"/>
  <c r="AA15" i="9"/>
  <c r="V57" i="9"/>
  <c r="X57" i="9" s="1"/>
  <c r="V42" i="9"/>
  <c r="X42" i="9" s="1"/>
  <c r="V51" i="9"/>
  <c r="X51" i="9" s="1"/>
  <c r="V70" i="9"/>
  <c r="X70" i="9" s="1"/>
  <c r="V83" i="9"/>
  <c r="X83" i="9" s="1"/>
  <c r="W14" i="9"/>
  <c r="V79" i="9"/>
  <c r="X79" i="9" s="1"/>
  <c r="V89" i="9"/>
  <c r="X89" i="9" s="1"/>
  <c r="W2" i="9"/>
  <c r="W130" i="9"/>
  <c r="V66" i="9"/>
  <c r="X66" i="9" s="1"/>
  <c r="V69" i="9"/>
  <c r="X69" i="9" s="1"/>
  <c r="V65" i="9"/>
  <c r="X65" i="9" s="1"/>
  <c r="V45" i="9"/>
  <c r="X45" i="9" s="1"/>
  <c r="V53" i="9"/>
  <c r="X53" i="9" s="1"/>
  <c r="W97" i="9"/>
  <c r="V137" i="9"/>
  <c r="X137" i="9" s="1"/>
  <c r="V47" i="9"/>
  <c r="X47" i="9" s="1"/>
  <c r="W30" i="9"/>
  <c r="V30" i="9"/>
  <c r="X30" i="9" s="1"/>
  <c r="W11" i="9"/>
  <c r="W36" i="9"/>
  <c r="W100" i="9"/>
  <c r="V123" i="9"/>
  <c r="X123" i="9" s="1"/>
  <c r="W93" i="9"/>
  <c r="V119" i="9"/>
  <c r="X119" i="9" s="1"/>
  <c r="W72" i="9"/>
  <c r="W134" i="9"/>
  <c r="V106" i="9"/>
  <c r="X106" i="9" s="1"/>
  <c r="W103" i="9"/>
  <c r="V44" i="9"/>
  <c r="X44" i="9" s="1"/>
  <c r="W25" i="9"/>
  <c r="W108" i="9"/>
  <c r="W132" i="9"/>
  <c r="N4" i="11"/>
  <c r="N28" i="11"/>
  <c r="N5" i="11"/>
  <c r="N29" i="11"/>
  <c r="N6" i="11"/>
  <c r="N10" i="11"/>
  <c r="N9" i="11"/>
  <c r="N13" i="11"/>
  <c r="N7" i="11"/>
  <c r="N11" i="11"/>
  <c r="N12" i="11"/>
  <c r="N2" i="11"/>
  <c r="N30" i="11"/>
  <c r="N14" i="11"/>
  <c r="N17" i="11"/>
  <c r="N18" i="11"/>
  <c r="N19" i="11"/>
  <c r="N21" i="11"/>
  <c r="N23" i="11"/>
  <c r="N24" i="11"/>
  <c r="N25" i="11"/>
  <c r="N26" i="11"/>
  <c r="N3" i="11"/>
  <c r="N27" i="11"/>
  <c r="L5" i="10"/>
  <c r="N5" i="10" s="1"/>
  <c r="L60" i="10"/>
  <c r="N60" i="10" s="1"/>
  <c r="L58" i="10"/>
  <c r="N58" i="10" s="1"/>
  <c r="L44" i="10"/>
  <c r="N44" i="10" s="1"/>
  <c r="L56" i="10"/>
  <c r="N56" i="10" s="1"/>
  <c r="L41" i="10"/>
  <c r="N41" i="10" s="1"/>
  <c r="L31" i="10"/>
  <c r="N31" i="10" s="1"/>
  <c r="L64" i="10"/>
  <c r="N64" i="10" s="1"/>
  <c r="L33" i="10"/>
  <c r="N33" i="10" s="1"/>
  <c r="L42" i="10"/>
  <c r="N42" i="10" s="1"/>
  <c r="L40" i="10"/>
  <c r="N40" i="10" s="1"/>
  <c r="L26" i="10"/>
  <c r="N26" i="10" s="1"/>
  <c r="L61" i="10"/>
  <c r="N61" i="10" s="1"/>
  <c r="L47" i="10"/>
  <c r="N47" i="10" s="1"/>
  <c r="L15" i="10"/>
  <c r="N15" i="10" s="1"/>
  <c r="L3" i="10"/>
  <c r="N3" i="10" s="1"/>
  <c r="L18" i="10"/>
  <c r="N18" i="10" s="1"/>
  <c r="L48" i="10"/>
  <c r="N48" i="10" s="1"/>
  <c r="L65" i="10"/>
  <c r="N65" i="10" s="1"/>
  <c r="L34" i="10"/>
  <c r="N34" i="10" s="1"/>
  <c r="L72" i="10"/>
  <c r="N72" i="10" s="1"/>
  <c r="L63" i="10"/>
  <c r="N63" i="10" s="1"/>
  <c r="L54" i="10"/>
  <c r="N54" i="10" s="1"/>
  <c r="L38" i="10"/>
  <c r="N38" i="10" s="1"/>
  <c r="L36" i="10"/>
  <c r="N36" i="10" s="1"/>
  <c r="L29" i="10"/>
  <c r="N29" i="10" s="1"/>
  <c r="L4" i="10"/>
  <c r="N4" i="10" s="1"/>
  <c r="L27" i="10"/>
  <c r="N27" i="10" s="1"/>
  <c r="L6" i="10"/>
  <c r="N6" i="10" s="1"/>
  <c r="L12" i="10"/>
  <c r="N12" i="10" s="1"/>
  <c r="L19" i="10"/>
  <c r="N19" i="10" s="1"/>
  <c r="L37" i="10"/>
  <c r="N37" i="10" s="1"/>
  <c r="L59" i="10"/>
  <c r="N59" i="10" s="1"/>
  <c r="L17" i="10"/>
  <c r="N17" i="10" s="1"/>
  <c r="L74" i="10"/>
  <c r="N74" i="10" s="1"/>
  <c r="L32" i="10"/>
  <c r="N32" i="10" s="1"/>
  <c r="L76" i="10"/>
  <c r="N76" i="10" s="1"/>
  <c r="L16" i="10"/>
  <c r="N16" i="10" s="1"/>
  <c r="L69" i="10"/>
  <c r="N69" i="10" s="1"/>
  <c r="L78" i="10"/>
  <c r="N78" i="10" s="1"/>
  <c r="L57" i="10"/>
  <c r="N57" i="10" s="1"/>
  <c r="L7" i="10"/>
  <c r="N7" i="10" s="1"/>
  <c r="L21" i="10"/>
  <c r="N21" i="10" s="1"/>
  <c r="L11" i="10"/>
  <c r="N11" i="10" s="1"/>
  <c r="L30" i="10"/>
  <c r="N30" i="10" s="1"/>
  <c r="L28" i="10"/>
  <c r="N28" i="10" s="1"/>
  <c r="L80" i="10"/>
  <c r="N80" i="10" s="1"/>
  <c r="L66" i="10"/>
  <c r="N66" i="10" s="1"/>
  <c r="L55" i="10"/>
  <c r="N55" i="10" s="1"/>
  <c r="L70" i="10"/>
  <c r="N70" i="10" s="1"/>
  <c r="L46" i="10"/>
  <c r="N46" i="10" s="1"/>
  <c r="L10" i="10"/>
  <c r="N10" i="10" s="1"/>
  <c r="L24" i="10"/>
  <c r="N24" i="10" s="1"/>
  <c r="L79" i="10"/>
  <c r="N79" i="10" s="1"/>
  <c r="L53" i="10"/>
  <c r="N53" i="10" s="1"/>
  <c r="L8" i="10"/>
  <c r="N8" i="10" s="1"/>
  <c r="L73" i="10"/>
  <c r="N73" i="10" s="1"/>
  <c r="L25" i="10"/>
  <c r="N25" i="10" s="1"/>
  <c r="L23" i="10"/>
  <c r="N23" i="10" s="1"/>
  <c r="L14" i="10"/>
  <c r="N14" i="10" s="1"/>
  <c r="L50" i="10"/>
  <c r="N50" i="10" s="1"/>
  <c r="L75" i="10"/>
  <c r="N75" i="10" s="1"/>
  <c r="L2" i="10"/>
  <c r="N2" i="10" s="1"/>
  <c r="L39" i="10"/>
  <c r="N39" i="10" s="1"/>
  <c r="L43" i="10"/>
  <c r="N43" i="10" s="1"/>
  <c r="L51" i="10"/>
  <c r="N51" i="10" s="1"/>
  <c r="L62" i="10"/>
  <c r="N62" i="10" s="1"/>
  <c r="L22" i="10"/>
  <c r="N22" i="10" s="1"/>
  <c r="L13" i="10"/>
  <c r="N13" i="10" s="1"/>
  <c r="L52" i="10"/>
  <c r="N52" i="10" s="1"/>
  <c r="L77" i="10"/>
  <c r="N77" i="10" s="1"/>
  <c r="L20" i="10"/>
  <c r="N20" i="10" s="1"/>
  <c r="L71" i="10"/>
  <c r="N71" i="10" s="1"/>
  <c r="L45" i="10"/>
  <c r="N45" i="10" s="1"/>
  <c r="L68" i="10"/>
  <c r="N68" i="10" s="1"/>
  <c r="L49" i="10"/>
  <c r="N49" i="10" s="1"/>
  <c r="L67" i="10"/>
  <c r="N67" i="10" s="1"/>
  <c r="L35" i="10"/>
  <c r="N35" i="10" s="1"/>
  <c r="L9" i="10"/>
  <c r="N9" i="10" s="1"/>
  <c r="Y19" i="19" l="1" a="1"/>
  <c r="Y19" i="19" s="1"/>
  <c r="Q68" i="19"/>
  <c r="U68" i="19" s="1"/>
  <c r="Q17" i="19"/>
  <c r="U17" i="19" s="1"/>
  <c r="Q20" i="19"/>
  <c r="U20" i="19" s="1"/>
  <c r="Q69" i="19"/>
  <c r="U69" i="19" s="1"/>
  <c r="Q50" i="19"/>
  <c r="U50" i="19" s="1"/>
  <c r="Q8" i="19"/>
  <c r="U8" i="19" s="1"/>
  <c r="Q27" i="19"/>
  <c r="U27" i="19" s="1"/>
  <c r="Q60" i="19"/>
  <c r="U60" i="19" s="1"/>
  <c r="Q67" i="19"/>
  <c r="U67" i="19" s="1"/>
  <c r="R48" i="19"/>
  <c r="Q57" i="19"/>
  <c r="U57" i="19" s="1"/>
  <c r="Q33" i="19"/>
  <c r="U33" i="19" s="1"/>
  <c r="Q18" i="19"/>
  <c r="U18" i="19" s="1"/>
  <c r="Q42" i="19"/>
  <c r="U42" i="19" s="1"/>
  <c r="Q2" i="19"/>
  <c r="U2" i="19" s="1"/>
  <c r="Q37" i="19"/>
  <c r="U37" i="19" s="1"/>
  <c r="Q24" i="19"/>
  <c r="U24" i="19" s="1"/>
  <c r="Q38" i="19"/>
  <c r="U38" i="19" s="1"/>
  <c r="R43" i="19"/>
  <c r="R23" i="19"/>
  <c r="Q47" i="19"/>
  <c r="U47" i="19" s="1"/>
  <c r="Q13" i="19"/>
  <c r="U13" i="19" s="1"/>
  <c r="S3" i="19"/>
  <c r="V3" i="19" s="1"/>
  <c r="Q44" i="19"/>
  <c r="U44" i="19" s="1"/>
  <c r="Q65" i="19"/>
  <c r="U65" i="19" s="1"/>
  <c r="S53" i="19"/>
  <c r="V53" i="19" s="1"/>
  <c r="Q58" i="19"/>
  <c r="U58" i="19" s="1"/>
  <c r="Q61" i="19"/>
  <c r="U61" i="19" s="1"/>
  <c r="Q10" i="19"/>
  <c r="U10" i="19" s="1"/>
  <c r="Q29" i="19"/>
  <c r="U29" i="19" s="1"/>
  <c r="Q49" i="19"/>
  <c r="U49" i="19" s="1"/>
  <c r="Q5" i="19"/>
  <c r="U5" i="19" s="1"/>
  <c r="Q35" i="19"/>
  <c r="U35" i="19" s="1"/>
  <c r="R63" i="19"/>
  <c r="S21" i="19"/>
  <c r="V21" i="19" s="1"/>
  <c r="Q45" i="19"/>
  <c r="U45" i="19" s="1"/>
  <c r="Q39" i="19"/>
  <c r="U39" i="19" s="1"/>
  <c r="Q55" i="19"/>
  <c r="U55" i="19" s="1"/>
  <c r="R9" i="19"/>
  <c r="R62" i="19"/>
  <c r="Q36" i="19"/>
  <c r="U36" i="19" s="1"/>
  <c r="Q14" i="19"/>
  <c r="U14" i="19" s="1"/>
  <c r="Q6" i="19"/>
  <c r="U6" i="19" s="1"/>
  <c r="Q51" i="19"/>
  <c r="U51" i="19" s="1"/>
  <c r="Q4" i="19"/>
  <c r="U4" i="19" s="1"/>
  <c r="Q22" i="19"/>
  <c r="U22" i="19" s="1"/>
  <c r="Q30" i="19"/>
  <c r="U30" i="19" s="1"/>
  <c r="Q52" i="19"/>
  <c r="U52" i="19" s="1"/>
  <c r="Q56" i="19"/>
  <c r="U56" i="19" s="1"/>
  <c r="Q54" i="19"/>
  <c r="U54" i="19" s="1"/>
  <c r="Q12" i="19"/>
  <c r="U12" i="19" s="1"/>
  <c r="Q34" i="19"/>
  <c r="U34" i="19" s="1"/>
  <c r="Q64" i="19"/>
  <c r="U64" i="19" s="1"/>
  <c r="Q19" i="19"/>
  <c r="U19" i="19" s="1"/>
  <c r="Q41" i="19"/>
  <c r="U41" i="19" s="1"/>
  <c r="R30" i="19"/>
  <c r="Q7" i="19"/>
  <c r="U7" i="19" s="1"/>
  <c r="Q16" i="19"/>
  <c r="U16" i="19" s="1"/>
  <c r="Q32" i="19"/>
  <c r="U32" i="19" s="1"/>
  <c r="Q26" i="19"/>
  <c r="U26" i="19" s="1"/>
  <c r="Q28" i="19"/>
  <c r="U28" i="19" s="1"/>
  <c r="Q46" i="19"/>
  <c r="U46" i="19" s="1"/>
  <c r="Q15" i="19"/>
  <c r="U15" i="19" s="1"/>
  <c r="S11" i="19"/>
  <c r="V11" i="19" s="1"/>
  <c r="Q25" i="19"/>
  <c r="U25" i="19" s="1"/>
  <c r="Q59" i="19"/>
  <c r="U59" i="19" s="1"/>
  <c r="Q40" i="19"/>
  <c r="U40" i="19" s="1"/>
  <c r="Q31" i="19"/>
  <c r="U31" i="19" s="1"/>
  <c r="Q66" i="19"/>
  <c r="U66" i="19" s="1"/>
  <c r="R51" i="19"/>
  <c r="S51" i="19"/>
  <c r="V51" i="19" s="1"/>
  <c r="R10" i="19"/>
  <c r="S10" i="19"/>
  <c r="V10" i="19" s="1"/>
  <c r="R32" i="19"/>
  <c r="S32" i="19"/>
  <c r="V32" i="19" s="1"/>
  <c r="R54" i="19"/>
  <c r="S54" i="19"/>
  <c r="V54" i="19" s="1"/>
  <c r="S13" i="19"/>
  <c r="V13" i="19" s="1"/>
  <c r="R13" i="19"/>
  <c r="S45" i="19"/>
  <c r="V45" i="19" s="1"/>
  <c r="R45" i="19"/>
  <c r="R60" i="19"/>
  <c r="S60" i="19"/>
  <c r="V60" i="19" s="1"/>
  <c r="S56" i="19"/>
  <c r="V56" i="19" s="1"/>
  <c r="R56" i="19"/>
  <c r="R57" i="19"/>
  <c r="S57" i="19"/>
  <c r="V57" i="19" s="1"/>
  <c r="R25" i="19"/>
  <c r="S25" i="19"/>
  <c r="V25" i="19" s="1"/>
  <c r="S22" i="19"/>
  <c r="V22" i="19" s="1"/>
  <c r="R22" i="19"/>
  <c r="R27" i="19"/>
  <c r="S27" i="19"/>
  <c r="V27" i="19" s="1"/>
  <c r="R12" i="19"/>
  <c r="S12" i="19"/>
  <c r="V12" i="19" s="1"/>
  <c r="R47" i="19"/>
  <c r="S47" i="19"/>
  <c r="V47" i="19" s="1"/>
  <c r="S24" i="19"/>
  <c r="V24" i="19" s="1"/>
  <c r="R16" i="19"/>
  <c r="S16" i="19"/>
  <c r="V16" i="19" s="1"/>
  <c r="R29" i="19"/>
  <c r="S55" i="19"/>
  <c r="V55" i="19" s="1"/>
  <c r="R55" i="19"/>
  <c r="S61" i="19"/>
  <c r="V61" i="19" s="1"/>
  <c r="R61" i="19"/>
  <c r="S26" i="19"/>
  <c r="V26" i="19" s="1"/>
  <c r="S38" i="19"/>
  <c r="V38" i="19" s="1"/>
  <c r="R38" i="19"/>
  <c r="R58" i="19"/>
  <c r="S58" i="19"/>
  <c r="V58" i="19" s="1"/>
  <c r="R6" i="19"/>
  <c r="S6" i="19"/>
  <c r="V6" i="19" s="1"/>
  <c r="R28" i="19"/>
  <c r="S28" i="19"/>
  <c r="V28" i="19" s="1"/>
  <c r="R41" i="19"/>
  <c r="S41" i="19"/>
  <c r="V41" i="19" s="1"/>
  <c r="R31" i="19"/>
  <c r="S31" i="19"/>
  <c r="V31" i="19" s="1"/>
  <c r="S46" i="19"/>
  <c r="V46" i="19" s="1"/>
  <c r="R46" i="19"/>
  <c r="S14" i="19"/>
  <c r="V14" i="19" s="1"/>
  <c r="R14" i="19"/>
  <c r="S5" i="19"/>
  <c r="V5" i="19" s="1"/>
  <c r="R5" i="19"/>
  <c r="S44" i="19"/>
  <c r="V44" i="19" s="1"/>
  <c r="R44" i="19"/>
  <c r="R4" i="19"/>
  <c r="V4" i="19"/>
  <c r="S7" i="19"/>
  <c r="V7" i="19" s="1"/>
  <c r="R7" i="19"/>
  <c r="S39" i="19"/>
  <c r="V39" i="19" s="1"/>
  <c r="R39" i="19"/>
  <c r="S17" i="19"/>
  <c r="V17" i="19" s="1"/>
  <c r="R17" i="19"/>
  <c r="R33" i="19"/>
  <c r="S33" i="19"/>
  <c r="V33" i="19" s="1"/>
  <c r="R42" i="19"/>
  <c r="S42" i="19"/>
  <c r="V42" i="19" s="1"/>
  <c r="R34" i="19"/>
  <c r="S34" i="19"/>
  <c r="V34" i="19" s="1"/>
  <c r="S2" i="19"/>
  <c r="V2" i="19" s="1"/>
  <c r="R2" i="19"/>
  <c r="S65" i="19"/>
  <c r="V65" i="19" s="1"/>
  <c r="R65" i="19"/>
  <c r="R52" i="19"/>
  <c r="S52" i="19"/>
  <c r="V52" i="19" s="1"/>
  <c r="R36" i="19"/>
  <c r="S36" i="19"/>
  <c r="V36" i="19" s="1"/>
  <c r="S19" i="19"/>
  <c r="V19" i="19" s="1"/>
  <c r="R19" i="19"/>
  <c r="S35" i="19"/>
  <c r="V35" i="19" s="1"/>
  <c r="R35" i="19"/>
  <c r="S68" i="19"/>
  <c r="V68" i="19" s="1"/>
  <c r="R68" i="19"/>
  <c r="S67" i="19"/>
  <c r="V67" i="19" s="1"/>
  <c r="R67" i="19"/>
  <c r="R15" i="19"/>
  <c r="S15" i="19"/>
  <c r="V15" i="19" s="1"/>
  <c r="R50" i="19"/>
  <c r="S50" i="19"/>
  <c r="V50" i="19" s="1"/>
  <c r="R64" i="19"/>
  <c r="S64" i="19"/>
  <c r="V64" i="19" s="1"/>
  <c r="S69" i="19"/>
  <c r="V69" i="19" s="1"/>
  <c r="R69" i="19"/>
  <c r="S59" i="19"/>
  <c r="V59" i="19" s="1"/>
  <c r="R59" i="19"/>
  <c r="R49" i="19"/>
  <c r="S49" i="19"/>
  <c r="V49" i="19" s="1"/>
  <c r="R40" i="19"/>
  <c r="S40" i="19"/>
  <c r="V40" i="19" s="1"/>
  <c r="J10" i="20" a="1"/>
  <c r="J10" i="20" s="1"/>
  <c r="I10" i="20" a="1"/>
  <c r="I10" i="20" s="1"/>
  <c r="AA17" i="9" a="1"/>
  <c r="AA17" i="9" s="1"/>
  <c r="I8" i="20" s="1"/>
  <c r="E10" i="20" a="1"/>
  <c r="E10" i="20" s="1"/>
  <c r="F10" i="20" a="1"/>
  <c r="F10" i="20" s="1"/>
  <c r="P11" i="11"/>
  <c r="O11" i="11"/>
  <c r="Q11" i="11" s="1"/>
  <c r="O13" i="11"/>
  <c r="Q13" i="11" s="1"/>
  <c r="P13" i="11"/>
  <c r="P10" i="11"/>
  <c r="O10" i="11"/>
  <c r="Q10" i="11" s="1"/>
  <c r="P5" i="11"/>
  <c r="O5" i="11"/>
  <c r="Q5" i="11" s="1"/>
  <c r="P27" i="11"/>
  <c r="O27" i="11"/>
  <c r="Q27" i="11" s="1"/>
  <c r="P3" i="11"/>
  <c r="O3" i="11"/>
  <c r="Q3" i="11" s="1"/>
  <c r="P26" i="11"/>
  <c r="O26" i="11"/>
  <c r="Q26" i="11" s="1"/>
  <c r="P25" i="11"/>
  <c r="O25" i="11"/>
  <c r="Q25" i="11" s="1"/>
  <c r="P24" i="11"/>
  <c r="O24" i="11"/>
  <c r="Q24" i="11" s="1"/>
  <c r="P23" i="11"/>
  <c r="O23" i="11"/>
  <c r="Q23" i="11" s="1"/>
  <c r="O21" i="11"/>
  <c r="Q21" i="11" s="1"/>
  <c r="P21" i="11"/>
  <c r="O19" i="11"/>
  <c r="Q19" i="11" s="1"/>
  <c r="P19" i="11"/>
  <c r="O18" i="11"/>
  <c r="Q18" i="11" s="1"/>
  <c r="P18" i="11"/>
  <c r="P17" i="11"/>
  <c r="O17" i="11"/>
  <c r="Q17" i="11" s="1"/>
  <c r="P14" i="11"/>
  <c r="O14" i="11"/>
  <c r="Q14" i="11" s="1"/>
  <c r="P30" i="11"/>
  <c r="O30" i="11"/>
  <c r="Q30" i="11" s="1"/>
  <c r="P2" i="11"/>
  <c r="O2" i="11"/>
  <c r="Q2" i="11" s="1"/>
  <c r="O12" i="11"/>
  <c r="Q12" i="11" s="1"/>
  <c r="P12" i="11"/>
  <c r="P7" i="11"/>
  <c r="O7" i="11"/>
  <c r="Q7" i="11" s="1"/>
  <c r="O9" i="11"/>
  <c r="Q9" i="11" s="1"/>
  <c r="P9" i="11"/>
  <c r="P6" i="11"/>
  <c r="O6" i="11"/>
  <c r="Q6" i="11" s="1"/>
  <c r="P29" i="11"/>
  <c r="O29" i="11"/>
  <c r="Q29" i="11" s="1"/>
  <c r="P28" i="11"/>
  <c r="O28" i="11"/>
  <c r="Q28" i="11" s="1"/>
  <c r="P4" i="11"/>
  <c r="O4" i="11"/>
  <c r="Q4" i="11" s="1"/>
  <c r="M65" i="10"/>
  <c r="O65" i="10" s="1"/>
  <c r="M20" i="10"/>
  <c r="O20" i="10" s="1"/>
  <c r="M77" i="10"/>
  <c r="O77" i="10" s="1"/>
  <c r="M28" i="10"/>
  <c r="O28" i="10" s="1"/>
  <c r="M13" i="10"/>
  <c r="O13" i="10" s="1"/>
  <c r="M11" i="10"/>
  <c r="O11" i="10" s="1"/>
  <c r="M21" i="10"/>
  <c r="O21" i="10" s="1"/>
  <c r="M18" i="10"/>
  <c r="O18" i="10" s="1"/>
  <c r="M69" i="10"/>
  <c r="O69" i="10" s="1"/>
  <c r="M75" i="10"/>
  <c r="O75" i="10" s="1"/>
  <c r="M76" i="10"/>
  <c r="O76" i="10" s="1"/>
  <c r="M32" i="10"/>
  <c r="O32" i="10" s="1"/>
  <c r="M23" i="10"/>
  <c r="O23" i="10" s="1"/>
  <c r="M25" i="10"/>
  <c r="O25" i="10" s="1"/>
  <c r="M73" i="10"/>
  <c r="O73" i="10" s="1"/>
  <c r="M37" i="10"/>
  <c r="O37" i="10" s="1"/>
  <c r="M53" i="10"/>
  <c r="O53" i="10" s="1"/>
  <c r="M79" i="10"/>
  <c r="O79" i="10" s="1"/>
  <c r="M44" i="10"/>
  <c r="O44" i="10" s="1"/>
  <c r="M80" i="10"/>
  <c r="O80" i="10" s="1"/>
  <c r="M39" i="10"/>
  <c r="O39" i="10" s="1"/>
  <c r="M38" i="10"/>
  <c r="O38" i="10" s="1"/>
  <c r="M63" i="10"/>
  <c r="O63" i="10" s="1"/>
  <c r="M30" i="10"/>
  <c r="O30" i="10" s="1"/>
  <c r="M34" i="10"/>
  <c r="O34" i="10" s="1"/>
  <c r="M51" i="10"/>
  <c r="O51" i="10" s="1"/>
  <c r="M7" i="10"/>
  <c r="O7" i="10" s="1"/>
  <c r="M57" i="10"/>
  <c r="O57" i="10" s="1"/>
  <c r="M3" i="10"/>
  <c r="O3" i="10" s="1"/>
  <c r="M15" i="10"/>
  <c r="O15" i="10" s="1"/>
  <c r="M16" i="10"/>
  <c r="O16" i="10" s="1"/>
  <c r="M61" i="10"/>
  <c r="O61" i="10" s="1"/>
  <c r="M26" i="10"/>
  <c r="O26" i="10" s="1"/>
  <c r="M74" i="10"/>
  <c r="O74" i="10" s="1"/>
  <c r="M17" i="10"/>
  <c r="O17" i="10" s="1"/>
  <c r="M33" i="10"/>
  <c r="O33" i="10" s="1"/>
  <c r="M8" i="10"/>
  <c r="O8" i="10" s="1"/>
  <c r="M9" i="10"/>
  <c r="O9" i="10" s="1"/>
  <c r="M19" i="10"/>
  <c r="O19" i="10" s="1"/>
  <c r="M35" i="10"/>
  <c r="O35" i="10" s="1"/>
  <c r="M12" i="10"/>
  <c r="O12" i="10" s="1"/>
  <c r="M67" i="10"/>
  <c r="O67" i="10" s="1"/>
  <c r="M6" i="10"/>
  <c r="O6" i="10" s="1"/>
  <c r="M49" i="10"/>
  <c r="O49" i="10" s="1"/>
  <c r="M27" i="10"/>
  <c r="O27" i="10" s="1"/>
  <c r="M68" i="10"/>
  <c r="O68" i="10" s="1"/>
  <c r="M46" i="10"/>
  <c r="O46" i="10" s="1"/>
  <c r="M4" i="10"/>
  <c r="O4" i="10" s="1"/>
  <c r="M45" i="10"/>
  <c r="O45" i="10" s="1"/>
  <c r="M70" i="10"/>
  <c r="O70" i="10" s="1"/>
  <c r="M29" i="10"/>
  <c r="O29" i="10" s="1"/>
  <c r="M60" i="10"/>
  <c r="O60" i="10" s="1"/>
  <c r="M66" i="10"/>
  <c r="O66" i="10" s="1"/>
  <c r="M54" i="10"/>
  <c r="O54" i="10" s="1"/>
  <c r="M52" i="10"/>
  <c r="O52" i="10" s="1"/>
  <c r="M72" i="10"/>
  <c r="O72" i="10" s="1"/>
  <c r="M22" i="10"/>
  <c r="O22" i="10" s="1"/>
  <c r="M62" i="10"/>
  <c r="O62" i="10" s="1"/>
  <c r="M48" i="10"/>
  <c r="O48" i="10" s="1"/>
  <c r="M43" i="10"/>
  <c r="O43" i="10" s="1"/>
  <c r="M78" i="10"/>
  <c r="O78" i="10" s="1"/>
  <c r="M2" i="10"/>
  <c r="O2" i="10" s="1"/>
  <c r="R15" i="10"/>
  <c r="M47" i="10"/>
  <c r="O47" i="10" s="1"/>
  <c r="M50" i="10"/>
  <c r="O50" i="10" s="1"/>
  <c r="M14" i="10"/>
  <c r="O14" i="10" s="1"/>
  <c r="M40" i="10"/>
  <c r="O40" i="10" s="1"/>
  <c r="M42" i="10"/>
  <c r="O42" i="10" s="1"/>
  <c r="M59" i="10"/>
  <c r="O59" i="10" s="1"/>
  <c r="M64" i="10"/>
  <c r="O64" i="10" s="1"/>
  <c r="M31" i="10"/>
  <c r="O31" i="10" s="1"/>
  <c r="M41" i="10"/>
  <c r="O41" i="10" s="1"/>
  <c r="M24" i="10"/>
  <c r="O24" i="10" s="1"/>
  <c r="M56" i="10"/>
  <c r="O56" i="10" s="1"/>
  <c r="M10" i="10"/>
  <c r="O10" i="10" s="1"/>
  <c r="M58" i="10"/>
  <c r="O58" i="10" s="1"/>
  <c r="M71" i="10"/>
  <c r="O71" i="10" s="1"/>
  <c r="M55" i="10"/>
  <c r="O55" i="10" s="1"/>
  <c r="M36" i="10"/>
  <c r="O36" i="10" s="1"/>
  <c r="M5" i="10"/>
  <c r="O5" i="10" s="1"/>
  <c r="R26" i="19" l="1"/>
  <c r="Q48" i="19"/>
  <c r="U48" i="19" s="1"/>
  <c r="S29" i="19"/>
  <c r="V29" i="19" s="1"/>
  <c r="Q62" i="19"/>
  <c r="U62" i="19" s="1"/>
  <c r="Q21" i="19"/>
  <c r="U21" i="19" s="1"/>
  <c r="S18" i="19"/>
  <c r="V18" i="19" s="1"/>
  <c r="Q63" i="19"/>
  <c r="U63" i="19" s="1"/>
  <c r="Q11" i="19"/>
  <c r="U11" i="19" s="1"/>
  <c r="R18" i="19"/>
  <c r="R3" i="19"/>
  <c r="S43" i="19"/>
  <c r="V43" i="19" s="1"/>
  <c r="Q9" i="19"/>
  <c r="U9" i="19" s="1"/>
  <c r="R37" i="19"/>
  <c r="S66" i="19"/>
  <c r="V66" i="19" s="1"/>
  <c r="Q43" i="19"/>
  <c r="U43" i="19" s="1"/>
  <c r="S37" i="19"/>
  <c r="V37" i="19" s="1"/>
  <c r="R66" i="19"/>
  <c r="Q23" i="19"/>
  <c r="U23" i="19" s="1"/>
  <c r="S20" i="19"/>
  <c r="V20" i="19" s="1"/>
  <c r="S62" i="19"/>
  <c r="V62" i="19" s="1"/>
  <c r="S8" i="19"/>
  <c r="V8" i="19" s="1"/>
  <c r="S30" i="19"/>
  <c r="V30" i="19" s="1"/>
  <c r="R21" i="19"/>
  <c r="R8" i="19"/>
  <c r="Q3" i="19"/>
  <c r="U3" i="19" s="1"/>
  <c r="Y17" i="19" s="1" a="1"/>
  <c r="Y17" i="19" s="1"/>
  <c r="R24" i="19"/>
  <c r="S23" i="19"/>
  <c r="V23" i="19" s="1"/>
  <c r="R20" i="19"/>
  <c r="R53" i="19"/>
  <c r="R11" i="19"/>
  <c r="S63" i="19"/>
  <c r="V63" i="19" s="1"/>
  <c r="Q53" i="19"/>
  <c r="U53" i="19" s="1"/>
  <c r="S48" i="19"/>
  <c r="V48" i="19" s="1"/>
  <c r="S9" i="19"/>
  <c r="V9" i="19" s="1"/>
  <c r="T17" i="11" a="1"/>
  <c r="T17" i="11" s="1"/>
  <c r="O8" i="20" s="1"/>
  <c r="R17" i="10" a="1"/>
  <c r="R17" i="10" s="1"/>
  <c r="E8" i="20" s="1"/>
  <c r="P10" i="20" a="1"/>
  <c r="P10" i="20" s="1"/>
  <c r="O10" i="20" a="1"/>
  <c r="O10" i="20" s="1"/>
  <c r="Y23" i="19" l="1"/>
  <c r="Y22" i="19"/>
  <c r="AA9" i="18" l="1"/>
  <c r="Q11" i="18" l="1"/>
  <c r="S11" i="18" s="1"/>
  <c r="Q7" i="18"/>
  <c r="S7" i="18" s="1"/>
  <c r="Q6" i="18"/>
  <c r="S6" i="18" s="1"/>
  <c r="Q2" i="18"/>
  <c r="Q12" i="18"/>
  <c r="S12" i="18" s="1"/>
  <c r="Q17" i="18"/>
  <c r="Q16" i="18"/>
  <c r="S16" i="18" s="1"/>
  <c r="Q14" i="18"/>
  <c r="S14" i="18" s="1"/>
  <c r="Q13" i="18"/>
  <c r="Q3" i="18"/>
  <c r="S3" i="18" s="1"/>
  <c r="Q18" i="18"/>
  <c r="Q5" i="18"/>
  <c r="S5" i="18" s="1"/>
  <c r="Q10" i="18"/>
  <c r="S10" i="18" s="1"/>
  <c r="Q9" i="18"/>
  <c r="S9" i="18" s="1"/>
  <c r="Q4" i="18"/>
  <c r="S4" i="18" s="1"/>
  <c r="Q15" i="18"/>
  <c r="S15" i="18" s="1"/>
  <c r="Q8" i="18"/>
  <c r="S8" i="18" s="1"/>
  <c r="S13" i="18"/>
  <c r="S17" i="18"/>
  <c r="S18" i="18"/>
  <c r="U7" i="18" l="1"/>
  <c r="W7" i="18"/>
  <c r="T7" i="18"/>
  <c r="V7" i="18" s="1"/>
  <c r="U6" i="18"/>
  <c r="T6" i="18"/>
  <c r="V6" i="18" s="1"/>
  <c r="W6" i="18"/>
  <c r="U11" i="18"/>
  <c r="W11" i="18"/>
  <c r="T11" i="18"/>
  <c r="V11" i="18" s="1"/>
  <c r="U16" i="18"/>
  <c r="U10" i="18"/>
  <c r="U18" i="18"/>
  <c r="U17" i="18"/>
  <c r="W15" i="18"/>
  <c r="T14" i="18"/>
  <c r="V14" i="18" s="1"/>
  <c r="T13" i="18"/>
  <c r="V13" i="18" s="1"/>
  <c r="U12" i="18"/>
  <c r="U5" i="18"/>
  <c r="S2" i="18"/>
  <c r="T9" i="18"/>
  <c r="V9" i="18" s="1"/>
  <c r="AE9" i="18"/>
  <c r="U4" i="18"/>
  <c r="T3" i="18"/>
  <c r="V3" i="18" s="1"/>
  <c r="U15" i="18"/>
  <c r="U2" i="18" l="1"/>
  <c r="AA15" i="18"/>
  <c r="T16" i="18"/>
  <c r="V16" i="18" s="1"/>
  <c r="W16" i="18"/>
  <c r="T10" i="18"/>
  <c r="V10" i="18" s="1"/>
  <c r="W10" i="18"/>
  <c r="T17" i="18"/>
  <c r="V17" i="18" s="1"/>
  <c r="U13" i="18"/>
  <c r="W17" i="18"/>
  <c r="W13" i="18"/>
  <c r="W14" i="18"/>
  <c r="U14" i="18"/>
  <c r="U8" i="18"/>
  <c r="W8" i="18"/>
  <c r="T8" i="18"/>
  <c r="V8" i="18" s="1"/>
  <c r="W2" i="18"/>
  <c r="T2" i="18"/>
  <c r="V2" i="18" s="1"/>
  <c r="T18" i="18"/>
  <c r="V18" i="18" s="1"/>
  <c r="T4" i="18"/>
  <c r="V4" i="18" s="1"/>
  <c r="T5" i="18"/>
  <c r="V5" i="18" s="1"/>
  <c r="T15" i="18"/>
  <c r="V15" i="18" s="1"/>
  <c r="W9" i="18"/>
  <c r="U9" i="18"/>
  <c r="T12" i="18"/>
  <c r="V12" i="18" s="1"/>
  <c r="W12" i="18"/>
  <c r="W3" i="18"/>
  <c r="U3" i="18"/>
  <c r="W4" i="18"/>
  <c r="W18" i="18"/>
  <c r="W5" i="18"/>
  <c r="AA17" i="18" l="1" a="1"/>
  <c r="AA17" i="18" s="1"/>
  <c r="P34" i="26" l="1"/>
  <c r="P37" i="26"/>
  <c r="P50" i="26"/>
  <c r="P59" i="26"/>
  <c r="P64" i="26"/>
  <c r="P33" i="26"/>
  <c r="P44" i="26"/>
  <c r="P74" i="26"/>
  <c r="P49" i="26"/>
  <c r="P39" i="26"/>
  <c r="P52" i="26"/>
  <c r="P45" i="26"/>
  <c r="P61" i="26"/>
  <c r="P22" i="26"/>
  <c r="P58" i="26"/>
  <c r="P32" i="26"/>
  <c r="P55" i="26"/>
  <c r="P76" i="26"/>
  <c r="P13" i="26"/>
  <c r="P70" i="26"/>
  <c r="P51" i="26"/>
  <c r="P63" i="26"/>
  <c r="P29" i="26"/>
  <c r="P21" i="26"/>
  <c r="P27" i="26"/>
  <c r="P40" i="26"/>
  <c r="P66" i="26"/>
  <c r="P10" i="26"/>
  <c r="P65" i="26"/>
  <c r="P17" i="26"/>
  <c r="P54" i="26"/>
  <c r="P25" i="26"/>
  <c r="P7" i="26"/>
  <c r="P12" i="26"/>
  <c r="P38" i="26"/>
  <c r="P31" i="26"/>
  <c r="P20" i="26"/>
  <c r="P75" i="26"/>
  <c r="P19" i="26"/>
  <c r="P53" i="26"/>
  <c r="P16" i="26"/>
  <c r="P68" i="26"/>
  <c r="P73" i="26"/>
  <c r="P78" i="26"/>
  <c r="P71" i="26"/>
  <c r="P4" i="26"/>
  <c r="P36" i="26"/>
  <c r="P57" i="26"/>
  <c r="P24" i="26"/>
  <c r="P23" i="26"/>
  <c r="P42" i="26"/>
  <c r="P2" i="26"/>
  <c r="P26" i="26"/>
  <c r="P47" i="26"/>
  <c r="P18" i="26"/>
  <c r="P46" i="26"/>
  <c r="P56" i="26"/>
  <c r="P5" i="26"/>
  <c r="P3" i="26"/>
  <c r="P77" i="26"/>
  <c r="P15" i="26"/>
  <c r="P8" i="26" l="1"/>
  <c r="P6" i="26"/>
  <c r="S14" i="26" s="1" a="1"/>
  <c r="S14" i="26" s="1"/>
  <c r="H10" i="20" l="1" a="1"/>
  <c r="H10" i="20" s="1"/>
  <c r="G10" i="20" a="1"/>
  <c r="G10" i="2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4ABAB5-EB0E-4BF5-B79C-340514763BD5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A9C7DDA4-029F-4B9D-953A-8412D16E62D6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3" xr16:uid="{431DB064-4D65-4D28-B8E8-A71A819DEB58}" keepAlive="1" name="Query - Table002 (Page 2-3)" description="Connection to the 'Table002 (Page 2-3)' query in the workbook." type="5" refreshedVersion="8" background="1" saveData="1">
    <dbPr connection="Provider=Microsoft.Mashup.OleDb.1;Data Source=$Workbook$;Location=&quot;Table002 (Page 2-3)&quot;;Extended Properties=&quot;&quot;" command="SELECT * FROM [Table002 (Page 2-3)]"/>
  </connection>
  <connection id="4" xr16:uid="{D7151149-B895-47BF-8190-4B426E3E6EA0}" keepAlive="1" name="Query - Table003 (Page 4-5)" description="Connection to the 'Table003 (Page 4-5)' query in the workbook." type="5" refreshedVersion="8" background="1" saveData="1">
    <dbPr connection="Provider=Microsoft.Mashup.OleDb.1;Data Source=$Workbook$;Location=&quot;Table003 (Page 4-5)&quot;;Extended Properties=&quot;&quot;" command="SELECT * FROM [Table003 (Page 4-5)]"/>
  </connection>
  <connection id="5" xr16:uid="{90E2356D-9E3D-4F70-BBD7-8D13F3F9C213}" keepAlive="1" name="Query - Table004 (Page 6)" description="Connection to the 'Table004 (Page 6)' query in the workbook." type="5" refreshedVersion="0" background="1">
    <dbPr connection="Provider=Microsoft.Mashup.OleDb.1;Data Source=$Workbook$;Location=&quot;Table004 (Page 6)&quot;;Extended Properties=&quot;&quot;" command="SELECT * FROM [Table004 (Page 6)]"/>
  </connection>
  <connection id="6" xr16:uid="{B11B6824-B123-4EC0-AEEF-B462D1459D16}" keepAlive="1" name="Query - Table066 (Page 46)" description="Connection to the 'Table066 (Page 46)' query in the workbook." type="5" refreshedVersion="8" background="1" saveData="1">
    <dbPr connection="Provider=Microsoft.Mashup.OleDb.1;Data Source=$Workbook$;Location=&quot;Table066 (Page 46)&quot;;Extended Properties=&quot;&quot;" command="SELECT * FROM [Table066 (Page 46)]"/>
  </connection>
  <connection id="7" xr16:uid="{B355EC9A-5D29-4470-B87C-05A61A14061A}" keepAlive="1" name="Query - Table067 (Page 47)" description="Connection to the 'Table067 (Page 47)' query in the workbook." type="5" refreshedVersion="0" background="1">
    <dbPr connection="Provider=Microsoft.Mashup.OleDb.1;Data Source=$Workbook$;Location=&quot;Table067 (Page 47)&quot;;Extended Properties=&quot;&quot;" command="SELECT * FROM [Table067 (Page 47)]"/>
  </connection>
  <connection id="8" xr16:uid="{7E7581A6-BD1C-487A-81A2-2F456B9490E3}" keepAlive="1" name="Query - Table068 (Page 48)" description="Connection to the 'Table068 (Page 48)' query in the workbook." type="5" refreshedVersion="0" background="1">
    <dbPr connection="Provider=Microsoft.Mashup.OleDb.1;Data Source=$Workbook$;Location=&quot;Table068 (Page 48)&quot;;Extended Properties=&quot;&quot;" command="SELECT * FROM [Table068 (Page 48)]"/>
  </connection>
  <connection id="9" xr16:uid="{0FDE266E-B7A9-42CA-A258-642C831911EB}" keepAlive="1" name="Query - Table069 (Page 49)" description="Connection to the 'Table069 (Page 49)' query in the workbook." type="5" refreshedVersion="0" background="1">
    <dbPr connection="Provider=Microsoft.Mashup.OleDb.1;Data Source=$Workbook$;Location=&quot;Table069 (Page 49)&quot;;Extended Properties=&quot;&quot;" command="SELECT * FROM [Table069 (Page 49)]"/>
  </connection>
  <connection id="10" xr16:uid="{C98606FC-4497-4C09-9822-93BDCD7E4B3C}" keepAlive="1" name="Query - Table114 (Page 104-105)" description="Connection to the 'Table114 (Page 104-105)' query in the workbook." type="5" refreshedVersion="8" background="1" saveData="1">
    <dbPr connection="Provider=Microsoft.Mashup.OleDb.1;Data Source=$Workbook$;Location=&quot;Table114 (Page 104-105)&quot;;Extended Properties=&quot;&quot;" command="SELECT * FROM [Table114 (Page 104-105)]"/>
  </connection>
  <connection id="11" xr16:uid="{962509FC-1B03-46E0-8C91-A25F1C6964F3}" keepAlive="1" name="Query - Table114 (Page 104-105) (2)" description="Connection to the 'Table114 (Page 104-105) (2)' query in the workbook." type="5" refreshedVersion="8" background="1" saveData="1">
    <dbPr connection="Provider=Microsoft.Mashup.OleDb.1;Data Source=$Workbook$;Location=&quot;Table114 (Page 104-105) (2)&quot;;Extended Properties=&quot;&quot;" command="SELECT * FROM [Table114 (Page 104-105)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<sst xmlns="http://schemas.openxmlformats.org/spreadsheetml/2006/main" count="1025" uniqueCount="674">
  <si>
    <t>Alpine S</t>
  </si>
  <si>
    <t>Ararat RC</t>
  </si>
  <si>
    <t>Ballarat C</t>
  </si>
  <si>
    <t>Banyule C</t>
  </si>
  <si>
    <t>Bass Coast S</t>
  </si>
  <si>
    <t>Baw Baw S</t>
  </si>
  <si>
    <t>Bayside C</t>
  </si>
  <si>
    <t>Benalla RC</t>
  </si>
  <si>
    <t>Boroondara C</t>
  </si>
  <si>
    <t>Brimbank C</t>
  </si>
  <si>
    <t>Buloke S</t>
  </si>
  <si>
    <t>Campaspe S</t>
  </si>
  <si>
    <t>Cardinia S</t>
  </si>
  <si>
    <t>Casey C</t>
  </si>
  <si>
    <t>Central Goldfields S</t>
  </si>
  <si>
    <t>Colac Otway S</t>
  </si>
  <si>
    <t>Corangamite S</t>
  </si>
  <si>
    <t>Darebin C</t>
  </si>
  <si>
    <t>East Gippsland S</t>
  </si>
  <si>
    <t>Frankston C</t>
  </si>
  <si>
    <t>Gannawarra S</t>
  </si>
  <si>
    <t>Glen Eira C</t>
  </si>
  <si>
    <t>Glenelg S</t>
  </si>
  <si>
    <t>Golden Plains S</t>
  </si>
  <si>
    <t>Greater Bendigo C</t>
  </si>
  <si>
    <t>Greater Dandenong C</t>
  </si>
  <si>
    <t>Greater Geelong C</t>
  </si>
  <si>
    <t>Greater Shepparton C</t>
  </si>
  <si>
    <t>Hepburn S</t>
  </si>
  <si>
    <t>Hindmarsh S</t>
  </si>
  <si>
    <t>Hobsons Bay C</t>
  </si>
  <si>
    <t>Horsham RC</t>
  </si>
  <si>
    <t>Hume C</t>
  </si>
  <si>
    <t>Indigo S</t>
  </si>
  <si>
    <t>Kingston C</t>
  </si>
  <si>
    <t>Knox C</t>
  </si>
  <si>
    <t>Latrobe C</t>
  </si>
  <si>
    <t>Loddon S</t>
  </si>
  <si>
    <t>Macedon Ranges S</t>
  </si>
  <si>
    <t>Manningham C</t>
  </si>
  <si>
    <t>Mansfield S</t>
  </si>
  <si>
    <t>Maribyrnong C</t>
  </si>
  <si>
    <t>Maroondah C</t>
  </si>
  <si>
    <t>Melbourne C</t>
  </si>
  <si>
    <t>Melton C</t>
  </si>
  <si>
    <t>Merri-bek C</t>
  </si>
  <si>
    <t>Mildura RC</t>
  </si>
  <si>
    <t>Mitchell S</t>
  </si>
  <si>
    <t>Moira S</t>
  </si>
  <si>
    <t>Monash C</t>
  </si>
  <si>
    <t>Moonee Valley C</t>
  </si>
  <si>
    <t>Moorabool S</t>
  </si>
  <si>
    <t>Mornington Peninsula S</t>
  </si>
  <si>
    <t>Mount Alexander S</t>
  </si>
  <si>
    <t>Moyne S</t>
  </si>
  <si>
    <t>Murrindindi S</t>
  </si>
  <si>
    <t>Nillumbik S</t>
  </si>
  <si>
    <t>Northern Grampians S</t>
  </si>
  <si>
    <t>Port Phillip C</t>
  </si>
  <si>
    <t>Pyrenees S</t>
  </si>
  <si>
    <t>Queenscliffe B</t>
  </si>
  <si>
    <t>South Gippsland S</t>
  </si>
  <si>
    <t>Southern Grampians S</t>
  </si>
  <si>
    <t>Stonnington C</t>
  </si>
  <si>
    <t>Strathbogie S</t>
  </si>
  <si>
    <t>Surf Coast S</t>
  </si>
  <si>
    <t>Swan Hill RC</t>
  </si>
  <si>
    <t>Towong S</t>
  </si>
  <si>
    <t>Wangaratta RC</t>
  </si>
  <si>
    <t>Warrnambool C</t>
  </si>
  <si>
    <t>Wellington S</t>
  </si>
  <si>
    <t>West Wimmera S</t>
  </si>
  <si>
    <t>Whitehorse C</t>
  </si>
  <si>
    <t>Whittlesea C</t>
  </si>
  <si>
    <t>Wodonga C</t>
  </si>
  <si>
    <t>Wyndham C</t>
  </si>
  <si>
    <t>Yarra C</t>
  </si>
  <si>
    <t>Yarra Ranges S</t>
  </si>
  <si>
    <t>Yarriambiack S</t>
  </si>
  <si>
    <t>ERP</t>
  </si>
  <si>
    <t>Council</t>
  </si>
  <si>
    <t>Local Government</t>
  </si>
  <si>
    <t>Albany</t>
  </si>
  <si>
    <t xml:space="preserve">Armadale </t>
  </si>
  <si>
    <t xml:space="preserve">Ashburton </t>
  </si>
  <si>
    <t xml:space="preserve">Augusta-Margaret River </t>
  </si>
  <si>
    <t xml:space="preserve">Bassendean </t>
  </si>
  <si>
    <t xml:space="preserve">Bayswater </t>
  </si>
  <si>
    <t xml:space="preserve">Belmont </t>
  </si>
  <si>
    <t xml:space="preserve">Beverley </t>
  </si>
  <si>
    <t xml:space="preserve">Boddington </t>
  </si>
  <si>
    <t xml:space="preserve">Boyup Brook </t>
  </si>
  <si>
    <t xml:space="preserve">Bridgetown-Greenbushes </t>
  </si>
  <si>
    <t xml:space="preserve">Brookton </t>
  </si>
  <si>
    <t xml:space="preserve">Broome </t>
  </si>
  <si>
    <t xml:space="preserve">Broomehill-Tambellup </t>
  </si>
  <si>
    <t xml:space="preserve">Bruce Rock </t>
  </si>
  <si>
    <t xml:space="preserve">Bunbury </t>
  </si>
  <si>
    <t xml:space="preserve">Busselton </t>
  </si>
  <si>
    <t xml:space="preserve">Cambridge </t>
  </si>
  <si>
    <t xml:space="preserve">Canning </t>
  </si>
  <si>
    <t xml:space="preserve">Capel </t>
  </si>
  <si>
    <t xml:space="preserve">Carnamah </t>
  </si>
  <si>
    <t xml:space="preserve">Carnarvon </t>
  </si>
  <si>
    <t xml:space="preserve">Chapman Valley </t>
  </si>
  <si>
    <t xml:space="preserve">Chittering </t>
  </si>
  <si>
    <t xml:space="preserve">Claremont </t>
  </si>
  <si>
    <t xml:space="preserve">Cockburn </t>
  </si>
  <si>
    <t xml:space="preserve">Collie </t>
  </si>
  <si>
    <t xml:space="preserve">Coolgardie </t>
  </si>
  <si>
    <t xml:space="preserve">Coorow </t>
  </si>
  <si>
    <t xml:space="preserve">Corrigin </t>
  </si>
  <si>
    <t xml:space="preserve">Cottesloe </t>
  </si>
  <si>
    <t xml:space="preserve">Cranbrook </t>
  </si>
  <si>
    <t xml:space="preserve">Cuballing </t>
  </si>
  <si>
    <t xml:space="preserve">Cue </t>
  </si>
  <si>
    <t xml:space="preserve">Cunderdin </t>
  </si>
  <si>
    <t xml:space="preserve">Dalwallinu </t>
  </si>
  <si>
    <t xml:space="preserve">Dandaragan </t>
  </si>
  <si>
    <t xml:space="preserve">Dardanup </t>
  </si>
  <si>
    <t xml:space="preserve">Denmark </t>
  </si>
  <si>
    <t xml:space="preserve">Derby-West Kimberley </t>
  </si>
  <si>
    <t xml:space="preserve">Donnybrook-Balingup </t>
  </si>
  <si>
    <t xml:space="preserve">Dowerin </t>
  </si>
  <si>
    <t xml:space="preserve">Dumbleyung </t>
  </si>
  <si>
    <t xml:space="preserve">Dundas </t>
  </si>
  <si>
    <t xml:space="preserve">East Fremantle </t>
  </si>
  <si>
    <t xml:space="preserve">East Pilbara </t>
  </si>
  <si>
    <t xml:space="preserve">Esperance </t>
  </si>
  <si>
    <t xml:space="preserve">Exmouth </t>
  </si>
  <si>
    <t xml:space="preserve">Fremantle </t>
  </si>
  <si>
    <t xml:space="preserve">Gingin </t>
  </si>
  <si>
    <t xml:space="preserve">Gnowangerup </t>
  </si>
  <si>
    <t xml:space="preserve">Goomalling </t>
  </si>
  <si>
    <t xml:space="preserve">Gosnells </t>
  </si>
  <si>
    <t>Greater Geraldton*</t>
  </si>
  <si>
    <t xml:space="preserve">Halls Creek </t>
  </si>
  <si>
    <t xml:space="preserve">Harvey </t>
  </si>
  <si>
    <t xml:space="preserve">Irwin </t>
  </si>
  <si>
    <t xml:space="preserve">Jerramungup </t>
  </si>
  <si>
    <t xml:space="preserve">Joondalup </t>
  </si>
  <si>
    <t xml:space="preserve">Kalamunda </t>
  </si>
  <si>
    <t xml:space="preserve">Kalgoorlie-Boulder </t>
  </si>
  <si>
    <t xml:space="preserve">Karratha </t>
  </si>
  <si>
    <t xml:space="preserve">Katanning </t>
  </si>
  <si>
    <t xml:space="preserve">Kellerberrin </t>
  </si>
  <si>
    <t xml:space="preserve">Kent </t>
  </si>
  <si>
    <t xml:space="preserve">Kojonup </t>
  </si>
  <si>
    <t xml:space="preserve">Kondinin </t>
  </si>
  <si>
    <t xml:space="preserve">Koorda </t>
  </si>
  <si>
    <t xml:space="preserve">Kulin </t>
  </si>
  <si>
    <t xml:space="preserve">Kwinana </t>
  </si>
  <si>
    <t xml:space="preserve">Lake Grace </t>
  </si>
  <si>
    <t xml:space="preserve">Laverton </t>
  </si>
  <si>
    <t xml:space="preserve">Leonora </t>
  </si>
  <si>
    <t xml:space="preserve">Mandurah </t>
  </si>
  <si>
    <t xml:space="preserve">Manjimup </t>
  </si>
  <si>
    <t xml:space="preserve">Meekatharra </t>
  </si>
  <si>
    <t xml:space="preserve">Melville </t>
  </si>
  <si>
    <t xml:space="preserve">Menzies </t>
  </si>
  <si>
    <t xml:space="preserve">Merredin </t>
  </si>
  <si>
    <t xml:space="preserve">Mingenew </t>
  </si>
  <si>
    <t xml:space="preserve">Moora </t>
  </si>
  <si>
    <t xml:space="preserve">Morawa </t>
  </si>
  <si>
    <t xml:space="preserve">Mosman Park </t>
  </si>
  <si>
    <t xml:space="preserve">Mount Magnet </t>
  </si>
  <si>
    <t xml:space="preserve">Mount Marshall </t>
  </si>
  <si>
    <t xml:space="preserve">Mukinbudin </t>
  </si>
  <si>
    <t xml:space="preserve">Mundaring </t>
  </si>
  <si>
    <t xml:space="preserve">Murchison </t>
  </si>
  <si>
    <t xml:space="preserve">Murray </t>
  </si>
  <si>
    <t xml:space="preserve">Nannup </t>
  </si>
  <si>
    <t xml:space="preserve">Narembeen </t>
  </si>
  <si>
    <t xml:space="preserve">Narrogin(S) </t>
  </si>
  <si>
    <t xml:space="preserve">Nedlands </t>
  </si>
  <si>
    <t xml:space="preserve">Ngaanyatjarraku </t>
  </si>
  <si>
    <t xml:space="preserve">Northam </t>
  </si>
  <si>
    <t xml:space="preserve">Northampton </t>
  </si>
  <si>
    <t xml:space="preserve">Nungarin </t>
  </si>
  <si>
    <t xml:space="preserve">Peppermint Grove </t>
  </si>
  <si>
    <t xml:space="preserve">Perenjori </t>
  </si>
  <si>
    <t xml:space="preserve">Perth </t>
  </si>
  <si>
    <t xml:space="preserve">Pingelly </t>
  </si>
  <si>
    <t xml:space="preserve">Plantagenet </t>
  </si>
  <si>
    <t xml:space="preserve">Port Hedland </t>
  </si>
  <si>
    <t xml:space="preserve">Quairading </t>
  </si>
  <si>
    <t xml:space="preserve">Ravensthorpe </t>
  </si>
  <si>
    <t xml:space="preserve">Rockingham </t>
  </si>
  <si>
    <t xml:space="preserve">Sandstone </t>
  </si>
  <si>
    <t xml:space="preserve">Serpentine-Jarrahdale </t>
  </si>
  <si>
    <t xml:space="preserve">Shark Bay </t>
  </si>
  <si>
    <t xml:space="preserve">South Perth </t>
  </si>
  <si>
    <t xml:space="preserve">Stirling </t>
  </si>
  <si>
    <t xml:space="preserve">Subiaco </t>
  </si>
  <si>
    <t xml:space="preserve">Swan </t>
  </si>
  <si>
    <t xml:space="preserve">Tammin </t>
  </si>
  <si>
    <t xml:space="preserve">Three Springs </t>
  </si>
  <si>
    <t xml:space="preserve">Toodyay </t>
  </si>
  <si>
    <t xml:space="preserve">Trayning </t>
  </si>
  <si>
    <t xml:space="preserve">Upper Gascoyne </t>
  </si>
  <si>
    <t xml:space="preserve">Victoria Park </t>
  </si>
  <si>
    <t xml:space="preserve">Victoria Plains </t>
  </si>
  <si>
    <t xml:space="preserve">Vincent </t>
  </si>
  <si>
    <t xml:space="preserve">Wagin </t>
  </si>
  <si>
    <t xml:space="preserve">Wandering </t>
  </si>
  <si>
    <t xml:space="preserve">Wanneroo </t>
  </si>
  <si>
    <t xml:space="preserve">Waroona </t>
  </si>
  <si>
    <t xml:space="preserve">West Arthur </t>
  </si>
  <si>
    <t xml:space="preserve">Westonia </t>
  </si>
  <si>
    <t xml:space="preserve">Wickepin </t>
  </si>
  <si>
    <t xml:space="preserve">Williams </t>
  </si>
  <si>
    <t xml:space="preserve">Wiluna </t>
  </si>
  <si>
    <t xml:space="preserve">Wongan-Ballidu </t>
  </si>
  <si>
    <t xml:space="preserve">Woodanilling </t>
  </si>
  <si>
    <t xml:space="preserve">Wyalkatchem </t>
  </si>
  <si>
    <t xml:space="preserve">Wyndham-East Kimberley </t>
  </si>
  <si>
    <t xml:space="preserve">Yalgoo </t>
  </si>
  <si>
    <t xml:space="preserve">Yilgarn </t>
  </si>
  <si>
    <t xml:space="preserve">York </t>
  </si>
  <si>
    <t>2024 Population</t>
  </si>
  <si>
    <t>2023-24 Grant</t>
  </si>
  <si>
    <t>Revenue</t>
  </si>
  <si>
    <t>Expenditure</t>
  </si>
  <si>
    <t>Expenditure Less Cost Adjustors</t>
  </si>
  <si>
    <t>Cost Adjustors</t>
  </si>
  <si>
    <t>2024-25 Equalisation</t>
  </si>
  <si>
    <t>2023-24 Equalisation</t>
  </si>
  <si>
    <t>2022-23 Equalisation</t>
  </si>
  <si>
    <t>2021-22 Equalisation</t>
  </si>
  <si>
    <t>2020-21 Equalisation</t>
  </si>
  <si>
    <t>2019-20 Equalisation</t>
  </si>
  <si>
    <t>Average Equalisation</t>
  </si>
  <si>
    <t>2024-25 Grant</t>
  </si>
  <si>
    <t>Standardised Expenditure</t>
  </si>
  <si>
    <t>Standardised Revenue</t>
  </si>
  <si>
    <t>Grant unadjusted</t>
  </si>
  <si>
    <t>Break O'Day</t>
  </si>
  <si>
    <t>Brighton</t>
  </si>
  <si>
    <t>Burnie</t>
  </si>
  <si>
    <t>Central Coast</t>
  </si>
  <si>
    <t>Circular Head</t>
  </si>
  <si>
    <t>Clarence</t>
  </si>
  <si>
    <t>Devonport</t>
  </si>
  <si>
    <t>Dorset</t>
  </si>
  <si>
    <t>Flinders</t>
  </si>
  <si>
    <t>George Town</t>
  </si>
  <si>
    <t>Glamorgan-Spring Bay</t>
  </si>
  <si>
    <t>Glenorchy</t>
  </si>
  <si>
    <t>Hobart</t>
  </si>
  <si>
    <t>Huon Valley</t>
  </si>
  <si>
    <t>Kentish</t>
  </si>
  <si>
    <t>King Island</t>
  </si>
  <si>
    <t>Kingborough</t>
  </si>
  <si>
    <t>Latrobe</t>
  </si>
  <si>
    <t>Launceston</t>
  </si>
  <si>
    <t>Sorell</t>
  </si>
  <si>
    <t>Tasman</t>
  </si>
  <si>
    <t>Waratah-Wynyard</t>
  </si>
  <si>
    <t>West Coast</t>
  </si>
  <si>
    <t>West Tamar</t>
  </si>
  <si>
    <t>Minimum Grant</t>
  </si>
  <si>
    <t>Revenue Capacity</t>
  </si>
  <si>
    <t>Expenditure Requirement</t>
  </si>
  <si>
    <t>Assessed Deficit</t>
  </si>
  <si>
    <t>Relative Needs Requirements</t>
  </si>
  <si>
    <t>Total Base Grant (Before Cap/Collar)</t>
  </si>
  <si>
    <t>Service Population - Jun 2023</t>
  </si>
  <si>
    <t>Central Highlands</t>
  </si>
  <si>
    <t>Derwent Valley</t>
  </si>
  <si>
    <t>Meander Valley</t>
  </si>
  <si>
    <t>Northern Midlands</t>
  </si>
  <si>
    <t>Southern Midlands</t>
  </si>
  <si>
    <t>2024-25 GPG
entitlement</t>
  </si>
  <si>
    <t>Segment</t>
  </si>
  <si>
    <t>In year
population</t>
  </si>
  <si>
    <t>Segment uplift</t>
  </si>
  <si>
    <t>Total multiplier</t>
  </si>
  <si>
    <t>Aurukun Shire Council</t>
  </si>
  <si>
    <t>Indigenous</t>
  </si>
  <si>
    <t>Balonne Shire Council</t>
  </si>
  <si>
    <t>Very small</t>
  </si>
  <si>
    <t>Banana Shire Council</t>
  </si>
  <si>
    <t>Small</t>
  </si>
  <si>
    <t>Barcaldine Regional Council</t>
  </si>
  <si>
    <t>Barcoo Shire Council</t>
  </si>
  <si>
    <t>Blackall-Tambo Regional Council</t>
  </si>
  <si>
    <t>Boulia Shire Council</t>
  </si>
  <si>
    <t>Brisbane City Council</t>
  </si>
  <si>
    <t>Bulloo Shire Council</t>
  </si>
  <si>
    <t>Bundaberg Regional Council</t>
  </si>
  <si>
    <t>Burdekin Shire Council</t>
  </si>
  <si>
    <t>Burke Shire Council</t>
  </si>
  <si>
    <t>Cairns Regional Council</t>
  </si>
  <si>
    <t>Carpentaria Shire Council</t>
  </si>
  <si>
    <t>Cassowary Coast Regional Council</t>
  </si>
  <si>
    <t>Medium</t>
  </si>
  <si>
    <t>Central Highlands Regional Council</t>
  </si>
  <si>
    <t>Charters Towers Regional Council</t>
  </si>
  <si>
    <t>Cherbourg Aboriginal Shire Council</t>
  </si>
  <si>
    <t>Cloncurry Shire Council</t>
  </si>
  <si>
    <t>Cook Shire Council</t>
  </si>
  <si>
    <t>Croydon Shire Council</t>
  </si>
  <si>
    <t>Diamantina Shire Council</t>
  </si>
  <si>
    <t>Doomadgee Aboriginal Shire Council</t>
  </si>
  <si>
    <t>Douglas Shire Council</t>
  </si>
  <si>
    <t>Etheridge Shire Council</t>
  </si>
  <si>
    <t>Flinders Shire Council</t>
  </si>
  <si>
    <t>Fraser Coast Regional Council</t>
  </si>
  <si>
    <t>Gladstone Regional Council</t>
  </si>
  <si>
    <t>Gold Coast City Council</t>
  </si>
  <si>
    <t>Goondiwindi Regional Council</t>
  </si>
  <si>
    <t>Gympie Regional Council</t>
  </si>
  <si>
    <t>Hinchinbrook Shire Council</t>
  </si>
  <si>
    <t>Hope Vale Aboriginal Shire Council</t>
  </si>
  <si>
    <t>Ipswich City Council</t>
  </si>
  <si>
    <t>Isaac Regional Council</t>
  </si>
  <si>
    <t>Kowanyama Aboriginal Shire Council</t>
  </si>
  <si>
    <t>Livingstone Shire Council</t>
  </si>
  <si>
    <t>Lockhart River Aboriginal Shire Council</t>
  </si>
  <si>
    <t>Lockyer Valley Regional Council</t>
  </si>
  <si>
    <t>Logan City Council</t>
  </si>
  <si>
    <t>Longreach Regional Council</t>
  </si>
  <si>
    <t>Mackay Regional Council</t>
  </si>
  <si>
    <t>Mapoon Aboriginal Shire Council</t>
  </si>
  <si>
    <t>Maranoa Regional Council</t>
  </si>
  <si>
    <t>Mareeba Shire Council</t>
  </si>
  <si>
    <t>McKinlay Shire Council</t>
  </si>
  <si>
    <t>Moreton Bay Regional Council</t>
  </si>
  <si>
    <t>Mornington Shire Council</t>
  </si>
  <si>
    <t>Mount Isa City Council</t>
  </si>
  <si>
    <t>Murweh Shire Council</t>
  </si>
  <si>
    <t>Napranum Aboriginal Shire Council</t>
  </si>
  <si>
    <t>Noosa Shire Council</t>
  </si>
  <si>
    <t>North Burnett Regional Council</t>
  </si>
  <si>
    <t>Northern Peninsula Area Regional Council</t>
  </si>
  <si>
    <t>Palm Island Aboriginal Shire Council</t>
  </si>
  <si>
    <t>Paroo Shire Council</t>
  </si>
  <si>
    <t>Pormpuraaw Aboriginal Shire Council</t>
  </si>
  <si>
    <t>Quilpie Shire Council</t>
  </si>
  <si>
    <t>Redland City Council</t>
  </si>
  <si>
    <t>Richmond Shire Council</t>
  </si>
  <si>
    <t>Rockhampton Regional Council</t>
  </si>
  <si>
    <t>Scenic Rim Regional Council</t>
  </si>
  <si>
    <t>Somerset Regional Council</t>
  </si>
  <si>
    <t>South Burnett Regional Council</t>
  </si>
  <si>
    <t>Southern Downs Regional Council</t>
  </si>
  <si>
    <t>Sunshine Coast Regional Council</t>
  </si>
  <si>
    <t>Tablelands Regional Council</t>
  </si>
  <si>
    <t>Toowoomba Regional Council</t>
  </si>
  <si>
    <t>Torres Shire Council</t>
  </si>
  <si>
    <t>Torres Strait Island Regional Council</t>
  </si>
  <si>
    <t>Townsville City Council</t>
  </si>
  <si>
    <t>Western Downs Regional Council</t>
  </si>
  <si>
    <t>Whitsunday Regional Council</t>
  </si>
  <si>
    <t>Winton Shire Council</t>
  </si>
  <si>
    <t>Woorabinda Aboriginal Shire Council</t>
  </si>
  <si>
    <t>Wujal Wujal Aboriginal Shire Council</t>
  </si>
  <si>
    <t>Yarrabah Aboriginal Shire Council</t>
  </si>
  <si>
    <t>Alice Springs Town Council</t>
  </si>
  <si>
    <t>Barkly Regional Council</t>
  </si>
  <si>
    <t>Belyuen Community Government Council</t>
  </si>
  <si>
    <t>Central Desert Regional Council</t>
  </si>
  <si>
    <t>City of Darwin</t>
  </si>
  <si>
    <t>City of Palmerston</t>
  </si>
  <si>
    <t>Coomalie Community Government Council</t>
  </si>
  <si>
    <t>East Arnhem Regional Council</t>
  </si>
  <si>
    <t>Katherine Town Council</t>
  </si>
  <si>
    <t>Litchfield Council</t>
  </si>
  <si>
    <t>MacDonnell Regional Council</t>
  </si>
  <si>
    <t>Roper Gulf Regional Council</t>
  </si>
  <si>
    <t>Tiwi Islands Regional Council</t>
  </si>
  <si>
    <t>Victoria Daly Regional Council</t>
  </si>
  <si>
    <t>Wagait Shire Council</t>
  </si>
  <si>
    <t>West Arnhem Regional Council</t>
  </si>
  <si>
    <t>West Daly Regional Council</t>
  </si>
  <si>
    <t>Total Standardised Revenue</t>
  </si>
  <si>
    <t>Total Standardised Expenditure</t>
  </si>
  <si>
    <t>Population</t>
  </si>
  <si>
    <t>Total General Purpose Assistance $</t>
  </si>
  <si>
    <t>Population (current year)</t>
  </si>
  <si>
    <t>Per Capita Minimum Council (PCM)</t>
  </si>
  <si>
    <t>Total Raw Calc</t>
  </si>
  <si>
    <t>Per Capita Applied Amount</t>
  </si>
  <si>
    <t>Estimated Grant (GPG)</t>
  </si>
  <si>
    <t>Estimated Grant (per head)</t>
  </si>
  <si>
    <t>Adelaide</t>
  </si>
  <si>
    <t>PCM</t>
  </si>
  <si>
    <t>Adelaide Hills</t>
  </si>
  <si>
    <t>Adelaide Plains</t>
  </si>
  <si>
    <t>-</t>
  </si>
  <si>
    <t>Alexandrina</t>
  </si>
  <si>
    <t>Barossa</t>
  </si>
  <si>
    <t>Barunga West</t>
  </si>
  <si>
    <t>Berri Barmera</t>
  </si>
  <si>
    <t>Burnside</t>
  </si>
  <si>
    <t>Campbelltown</t>
  </si>
  <si>
    <t>Ceduna</t>
  </si>
  <si>
    <t>Charles Sturt</t>
  </si>
  <si>
    <t>Clare &amp; Gilbert
Valleys</t>
  </si>
  <si>
    <t>Cleve</t>
  </si>
  <si>
    <t>Coober Pedy</t>
  </si>
  <si>
    <t>Coorong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</si>
  <si>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</si>
  <si>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</si>
  <si>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</si>
  <si>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</si>
  <si>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</si>
  <si>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</si>
  <si>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</si>
  <si>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</si>
  <si>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</si>
  <si>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
Murray</t>
  </si>
  <si>
    <t>Kimba</t>
  </si>
  <si>
    <t>Kingston</t>
  </si>
  <si>
    <t>Light</t>
  </si>
  <si>
    <t>Lower Eyre
Peninsula</t>
  </si>
  <si>
    <t>Loxton Waikerie</t>
  </si>
  <si>
    <t>Marion</t>
  </si>
  <si>
    <t>Mid Murray</t>
  </si>
  <si>
    <t>Mitcham</t>
  </si>
  <si>
    <t>Mount Barker</t>
  </si>
  <si>
    <t>Mount Gambier</t>
  </si>
  <si>
    <t>Mount
Remarkable</t>
  </si>
  <si>
    <t>Murray Bridge</t>
  </si>
  <si>
    <t>Naracoorte
Lucindale</t>
  </si>
  <si>
    <t>Northern Areas</t>
  </si>
  <si>
    <t>Norwood,
Payneham &amp; St
Peters</t>
  </si>
  <si>
    <t>Onkaparinga</t>
  </si>
  <si>
    <t>Orroroo Carrieton</t>
  </si>
  <si>
    <t>Peterborough</t>
  </si>
  <si>
    <t>Playford</t>
  </si>
  <si>
    <t>Port Adelaide
Enfield</t>
  </si>
  <si>
    <t>Port Augusta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</si>
  <si>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</si>
  <si>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</si>
  <si>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</si>
  <si>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</si>
  <si>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</si>
  <si>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</si>
  <si>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</si>
  <si>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</si>
  <si>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</si>
  <si>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</si>
  <si>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</si>
  <si>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</si>
  <si>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</si>
  <si>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</si>
  <si>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</si>
  <si>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</si>
  <si>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</si>
  <si>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</si>
  <si>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</si>
  <si>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</si>
  <si>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</si>
  <si>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</si>
  <si>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Funding Gap</t>
  </si>
  <si>
    <t>Total Grant to State</t>
  </si>
  <si>
    <t>Per Capita</t>
  </si>
  <si>
    <t>Deficit</t>
  </si>
  <si>
    <t>Unadjusted Per Capita</t>
  </si>
  <si>
    <t>New Grant</t>
  </si>
  <si>
    <t>Total Deficit</t>
  </si>
  <si>
    <t>New Grant Per Capita</t>
  </si>
  <si>
    <t>Change %</t>
  </si>
  <si>
    <t>Per Capita Change</t>
  </si>
  <si>
    <t>Minimum Grant (% of Per Capita GPG)</t>
  </si>
  <si>
    <t>Minimum Grant (PC basis)</t>
  </si>
  <si>
    <t>Raw Allocation</t>
  </si>
  <si>
    <t>MGC</t>
  </si>
  <si>
    <t>Total Grants given out</t>
  </si>
  <si>
    <t>Total Deficit - non MGC</t>
  </si>
  <si>
    <t>Total Non Minimum Grant Pool</t>
  </si>
  <si>
    <t>Minimum Per Capita %</t>
  </si>
  <si>
    <t>Current Per Capita Minimum</t>
  </si>
  <si>
    <t>Average Per Capita Loss</t>
  </si>
  <si>
    <t>New South Wales</t>
  </si>
  <si>
    <t>Victoria</t>
  </si>
  <si>
    <t>Queensland</t>
  </si>
  <si>
    <t>Western Australia</t>
  </si>
  <si>
    <t>South Australia</t>
  </si>
  <si>
    <t>Tasmania</t>
  </si>
  <si>
    <t>Average Per Capita Loss $</t>
  </si>
  <si>
    <t>Affected Councils</t>
  </si>
  <si>
    <t>Grant Per Capita</t>
  </si>
  <si>
    <t>Northern Territory</t>
  </si>
  <si>
    <t>Per Capita Applied Amount (per head)</t>
  </si>
  <si>
    <t>2023 - 2024</t>
  </si>
  <si>
    <t>Adjustment</t>
  </si>
  <si>
    <t>Sum Adjustment</t>
  </si>
  <si>
    <t xml:space="preserve">New Grant Adjusted </t>
  </si>
  <si>
    <t>Change from prev year</t>
  </si>
  <si>
    <t>Per Capita GPG</t>
  </si>
  <si>
    <t>Assessed Revenue</t>
  </si>
  <si>
    <t>Assessed Expenditure</t>
  </si>
  <si>
    <t>Assessed Gap</t>
  </si>
  <si>
    <t>Standardized Gap</t>
  </si>
  <si>
    <t>Standardized Deficit</t>
  </si>
  <si>
    <t>New Grant Adjusted</t>
  </si>
  <si>
    <t>Objective</t>
  </si>
  <si>
    <t>2023-24 Allocation</t>
  </si>
  <si>
    <t>Change Year-on-year</t>
  </si>
  <si>
    <t>Actual Change</t>
  </si>
  <si>
    <t>Total Post Alloc Pool</t>
  </si>
  <si>
    <t>Total Deficit Assessed</t>
  </si>
  <si>
    <t>GPG Per Capita</t>
  </si>
  <si>
    <t>GPG Min</t>
  </si>
  <si>
    <t>GPG Rest</t>
  </si>
  <si>
    <t>Scaled/Sum Scaled</t>
  </si>
  <si>
    <t>Total Non Minimum Grant Pool Const</t>
  </si>
  <si>
    <t>YoY Change Flag</t>
  </si>
  <si>
    <t>Target</t>
  </si>
  <si>
    <t>Real yoy change</t>
  </si>
  <si>
    <t>min</t>
  </si>
  <si>
    <t xml:space="preserve">max </t>
  </si>
  <si>
    <t>Service Population - Jun 2024</t>
  </si>
  <si>
    <t>Local Government Body</t>
  </si>
  <si>
    <t>ACLG
Abbrev</t>
  </si>
  <si>
    <t>Estimated
Population 30/06/2023</t>
  </si>
  <si>
    <t>Estimated
General
Purpose 2024-25</t>
  </si>
  <si>
    <t>Sydney (C)</t>
  </si>
  <si>
    <t>UCC</t>
  </si>
  <si>
    <t>Hunters Hill (M)</t>
  </si>
  <si>
    <t>UDS</t>
  </si>
  <si>
    <t>Mosman (M)</t>
  </si>
  <si>
    <t>Burwood</t>
  </si>
  <si>
    <t>UDM</t>
  </si>
  <si>
    <t>Lane Cove (M)</t>
  </si>
  <si>
    <t>North Sydney</t>
  </si>
  <si>
    <t>Strathfield (M)</t>
  </si>
  <si>
    <t>Waverley</t>
  </si>
  <si>
    <t>Woollahra (M)</t>
  </si>
  <si>
    <t>Canada Bay (C)</t>
  </si>
  <si>
    <t>UDL</t>
  </si>
  <si>
    <t>Willoughby (C)</t>
  </si>
  <si>
    <t>Bayside</t>
  </si>
  <si>
    <t>UDV</t>
  </si>
  <si>
    <t>Blacktown (C)</t>
  </si>
  <si>
    <t>Canterbury-Bankstown</t>
  </si>
  <si>
    <t>Cumberland</t>
  </si>
  <si>
    <t>Fairfield (C)</t>
  </si>
  <si>
    <t>Georges River</t>
  </si>
  <si>
    <t>Inner West</t>
  </si>
  <si>
    <t>Ku-ring-gai</t>
  </si>
  <si>
    <t>Liverpool (C)</t>
  </si>
  <si>
    <t>Northern Beaches</t>
  </si>
  <si>
    <t>Parramatta (C)</t>
  </si>
  <si>
    <t>Randwick (C)</t>
  </si>
  <si>
    <t>Ryde (C)</t>
  </si>
  <si>
    <t>Sutherland (S)</t>
  </si>
  <si>
    <t>Hawkesbury (C)</t>
  </si>
  <si>
    <t>UFM</t>
  </si>
  <si>
    <t>Wollondilly (S)</t>
  </si>
  <si>
    <t>Blue Mountains (C)</t>
  </si>
  <si>
    <t>UFL</t>
  </si>
  <si>
    <t>Camden</t>
  </si>
  <si>
    <t>UFV</t>
  </si>
  <si>
    <t>Campbelltown (C)</t>
  </si>
  <si>
    <t>Hills (S)</t>
  </si>
  <si>
    <t>Hornsby (S)</t>
  </si>
  <si>
    <t>Penrith (C)</t>
  </si>
  <si>
    <t>Armidale Regional</t>
  </si>
  <si>
    <t>URS</t>
  </si>
  <si>
    <t>Broken Hill (C)</t>
  </si>
  <si>
    <t>Griffith (C)</t>
  </si>
  <si>
    <t>Kiama (M)</t>
  </si>
  <si>
    <t>Lithgow (C)</t>
  </si>
  <si>
    <t>Mid-Western Regional</t>
  </si>
  <si>
    <t>Nambucca Valley</t>
  </si>
  <si>
    <t>Richmond Valley</t>
  </si>
  <si>
    <t>Singleton</t>
  </si>
  <si>
    <t>Snowy Monaro Regional</t>
  </si>
  <si>
    <t>Albury (C)</t>
  </si>
  <si>
    <t>URM</t>
  </si>
  <si>
    <t>Ballina (S)</t>
  </si>
  <si>
    <t>Bathurst Regional</t>
  </si>
  <si>
    <t>Bega Valley (S)</t>
  </si>
  <si>
    <t>Byron (S)</t>
  </si>
  <si>
    <t>Cessnock (C)</t>
  </si>
  <si>
    <t>Clarence Valley</t>
  </si>
  <si>
    <t>Dubbo Regional</t>
  </si>
  <si>
    <t>Eurobodalla (S)</t>
  </si>
  <si>
    <t>Goulburn Mulwaree</t>
  </si>
  <si>
    <t>Kempsey (S)</t>
  </si>
  <si>
    <t>Lismore (C)</t>
  </si>
  <si>
    <t>Orange (C)</t>
  </si>
  <si>
    <t>Queanbeyan-Palerang Regional</t>
  </si>
  <si>
    <t>Tamworth Regional</t>
  </si>
  <si>
    <t>Wagga Wagga (C)</t>
  </si>
  <si>
    <t>Wingecarribee (S)</t>
  </si>
  <si>
    <t>Coffs Harbour (C)</t>
  </si>
  <si>
    <t>URL</t>
  </si>
  <si>
    <t>Maitland (C)</t>
  </si>
  <si>
    <t>Mid-Coast</t>
  </si>
  <si>
    <t>Port Macquarie-Hastings</t>
  </si>
  <si>
    <t>Port Stephens</t>
  </si>
  <si>
    <t>Shellharbour (C)</t>
  </si>
  <si>
    <t>Shoalhaven (C)</t>
  </si>
  <si>
    <t>Tweed (S)</t>
  </si>
  <si>
    <t>Lake Macquarie (C)</t>
  </si>
  <si>
    <t>URV</t>
  </si>
  <si>
    <t>Newcastle (C)</t>
  </si>
  <si>
    <t>Wollongong (C)</t>
  </si>
  <si>
    <t>Balranald (S)</t>
  </si>
  <si>
    <t>RAM</t>
  </si>
  <si>
    <t>Bogan (S)</t>
  </si>
  <si>
    <t>Bourke (S)</t>
  </si>
  <si>
    <t>Carrathool (S)</t>
  </si>
  <si>
    <t>Coolamon (S)</t>
  </si>
  <si>
    <t>Coonamble (S)</t>
  </si>
  <si>
    <t>Gilgandra (S)</t>
  </si>
  <si>
    <t>Gwydir (S)</t>
  </si>
  <si>
    <t>Hay (S)</t>
  </si>
  <si>
    <t>Lockhart (S)</t>
  </si>
  <si>
    <t>Murrumbidgee</t>
  </si>
  <si>
    <t>Walcha</t>
  </si>
  <si>
    <t>Warren (S)</t>
  </si>
  <si>
    <t>Weddin (S)</t>
  </si>
  <si>
    <t>Berrigan (S)</t>
  </si>
  <si>
    <t>RAL</t>
  </si>
  <si>
    <t>Bland (S)</t>
  </si>
  <si>
    <t>Blayney (S)</t>
  </si>
  <si>
    <t>Dungog (S)</t>
  </si>
  <si>
    <t>Edward River</t>
  </si>
  <si>
    <t>Forbes (S)</t>
  </si>
  <si>
    <t>Glen Innes Severn</t>
  </si>
  <si>
    <t>Junee (S)</t>
  </si>
  <si>
    <t>Kyogle</t>
  </si>
  <si>
    <t>Lachlan (S)</t>
  </si>
  <si>
    <t>Liverpool Plains (S)</t>
  </si>
  <si>
    <t>Narrandera (S)</t>
  </si>
  <si>
    <t>Narromine (S)</t>
  </si>
  <si>
    <t>Oberon</t>
  </si>
  <si>
    <t>Temora (S)</t>
  </si>
  <si>
    <t>Tenterfield (S)</t>
  </si>
  <si>
    <t>Upper Lachlan (S)</t>
  </si>
  <si>
    <t>Uralla (S)</t>
  </si>
  <si>
    <t>Walgett (S)</t>
  </si>
  <si>
    <t>Warrumbungle (S)</t>
  </si>
  <si>
    <t>Wentworth (S)</t>
  </si>
  <si>
    <t>Bellingen (S)</t>
  </si>
  <si>
    <t>RAV</t>
  </si>
  <si>
    <t>Cabonne</t>
  </si>
  <si>
    <t>Cootamundra-Gundagai Regional</t>
  </si>
  <si>
    <t>Cowra (S)</t>
  </si>
  <si>
    <t>Federation</t>
  </si>
  <si>
    <t>Greater Hume (S)</t>
  </si>
  <si>
    <t>Gunnedah (S)</t>
  </si>
  <si>
    <t>Hilltops</t>
  </si>
  <si>
    <t>Inverell (S)</t>
  </si>
  <si>
    <t>Leeton (S)</t>
  </si>
  <si>
    <t>Moree Plains (S)</t>
  </si>
  <si>
    <t>Murray River</t>
  </si>
  <si>
    <t>Muswellbrook (S)</t>
  </si>
  <si>
    <t>Narrabri (S)</t>
  </si>
  <si>
    <t>Parkes (S)</t>
  </si>
  <si>
    <t>Snowy Valleys</t>
  </si>
  <si>
    <t>Upper Hunter (S)</t>
  </si>
  <si>
    <t>Yass Valley</t>
  </si>
  <si>
    <t>Brewarrina (S)</t>
  </si>
  <si>
    <t>RAS</t>
  </si>
  <si>
    <t>Central Darling (S)</t>
  </si>
  <si>
    <t>RTM</t>
  </si>
  <si>
    <t>Cobar (S)</t>
  </si>
  <si>
    <t>RTL</t>
  </si>
  <si>
    <t>Lord Howe Island (Bd)</t>
  </si>
  <si>
    <t>RTX</t>
  </si>
  <si>
    <t>Silverton (VC)</t>
  </si>
  <si>
    <t>Tibooburra (VC)</t>
  </si>
  <si>
    <t>Min</t>
  </si>
  <si>
    <t>X</t>
  </si>
  <si>
    <t>Scaled Gap</t>
  </si>
  <si>
    <t>Raw Scaled Gap</t>
  </si>
  <si>
    <t>Multiplier</t>
  </si>
  <si>
    <t>Significant Scaled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</si>
</sst>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0_-;\-* #,##0.00000_-;_-* &quot;-&quot;??_-;_-@_-"/>
    <numFmt numFmtId="165" formatCode="_-* #,##0.000000_-;\-* #,##0.0000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Helv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4" fontId="0" fillId="0" borderId="0" xfId="0" applyNumberFormat="1"/>
    <xf numFmtId="9" fontId="0" fillId="0" borderId="0" xfId="2" applyFont="1"/>
    <xf numFmtId="43" fontId="0" fillId="0" borderId="0" xfId="1" applyFont="1"/>
    <xf numFmtId="43" fontId="0" fillId="0" borderId="0" xfId="0" applyNumberFormat="1"/>
    <xf numFmtId="9" fontId="0" fillId="0" borderId="0" xfId="1" applyNumberFormat="1" applyFont="1"/>
    <xf numFmtId="0" fontId="0" fillId="2" borderId="0" xfId="0" applyFill="1"/>
    <xf numFmtId="43" fontId="0" fillId="2" borderId="0" xfId="0" applyNumberFormat="1" applyFill="1"/>
    <xf numFmtId="0" fontId="0" fillId="3" borderId="0" xfId="0" applyFill="1"/>
    <xf numFmtId="43" fontId="0" fillId="3" borderId="0" xfId="1" applyFont="1" applyFill="1"/>
    <xf numFmtId="9" fontId="0" fillId="3" borderId="0" xfId="1" applyNumberFormat="1" applyFont="1" applyFill="1"/>
    <xf numFmtId="43" fontId="2" fillId="0" borderId="0" xfId="0" applyNumberFormat="1" applyFont="1"/>
    <xf numFmtId="43" fontId="0" fillId="2" borderId="0" xfId="1" applyFont="1" applyFill="1"/>
    <xf numFmtId="3" fontId="0" fillId="2" borderId="0" xfId="0" applyNumberFormat="1" applyFill="1"/>
    <xf numFmtId="165" fontId="0" fillId="0" borderId="0" xfId="1" applyNumberFormat="1" applyFont="1"/>
    <xf numFmtId="164" fontId="0" fillId="0" borderId="0" xfId="0" applyNumberFormat="1"/>
    <xf numFmtId="0" fontId="0" fillId="4" borderId="0" xfId="0" applyFill="1"/>
    <xf numFmtId="43" fontId="0" fillId="5" borderId="0" xfId="1" applyFont="1" applyFill="1"/>
  </cellXfs>
  <cellStyles count="3">
    <cellStyle name="Comma" xfId="1" builtinId="3"/>
    <cellStyle name="Normal" xfId="0" builtinId="0"/>
    <cellStyle name="Percent" xfId="2" builtinId="5"/>
  </cellStyles>
  <dxfs count="2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  <wetp:taskpane dockstate="right" visibility="0" width="350" row="9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1F39D7B-D481-4EC5-A06A-9716BF8F04B8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54131747103072433&quot;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F3DBBD45-4EDE-490D-A2D5-67C29A46CA37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7FA83193-614E-413F-8D59-7AD0EA434B6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8F68-C85D-417E-8FF4-DFAF4C6DC4DE}">
  <sheetPr codeName="Sheet2"/>
  <dimension ref="B4:P13"/>
  <sheetViews>
    <sheetView zoomScaleNormal="100" workbookViewId="0">
      <selection activeCell="C6" sqref="C6"/>
    </sheetView>
  </sheetViews>
  <sheetFormatPr defaultColWidth="8.83984375" defaultRowHeight="14.4" x14ac:dyDescent="0.55000000000000004"/>
  <cols>
    <col min="2" max="2" width="21.68359375" bestFit="1" customWidth="1"/>
    <col min="3" max="3" width="31.83984375" customWidth="1"/>
    <col min="4" max="4" width="5.15625" bestFit="1" customWidth="1"/>
    <col min="5" max="5" width="20.47265625" bestFit="1" customWidth="1"/>
    <col min="6" max="6" width="20.47265625" customWidth="1"/>
    <col min="7" max="7" width="16.3125" bestFit="1" customWidth="1"/>
    <col min="8" max="8" width="10.68359375" customWidth="1"/>
    <col min="9" max="10" width="15.3125" customWidth="1"/>
    <col min="11" max="11" width="16.3125" bestFit="1" customWidth="1"/>
    <col min="12" max="12" width="13.3125" customWidth="1"/>
    <col min="13" max="13" width="16.3125" bestFit="1" customWidth="1"/>
    <col min="14" max="14" width="5.15625" customWidth="1"/>
    <col min="15" max="15" width="16.3125" bestFit="1" customWidth="1"/>
  </cols>
  <sheetData>
    <row r="4" spans="2:16" x14ac:dyDescent="0.55000000000000004">
      <c r="C4" t="s">
        <v>465</v>
      </c>
    </row>
    <row r="5" spans="2:16" x14ac:dyDescent="0.55000000000000004">
      <c r="C5" s="3">
        <v>0.3</v>
      </c>
      <c r="D5" s="3"/>
    </row>
    <row r="7" spans="2:16" x14ac:dyDescent="0.55000000000000004">
      <c r="C7" t="s">
        <v>475</v>
      </c>
      <c r="E7" s="17" t="s">
        <v>476</v>
      </c>
      <c r="G7" s="17" t="s">
        <v>477</v>
      </c>
      <c r="I7" s="17" t="s">
        <v>478</v>
      </c>
      <c r="K7" t="s">
        <v>479</v>
      </c>
      <c r="M7" t="s">
        <v>484</v>
      </c>
      <c r="O7" s="17" t="s">
        <v>480</v>
      </c>
    </row>
    <row r="8" spans="2:16" x14ac:dyDescent="0.55000000000000004">
      <c r="B8" s="7" t="s">
        <v>481</v>
      </c>
      <c r="C8" s="7"/>
      <c r="D8" s="7"/>
      <c r="E8" s="8">
        <f>Victoria!R17</f>
        <v>0</v>
      </c>
      <c r="F8" s="8"/>
      <c r="G8" s="7"/>
      <c r="H8" s="7"/>
      <c r="I8" s="8">
        <f>'Western Australia'!AA17</f>
        <v>0</v>
      </c>
      <c r="J8" s="7"/>
      <c r="K8" s="7"/>
      <c r="L8" s="7"/>
      <c r="M8" s="7"/>
      <c r="N8" s="7"/>
      <c r="O8" s="8">
        <f>Tasmania!T17</f>
        <v>0</v>
      </c>
      <c r="P8" s="7"/>
    </row>
    <row r="9" spans="2:16" x14ac:dyDescent="0.55000000000000004">
      <c r="C9" s="5" t="s">
        <v>482</v>
      </c>
      <c r="D9" s="5" t="s">
        <v>79</v>
      </c>
      <c r="E9" s="5" t="s">
        <v>482</v>
      </c>
      <c r="F9" s="5" t="s">
        <v>79</v>
      </c>
      <c r="G9" s="5" t="s">
        <v>482</v>
      </c>
      <c r="H9" s="5" t="s">
        <v>79</v>
      </c>
      <c r="I9" s="5" t="s">
        <v>482</v>
      </c>
      <c r="J9" s="5" t="s">
        <v>79</v>
      </c>
      <c r="K9" s="5" t="s">
        <v>482</v>
      </c>
      <c r="L9" s="5" t="s">
        <v>79</v>
      </c>
      <c r="M9" s="5" t="s">
        <v>482</v>
      </c>
      <c r="N9" s="5" t="s">
        <v>79</v>
      </c>
      <c r="O9" s="5" t="s">
        <v>482</v>
      </c>
      <c r="P9" s="5" t="s">
        <v>79</v>
      </c>
    </row>
    <row r="10" spans="2:16" x14ac:dyDescent="0.55000000000000004">
      <c r="E10" t="str" cm="1">
        <f t="array" ref="E10">_xlfn._xlws.FILTER(Victoria!A2:A80,Victoria!N2:N80&lt;0,"")</f>
        <v/>
      </c>
      <c r="F10" t="str" cm="1">
        <f t="array" ref="F10">_xlfn._xlws.FILTER(Victoria!F2:F80,Victoria!N2:N80&lt;0,"")</f>
        <v/>
      </c>
      <c r="G10" t="str" cm="1">
        <f t="array" ref="G10">_xlfn._xlws.FILTER(Queensland!A2:A78,Queensland!O2:O78&lt;0,"")</f>
        <v/>
      </c>
      <c r="H10" t="str" cm="1">
        <f t="array" ref="H10">_xlfn._xlws.FILTER(Queensland!D2:D78,Queensland!O2:O78&lt;0,"")</f>
        <v/>
      </c>
      <c r="I10" t="str" cm="1">
        <f t="array" ref="I10">_xlfn._xlws.FILTER('Western Australia'!A2:A138,'Western Australia'!X2:X138&lt;0,"")</f>
        <v/>
      </c>
      <c r="J10" t="str" cm="1">
        <f t="array" ref="J10">_xlfn._xlws.FILTER('Western Australia'!B2:B138,'Western Australia'!X2:X138&lt;0,"")</f>
        <v/>
      </c>
      <c r="O10" t="str" cm="1">
        <f t="array" ref="O10:O13">_xlfn._xlws.FILTER(Tasmania!A2:A30,Tasmania!P2:P30&lt;0,"")</f>
        <v>Clarence</v>
      </c>
      <c r="P10" cm="1">
        <f t="array" ref="P10:P13">_xlfn._xlws.FILTER(Tasmania!F2:F30,Tasmania!P2:P30&lt;0,"")</f>
        <v>59559.79616441566</v>
      </c>
    </row>
    <row r="11" spans="2:16" x14ac:dyDescent="0.55000000000000004">
      <c r="O11" t="str">
        <v>Glenorchy</v>
      </c>
      <c r="P11">
        <v>48666.274550001384</v>
      </c>
    </row>
    <row r="12" spans="2:16" x14ac:dyDescent="0.55000000000000004">
      <c r="O12" t="str">
        <v>Hobart</v>
      </c>
      <c r="P12">
        <v>53171.874008522434</v>
      </c>
    </row>
    <row r="13" spans="2:16" x14ac:dyDescent="0.55000000000000004">
      <c r="O13" t="str">
        <v>Launceston</v>
      </c>
      <c r="P13">
        <v>67184.512856057394</v>
      </c>
    </row>
  </sheetData>
  <customSheetViews>
    <customSheetView guid="{6F58EB3B-97F3-43AA-9269-CE0BCA6518E5}" showPageBreaks="1" topLeftCell="A2">
      <selection activeCell="C39" sqref="C39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B63F-3C4D-4CCA-9708-BF425DC98255}">
  <sheetPr codeName="Sheet3"/>
  <dimension ref="A1:K132"/>
  <sheetViews>
    <sheetView tabSelected="1" topLeftCell="A116" workbookViewId="0">
      <selection activeCell="O134" sqref="O134"/>
    </sheetView>
  </sheetViews>
  <sheetFormatPr defaultColWidth="8.83984375" defaultRowHeight="14.4" x14ac:dyDescent="0.55000000000000004"/>
  <cols>
    <col min="1" max="1" width="28.68359375" bestFit="1" customWidth="1"/>
    <col min="2" max="2" width="11.3125" bestFit="1" customWidth="1"/>
    <col min="3" max="3" width="28.3125" bestFit="1" customWidth="1"/>
    <col min="4" max="4" width="30.68359375" bestFit="1" customWidth="1"/>
    <col min="5" max="5" width="10.83984375" customWidth="1"/>
    <col min="6" max="6" width="12.68359375" bestFit="1" customWidth="1"/>
    <col min="7" max="7" width="13.89453125" bestFit="1" customWidth="1"/>
    <col min="9" max="9" width="19.15625" bestFit="1" customWidth="1"/>
    <col min="10" max="10" width="9.9453125" customWidth="1"/>
    <col min="11" max="11" width="9.15625" bestFit="1" customWidth="1"/>
  </cols>
  <sheetData>
    <row r="1" spans="1:11" x14ac:dyDescent="0.55000000000000004">
      <c r="A1" t="s">
        <v>515</v>
      </c>
      <c r="B1" t="s">
        <v>516</v>
      </c>
      <c r="C1" t="s">
        <v>517</v>
      </c>
      <c r="D1" t="s">
        <v>518</v>
      </c>
      <c r="E1" t="s">
        <v>668</v>
      </c>
      <c r="F1" t="s">
        <v>669</v>
      </c>
      <c r="G1" t="s">
        <v>671</v>
      </c>
      <c r="H1" t="s">
        <v>672</v>
      </c>
      <c r="I1" t="s">
        <v>673</v>
      </c>
      <c r="J1" t="s">
        <v>670</v>
      </c>
    </row>
    <row r="2" spans="1:11" x14ac:dyDescent="0.55000000000000004">
      <c r="A2" t="s">
        <v>519</v>
      </c>
      <c r="B2" t="s">
        <v>520</v>
      </c>
      <c r="C2" s="1">
        <v>231086</v>
      </c>
      <c r="D2" s="1">
        <v>5901858</v>
      </c>
      <c r="E2">
        <f>0.3*C2*SUM(D$2:D$132)/SUM(C$2:C$132)</f>
        <v>5901857.8360765185</v>
      </c>
      <c r="F2">
        <f>D2-E2</f>
        <v>0.16392348147928715</v>
      </c>
      <c r="G2">
        <f>F2/(SUM(D$2:D$132)-SUM(E$2:E$132))</f>
        <v>3.2975170900837592E-10</v>
      </c>
      <c r="H2" t="b">
        <f xml:space="preserve"> G2 &gt; 10^-7</f>
        <v>0</v>
      </c>
      <c r="I2">
        <f>G2*H2</f>
        <v>0</v>
      </c>
      <c r="J2">
        <f xml:space="preserve"> I2/SUM(I$2:I$132)</f>
        <v>0</v>
      </c>
    </row>
    <row r="3" spans="1:11" x14ac:dyDescent="0.55000000000000004">
      <c r="A3" t="s">
        <v>521</v>
      </c>
      <c r="B3" t="s">
        <v>522</v>
      </c>
      <c r="C3" s="1">
        <v>14036</v>
      </c>
      <c r="D3" s="1">
        <v>441211</v>
      </c>
      <c r="E3">
        <f t="shared" ref="E3:E66" si="0">0.3*C3*SUM(D$2:D$132)/SUM(C$2:C$132)</f>
        <v>358474.66565334989</v>
      </c>
      <c r="F3">
        <f t="shared" ref="F3:F66" si="1">D3-E3</f>
        <v>82736.33434665011</v>
      </c>
      <c r="G3">
        <f t="shared" ref="G3:G66" si="2">F3/(SUM(D$2:D$132)-SUM(E$2:E$132))</f>
        <v>1.6643404228419581E-4</v>
      </c>
      <c r="H3" t="b">
        <f t="shared" ref="H3:H66" si="3" xml:space="preserve"> G3 &gt; 10^-7</f>
        <v>1</v>
      </c>
      <c r="I3">
        <f t="shared" ref="I3:I66" si="4">G3*H3</f>
        <v>1.6643404228419581E-4</v>
      </c>
      <c r="J3">
        <f t="shared" ref="J3:J66" si="5" xml:space="preserve"> I3/SUM(I$2:I$132)</f>
        <v>1.6643406318341003E-4</v>
      </c>
    </row>
    <row r="4" spans="1:11" x14ac:dyDescent="0.55000000000000004">
      <c r="A4" t="s">
        <v>523</v>
      </c>
      <c r="B4" t="s">
        <v>522</v>
      </c>
      <c r="C4" s="1">
        <v>29071</v>
      </c>
      <c r="D4" s="1">
        <v>908679</v>
      </c>
      <c r="E4">
        <f t="shared" si="0"/>
        <v>742463.45149676083</v>
      </c>
      <c r="F4">
        <f t="shared" si="1"/>
        <v>166215.54850323917</v>
      </c>
      <c r="G4">
        <f t="shared" si="2"/>
        <v>3.3436247624861069E-4</v>
      </c>
      <c r="H4" t="b">
        <f t="shared" si="3"/>
        <v>1</v>
      </c>
      <c r="I4">
        <f t="shared" si="4"/>
        <v>3.3436247624861069E-4</v>
      </c>
      <c r="J4">
        <f t="shared" si="5"/>
        <v>3.3436251823469067E-4</v>
      </c>
    </row>
    <row r="5" spans="1:11" x14ac:dyDescent="0.55000000000000004">
      <c r="A5" t="s">
        <v>524</v>
      </c>
      <c r="B5" t="s">
        <v>525</v>
      </c>
      <c r="C5" s="1">
        <v>42498</v>
      </c>
      <c r="D5" s="1">
        <v>1136510</v>
      </c>
      <c r="E5">
        <f t="shared" si="0"/>
        <v>1085384.4643015149</v>
      </c>
      <c r="F5">
        <f t="shared" si="1"/>
        <v>51125.535698485095</v>
      </c>
      <c r="G5">
        <f t="shared" si="2"/>
        <v>1.0284513614771175E-4</v>
      </c>
      <c r="H5" t="b">
        <f t="shared" si="3"/>
        <v>1</v>
      </c>
      <c r="I5">
        <f t="shared" si="4"/>
        <v>1.0284513614771175E-4</v>
      </c>
      <c r="J5">
        <f t="shared" si="5"/>
        <v>1.0284514906203205E-4</v>
      </c>
    </row>
    <row r="6" spans="1:11" x14ac:dyDescent="0.55000000000000004">
      <c r="A6" t="s">
        <v>526</v>
      </c>
      <c r="B6" t="s">
        <v>525</v>
      </c>
      <c r="C6" s="1">
        <v>41549</v>
      </c>
      <c r="D6" s="1">
        <v>1123412</v>
      </c>
      <c r="E6">
        <f t="shared" si="0"/>
        <v>1061147.3271039494</v>
      </c>
      <c r="F6">
        <f t="shared" si="1"/>
        <v>62264.672896050615</v>
      </c>
      <c r="G6">
        <f t="shared" si="2"/>
        <v>1.2525284427243293E-4</v>
      </c>
      <c r="H6" t="b">
        <f t="shared" si="3"/>
        <v>1</v>
      </c>
      <c r="I6">
        <f t="shared" si="4"/>
        <v>1.2525284427243293E-4</v>
      </c>
      <c r="J6">
        <f t="shared" si="5"/>
        <v>1.2525286000050146E-4</v>
      </c>
    </row>
    <row r="7" spans="1:11" x14ac:dyDescent="0.55000000000000004">
      <c r="A7" t="s">
        <v>527</v>
      </c>
      <c r="B7" t="s">
        <v>525</v>
      </c>
      <c r="C7" s="1">
        <v>72014</v>
      </c>
      <c r="D7" s="1">
        <v>1839213</v>
      </c>
      <c r="E7">
        <f t="shared" si="0"/>
        <v>1839213.0644314862</v>
      </c>
      <c r="F7">
        <f t="shared" si="1"/>
        <v>-6.4431486185640097E-2</v>
      </c>
      <c r="G7">
        <f t="shared" si="2"/>
        <v>-1.2961164862978471E-10</v>
      </c>
      <c r="H7" t="b">
        <f t="shared" si="3"/>
        <v>0</v>
      </c>
      <c r="I7">
        <f t="shared" si="4"/>
        <v>0</v>
      </c>
      <c r="J7">
        <f t="shared" si="5"/>
        <v>0</v>
      </c>
    </row>
    <row r="8" spans="1:11" x14ac:dyDescent="0.55000000000000004">
      <c r="A8" t="s">
        <v>528</v>
      </c>
      <c r="B8" t="s">
        <v>525</v>
      </c>
      <c r="C8" s="1">
        <v>47824</v>
      </c>
      <c r="D8" s="1">
        <v>1307919</v>
      </c>
      <c r="E8">
        <f t="shared" si="0"/>
        <v>1221408.6926621406</v>
      </c>
      <c r="F8">
        <f t="shared" si="1"/>
        <v>86510.307337859413</v>
      </c>
      <c r="G8">
        <f t="shared" si="2"/>
        <v>1.7402584080123724E-4</v>
      </c>
      <c r="H8" t="b">
        <f t="shared" si="3"/>
        <v>1</v>
      </c>
      <c r="I8">
        <f t="shared" si="4"/>
        <v>1.7402584080123724E-4</v>
      </c>
      <c r="J8">
        <f t="shared" si="5"/>
        <v>1.7402586265375777E-4</v>
      </c>
    </row>
    <row r="9" spans="1:11" x14ac:dyDescent="0.55000000000000004">
      <c r="A9" t="s">
        <v>529</v>
      </c>
      <c r="B9" t="s">
        <v>525</v>
      </c>
      <c r="C9" s="1">
        <v>71414</v>
      </c>
      <c r="D9" s="1">
        <v>1823889</v>
      </c>
      <c r="E9">
        <f t="shared" si="0"/>
        <v>1823889.2685215396</v>
      </c>
      <c r="F9">
        <f t="shared" si="1"/>
        <v>-0.26852153963409364</v>
      </c>
      <c r="G9">
        <f t="shared" si="2"/>
        <v>-5.4016322616409936E-10</v>
      </c>
      <c r="H9" t="b">
        <f t="shared" si="3"/>
        <v>0</v>
      </c>
      <c r="I9">
        <f t="shared" si="4"/>
        <v>0</v>
      </c>
      <c r="J9">
        <f t="shared" si="5"/>
        <v>0</v>
      </c>
    </row>
    <row r="10" spans="1:11" x14ac:dyDescent="0.55000000000000004">
      <c r="A10" t="s">
        <v>530</v>
      </c>
      <c r="B10" t="s">
        <v>525</v>
      </c>
      <c r="C10" s="1">
        <v>54660</v>
      </c>
      <c r="D10" s="1">
        <v>1398427</v>
      </c>
      <c r="E10">
        <f t="shared" si="0"/>
        <v>1395997.8073961318</v>
      </c>
      <c r="F10">
        <f t="shared" si="1"/>
        <v>2429.1926038681995</v>
      </c>
      <c r="G10">
        <f t="shared" si="2"/>
        <v>4.8866117618253562E-6</v>
      </c>
      <c r="H10" t="b">
        <f t="shared" si="3"/>
        <v>1</v>
      </c>
      <c r="I10">
        <f t="shared" si="4"/>
        <v>4.8866117618253562E-6</v>
      </c>
      <c r="J10">
        <f t="shared" si="5"/>
        <v>4.8866123754398825E-6</v>
      </c>
      <c r="K10" s="1"/>
    </row>
    <row r="11" spans="1:11" x14ac:dyDescent="0.55000000000000004">
      <c r="A11" t="s">
        <v>531</v>
      </c>
      <c r="B11" t="s">
        <v>532</v>
      </c>
      <c r="C11" s="1">
        <v>91385</v>
      </c>
      <c r="D11" s="1">
        <v>2333942</v>
      </c>
      <c r="E11">
        <f t="shared" si="0"/>
        <v>2333941.8153841109</v>
      </c>
      <c r="F11">
        <f t="shared" si="1"/>
        <v>0.18461588909849524</v>
      </c>
      <c r="G11">
        <f t="shared" si="2"/>
        <v>3.7137696436749902E-10</v>
      </c>
      <c r="H11" t="b">
        <f t="shared" si="3"/>
        <v>0</v>
      </c>
      <c r="I11">
        <f t="shared" si="4"/>
        <v>0</v>
      </c>
      <c r="J11">
        <f t="shared" si="5"/>
        <v>0</v>
      </c>
    </row>
    <row r="12" spans="1:11" x14ac:dyDescent="0.55000000000000004">
      <c r="A12" t="s">
        <v>533</v>
      </c>
      <c r="B12" t="s">
        <v>532</v>
      </c>
      <c r="C12" s="1">
        <v>77874</v>
      </c>
      <c r="D12" s="1">
        <v>1988875</v>
      </c>
      <c r="E12">
        <f t="shared" si="0"/>
        <v>1988875.4711519643</v>
      </c>
      <c r="F12">
        <f t="shared" si="1"/>
        <v>-0.47115196427330375</v>
      </c>
      <c r="G12">
        <f t="shared" si="2"/>
        <v>-9.4777858559212216E-10</v>
      </c>
      <c r="H12" t="b">
        <f t="shared" si="3"/>
        <v>0</v>
      </c>
      <c r="I12">
        <f t="shared" si="4"/>
        <v>0</v>
      </c>
      <c r="J12">
        <f t="shared" si="5"/>
        <v>0</v>
      </c>
    </row>
    <row r="13" spans="1:11" x14ac:dyDescent="0.55000000000000004">
      <c r="A13" t="s">
        <v>534</v>
      </c>
      <c r="B13" t="s">
        <v>535</v>
      </c>
      <c r="C13" s="1">
        <v>182987</v>
      </c>
      <c r="D13" s="1">
        <v>4673426</v>
      </c>
      <c r="E13">
        <f t="shared" si="0"/>
        <v>4673425.736955652</v>
      </c>
      <c r="F13">
        <f t="shared" si="1"/>
        <v>0.26304434798657894</v>
      </c>
      <c r="G13">
        <f t="shared" si="2"/>
        <v>5.2914519939919938E-10</v>
      </c>
      <c r="H13" t="b">
        <f t="shared" si="3"/>
        <v>0</v>
      </c>
      <c r="I13">
        <f t="shared" si="4"/>
        <v>0</v>
      </c>
      <c r="J13">
        <f t="shared" si="5"/>
        <v>0</v>
      </c>
    </row>
    <row r="14" spans="1:11" x14ac:dyDescent="0.55000000000000004">
      <c r="A14" t="s">
        <v>536</v>
      </c>
      <c r="B14" t="s">
        <v>535</v>
      </c>
      <c r="C14" s="1">
        <v>426202</v>
      </c>
      <c r="D14" s="1">
        <v>14692572</v>
      </c>
      <c r="E14">
        <f t="shared" si="0"/>
        <v>10885054.107351741</v>
      </c>
      <c r="F14">
        <f t="shared" si="1"/>
        <v>3807517.8926482592</v>
      </c>
      <c r="G14">
        <f t="shared" si="2"/>
        <v>7.659278102505278E-3</v>
      </c>
      <c r="H14" t="b">
        <f t="shared" si="3"/>
        <v>1</v>
      </c>
      <c r="I14">
        <f t="shared" si="4"/>
        <v>7.659278102505278E-3</v>
      </c>
      <c r="J14">
        <f t="shared" si="5"/>
        <v>7.6592790642850406E-3</v>
      </c>
    </row>
    <row r="15" spans="1:11" x14ac:dyDescent="0.55000000000000004">
      <c r="A15" t="s">
        <v>537</v>
      </c>
      <c r="B15" t="s">
        <v>535</v>
      </c>
      <c r="C15" s="1">
        <v>379829</v>
      </c>
      <c r="D15" s="1">
        <v>9700703</v>
      </c>
      <c r="E15">
        <f t="shared" si="0"/>
        <v>9700703.4611318205</v>
      </c>
      <c r="F15">
        <f t="shared" si="1"/>
        <v>-0.46113182045519352</v>
      </c>
      <c r="G15">
        <f t="shared" si="2"/>
        <v>-9.2762186662352784E-10</v>
      </c>
      <c r="H15" t="b">
        <f t="shared" si="3"/>
        <v>0</v>
      </c>
      <c r="I15">
        <f t="shared" si="4"/>
        <v>0</v>
      </c>
      <c r="J15">
        <f t="shared" si="5"/>
        <v>0</v>
      </c>
    </row>
    <row r="16" spans="1:11" x14ac:dyDescent="0.55000000000000004">
      <c r="A16" t="s">
        <v>538</v>
      </c>
      <c r="B16" t="s">
        <v>535</v>
      </c>
      <c r="C16" s="1">
        <v>245323</v>
      </c>
      <c r="D16" s="1">
        <v>7008512</v>
      </c>
      <c r="E16">
        <f t="shared" si="0"/>
        <v>6265465.9733597003</v>
      </c>
      <c r="F16">
        <f t="shared" si="1"/>
        <v>743046.02664029971</v>
      </c>
      <c r="G16">
        <f t="shared" si="2"/>
        <v>1.4947260450143753E-3</v>
      </c>
      <c r="H16" t="b">
        <f t="shared" si="3"/>
        <v>1</v>
      </c>
      <c r="I16">
        <f t="shared" si="4"/>
        <v>1.4947260450143753E-3</v>
      </c>
      <c r="J16">
        <f t="shared" si="5"/>
        <v>1.4947262327079467E-3</v>
      </c>
    </row>
    <row r="17" spans="1:10" x14ac:dyDescent="0.55000000000000004">
      <c r="A17" t="s">
        <v>539</v>
      </c>
      <c r="B17" t="s">
        <v>535</v>
      </c>
      <c r="C17" s="1">
        <v>209742</v>
      </c>
      <c r="D17" s="1">
        <v>8123789</v>
      </c>
      <c r="E17">
        <f t="shared" si="0"/>
        <v>5356739.3362400196</v>
      </c>
      <c r="F17">
        <f t="shared" si="1"/>
        <v>2767049.6637599804</v>
      </c>
      <c r="G17">
        <f t="shared" si="2"/>
        <v>5.5662516882988384E-3</v>
      </c>
      <c r="H17" t="b">
        <f t="shared" si="3"/>
        <v>1</v>
      </c>
      <c r="I17">
        <f t="shared" si="4"/>
        <v>5.5662516882988384E-3</v>
      </c>
      <c r="J17">
        <f t="shared" si="5"/>
        <v>5.5662523872561237E-3</v>
      </c>
    </row>
    <row r="18" spans="1:10" x14ac:dyDescent="0.55000000000000004">
      <c r="A18" t="s">
        <v>540</v>
      </c>
      <c r="B18" t="s">
        <v>535</v>
      </c>
      <c r="C18" s="1">
        <v>158051</v>
      </c>
      <c r="D18" s="1">
        <v>4036569</v>
      </c>
      <c r="E18">
        <f t="shared" si="0"/>
        <v>4036568.7789382734</v>
      </c>
      <c r="F18">
        <f t="shared" si="1"/>
        <v>0.2210617265664041</v>
      </c>
      <c r="G18">
        <f t="shared" si="2"/>
        <v>4.4469212997300141E-10</v>
      </c>
      <c r="H18" t="b">
        <f t="shared" si="3"/>
        <v>0</v>
      </c>
      <c r="I18">
        <f t="shared" si="4"/>
        <v>0</v>
      </c>
      <c r="J18">
        <f t="shared" si="5"/>
        <v>0</v>
      </c>
    </row>
    <row r="19" spans="1:10" x14ac:dyDescent="0.55000000000000004">
      <c r="A19" t="s">
        <v>541</v>
      </c>
      <c r="B19" t="s">
        <v>535</v>
      </c>
      <c r="C19" s="1">
        <v>188325</v>
      </c>
      <c r="D19" s="1">
        <v>4809756</v>
      </c>
      <c r="E19">
        <f t="shared" si="0"/>
        <v>4809756.4412344769</v>
      </c>
      <c r="F19">
        <f t="shared" si="1"/>
        <v>-0.44123447686433792</v>
      </c>
      <c r="G19">
        <f t="shared" si="2"/>
        <v>-8.8759597774780536E-10</v>
      </c>
      <c r="H19" t="b">
        <f t="shared" si="3"/>
        <v>0</v>
      </c>
      <c r="I19">
        <f t="shared" si="4"/>
        <v>0</v>
      </c>
      <c r="J19">
        <f t="shared" si="5"/>
        <v>0</v>
      </c>
    </row>
    <row r="20" spans="1:10" x14ac:dyDescent="0.55000000000000004">
      <c r="A20" t="s">
        <v>542</v>
      </c>
      <c r="B20" t="s">
        <v>535</v>
      </c>
      <c r="C20" s="1">
        <v>126983</v>
      </c>
      <c r="D20" s="1">
        <v>3243103</v>
      </c>
      <c r="E20">
        <f t="shared" si="0"/>
        <v>3243102.6267212406</v>
      </c>
      <c r="F20">
        <f t="shared" si="1"/>
        <v>0.37327875941991806</v>
      </c>
      <c r="G20">
        <f t="shared" si="2"/>
        <v>7.5089491599650754E-10</v>
      </c>
      <c r="H20" t="b">
        <f t="shared" si="3"/>
        <v>0</v>
      </c>
      <c r="I20">
        <f t="shared" si="4"/>
        <v>0</v>
      </c>
      <c r="J20">
        <f t="shared" si="5"/>
        <v>0</v>
      </c>
    </row>
    <row r="21" spans="1:10" x14ac:dyDescent="0.55000000000000004">
      <c r="A21" t="s">
        <v>543</v>
      </c>
      <c r="B21" t="s">
        <v>535</v>
      </c>
      <c r="C21" s="1">
        <v>247672</v>
      </c>
      <c r="D21" s="1">
        <v>7134988</v>
      </c>
      <c r="E21">
        <f t="shared" si="0"/>
        <v>6325458.6343471408</v>
      </c>
      <c r="F21">
        <f t="shared" si="1"/>
        <v>809529.36565285921</v>
      </c>
      <c r="G21">
        <f t="shared" si="2"/>
        <v>1.6284652412670174E-3</v>
      </c>
      <c r="H21" t="b">
        <f t="shared" si="3"/>
        <v>1</v>
      </c>
      <c r="I21">
        <f t="shared" si="4"/>
        <v>1.6284652412670174E-3</v>
      </c>
      <c r="J21">
        <f t="shared" si="5"/>
        <v>1.6284654457542932E-3</v>
      </c>
    </row>
    <row r="22" spans="1:10" x14ac:dyDescent="0.55000000000000004">
      <c r="A22" t="s">
        <v>544</v>
      </c>
      <c r="B22" t="s">
        <v>535</v>
      </c>
      <c r="C22" s="1">
        <v>267921</v>
      </c>
      <c r="D22" s="1">
        <v>6842622</v>
      </c>
      <c r="E22">
        <f t="shared" si="0"/>
        <v>6842611.2066479884</v>
      </c>
      <c r="F22">
        <f t="shared" si="1"/>
        <v>10.793352011591196</v>
      </c>
      <c r="G22">
        <f t="shared" si="2"/>
        <v>2.1712119823424499E-8</v>
      </c>
      <c r="H22" t="b">
        <f t="shared" si="3"/>
        <v>0</v>
      </c>
      <c r="I22">
        <f t="shared" si="4"/>
        <v>0</v>
      </c>
      <c r="J22">
        <f t="shared" si="5"/>
        <v>0</v>
      </c>
    </row>
    <row r="23" spans="1:10" x14ac:dyDescent="0.55000000000000004">
      <c r="A23" t="s">
        <v>545</v>
      </c>
      <c r="B23" t="s">
        <v>535</v>
      </c>
      <c r="C23" s="1">
        <v>269145</v>
      </c>
      <c r="D23" s="1">
        <v>8021566</v>
      </c>
      <c r="E23">
        <f t="shared" si="0"/>
        <v>6873871.7503042789</v>
      </c>
      <c r="F23">
        <f t="shared" si="1"/>
        <v>1147694.2496957211</v>
      </c>
      <c r="G23">
        <f t="shared" si="2"/>
        <v>2.3087243928751602E-3</v>
      </c>
      <c r="H23" t="b">
        <f t="shared" si="3"/>
        <v>1</v>
      </c>
      <c r="I23">
        <f t="shared" si="4"/>
        <v>2.3087243928751602E-3</v>
      </c>
      <c r="J23">
        <f t="shared" si="5"/>
        <v>2.3087246827829516E-3</v>
      </c>
    </row>
    <row r="24" spans="1:10" x14ac:dyDescent="0.55000000000000004">
      <c r="A24" t="s">
        <v>546</v>
      </c>
      <c r="B24" t="s">
        <v>535</v>
      </c>
      <c r="C24" s="1">
        <v>141840</v>
      </c>
      <c r="D24" s="1">
        <v>3670585</v>
      </c>
      <c r="E24">
        <f t="shared" si="0"/>
        <v>3622545.3531113672</v>
      </c>
      <c r="F24">
        <f t="shared" si="1"/>
        <v>48039.646888632793</v>
      </c>
      <c r="G24">
        <f t="shared" si="2"/>
        <v>9.6637501343498566E-5</v>
      </c>
      <c r="H24" t="b">
        <f t="shared" si="3"/>
        <v>1</v>
      </c>
      <c r="I24">
        <f t="shared" si="4"/>
        <v>9.6637501343498566E-5</v>
      </c>
      <c r="J24">
        <f t="shared" si="5"/>
        <v>9.6637513478322744E-5</v>
      </c>
    </row>
    <row r="25" spans="1:10" x14ac:dyDescent="0.55000000000000004">
      <c r="A25" t="s">
        <v>547</v>
      </c>
      <c r="B25" t="s">
        <v>535</v>
      </c>
      <c r="C25" s="1">
        <v>135716</v>
      </c>
      <c r="D25" s="1">
        <v>3466140</v>
      </c>
      <c r="E25">
        <f t="shared" si="0"/>
        <v>3466140.4761905125</v>
      </c>
      <c r="F25">
        <f t="shared" si="1"/>
        <v>-0.47619051253423095</v>
      </c>
      <c r="G25">
        <f t="shared" si="2"/>
        <v>-9.5791422866758872E-10</v>
      </c>
      <c r="H25" t="b">
        <f t="shared" si="3"/>
        <v>0</v>
      </c>
      <c r="I25">
        <f t="shared" si="4"/>
        <v>0</v>
      </c>
      <c r="J25">
        <f t="shared" si="5"/>
        <v>0</v>
      </c>
    </row>
    <row r="26" spans="1:10" x14ac:dyDescent="0.55000000000000004">
      <c r="A26" t="s">
        <v>548</v>
      </c>
      <c r="B26" t="s">
        <v>535</v>
      </c>
      <c r="C26" s="1">
        <v>235029</v>
      </c>
      <c r="D26" s="1">
        <v>6002561</v>
      </c>
      <c r="E26">
        <f t="shared" si="0"/>
        <v>6002560.7148647178</v>
      </c>
      <c r="F26">
        <f t="shared" si="1"/>
        <v>0.28513528220355511</v>
      </c>
      <c r="G26">
        <f t="shared" si="2"/>
        <v>5.7358375845066724E-10</v>
      </c>
      <c r="H26" t="b">
        <f t="shared" si="3"/>
        <v>0</v>
      </c>
      <c r="I26">
        <f t="shared" si="4"/>
        <v>0</v>
      </c>
      <c r="J26">
        <f t="shared" si="5"/>
        <v>0</v>
      </c>
    </row>
    <row r="27" spans="1:10" x14ac:dyDescent="0.55000000000000004">
      <c r="A27" t="s">
        <v>549</v>
      </c>
      <c r="B27" t="s">
        <v>550</v>
      </c>
      <c r="C27" s="1">
        <v>68156</v>
      </c>
      <c r="D27" s="1">
        <v>2966515</v>
      </c>
      <c r="E27">
        <f t="shared" si="0"/>
        <v>1740681.0567305298</v>
      </c>
      <c r="F27">
        <f t="shared" si="1"/>
        <v>1225833.9432694702</v>
      </c>
      <c r="G27">
        <f t="shared" si="2"/>
        <v>2.4659117419041665E-3</v>
      </c>
      <c r="H27" t="b">
        <f t="shared" si="3"/>
        <v>1</v>
      </c>
      <c r="I27">
        <f t="shared" si="4"/>
        <v>2.4659117419041665E-3</v>
      </c>
      <c r="J27">
        <f t="shared" si="5"/>
        <v>2.4659120515500596E-3</v>
      </c>
    </row>
    <row r="28" spans="1:10" x14ac:dyDescent="0.55000000000000004">
      <c r="A28" t="s">
        <v>551</v>
      </c>
      <c r="B28" t="s">
        <v>550</v>
      </c>
      <c r="C28" s="1">
        <v>57616</v>
      </c>
      <c r="D28" s="1">
        <v>2904456</v>
      </c>
      <c r="E28">
        <f t="shared" si="0"/>
        <v>1471493.0419124686</v>
      </c>
      <c r="F28">
        <f t="shared" si="1"/>
        <v>1432962.9580875314</v>
      </c>
      <c r="G28">
        <f t="shared" si="2"/>
        <v>2.8825765540781761E-3</v>
      </c>
      <c r="H28" t="b">
        <f t="shared" si="3"/>
        <v>1</v>
      </c>
      <c r="I28">
        <f t="shared" si="4"/>
        <v>2.8825765540781761E-3</v>
      </c>
      <c r="J28">
        <f t="shared" si="5"/>
        <v>2.8825769160448992E-3</v>
      </c>
    </row>
    <row r="29" spans="1:10" x14ac:dyDescent="0.55000000000000004">
      <c r="A29" t="s">
        <v>552</v>
      </c>
      <c r="B29" t="s">
        <v>553</v>
      </c>
      <c r="C29" s="1">
        <v>78446</v>
      </c>
      <c r="D29" s="1">
        <v>9011967</v>
      </c>
      <c r="E29">
        <f t="shared" si="0"/>
        <v>2003484.1565861134</v>
      </c>
      <c r="F29">
        <f t="shared" si="1"/>
        <v>7008482.8434138866</v>
      </c>
      <c r="G29">
        <f t="shared" si="2"/>
        <v>1.4098402341848927E-2</v>
      </c>
      <c r="H29" t="b">
        <f t="shared" si="3"/>
        <v>1</v>
      </c>
      <c r="I29">
        <f t="shared" si="4"/>
        <v>1.4098402341848927E-2</v>
      </c>
      <c r="J29">
        <f t="shared" si="5"/>
        <v>1.4098404112193061E-2</v>
      </c>
    </row>
    <row r="30" spans="1:10" x14ac:dyDescent="0.55000000000000004">
      <c r="A30" t="s">
        <v>554</v>
      </c>
      <c r="B30" t="s">
        <v>555</v>
      </c>
      <c r="C30" s="1">
        <v>134811</v>
      </c>
      <c r="D30" s="1">
        <v>3443028</v>
      </c>
      <c r="E30">
        <f t="shared" si="0"/>
        <v>3443027.0840263432</v>
      </c>
      <c r="F30">
        <f t="shared" si="1"/>
        <v>0.9159736568108201</v>
      </c>
      <c r="G30">
        <f t="shared" si="2"/>
        <v>1.8425906771519178E-9</v>
      </c>
      <c r="H30" t="b">
        <f t="shared" si="3"/>
        <v>0</v>
      </c>
      <c r="I30">
        <f t="shared" si="4"/>
        <v>0</v>
      </c>
      <c r="J30">
        <f t="shared" si="5"/>
        <v>0</v>
      </c>
    </row>
    <row r="31" spans="1:10" x14ac:dyDescent="0.55000000000000004">
      <c r="A31" t="s">
        <v>556</v>
      </c>
      <c r="B31" t="s">
        <v>555</v>
      </c>
      <c r="C31" s="1">
        <v>184784</v>
      </c>
      <c r="D31" s="1">
        <v>9007715</v>
      </c>
      <c r="E31">
        <f t="shared" si="0"/>
        <v>4719320.5057059424</v>
      </c>
      <c r="F31">
        <f t="shared" si="1"/>
        <v>4288394.4942940576</v>
      </c>
      <c r="G31">
        <f t="shared" si="2"/>
        <v>8.6266189604706361E-3</v>
      </c>
      <c r="H31" t="b">
        <f t="shared" si="3"/>
        <v>1</v>
      </c>
      <c r="I31">
        <f t="shared" si="4"/>
        <v>8.6266189604706361E-3</v>
      </c>
      <c r="J31">
        <f t="shared" si="5"/>
        <v>8.6266200437199216E-3</v>
      </c>
    </row>
    <row r="32" spans="1:10" x14ac:dyDescent="0.55000000000000004">
      <c r="A32" t="s">
        <v>239</v>
      </c>
      <c r="B32" t="s">
        <v>555</v>
      </c>
      <c r="C32" s="1">
        <v>351934</v>
      </c>
      <c r="D32" s="1">
        <v>25818926</v>
      </c>
      <c r="E32">
        <f t="shared" si="0"/>
        <v>8988274.6496185549</v>
      </c>
      <c r="F32">
        <f t="shared" si="1"/>
        <v>16830651.350381445</v>
      </c>
      <c r="G32">
        <f t="shared" si="2"/>
        <v>3.3856870269154724E-2</v>
      </c>
      <c r="H32" t="b">
        <f t="shared" si="3"/>
        <v>1</v>
      </c>
      <c r="I32">
        <f t="shared" si="4"/>
        <v>3.3856870269154724E-2</v>
      </c>
      <c r="J32">
        <f t="shared" si="5"/>
        <v>3.3856874520580539E-2</v>
      </c>
    </row>
    <row r="33" spans="1:10" x14ac:dyDescent="0.55000000000000004">
      <c r="A33" t="s">
        <v>557</v>
      </c>
      <c r="B33" t="s">
        <v>555</v>
      </c>
      <c r="C33" s="1">
        <v>207959</v>
      </c>
      <c r="D33" s="1">
        <v>5311216</v>
      </c>
      <c r="E33">
        <f t="shared" si="0"/>
        <v>5311202.1227276288</v>
      </c>
      <c r="F33">
        <f t="shared" si="1"/>
        <v>13.877272371202707</v>
      </c>
      <c r="G33">
        <f t="shared" si="2"/>
        <v>2.7915794854302347E-8</v>
      </c>
      <c r="H33" t="b">
        <f t="shared" si="3"/>
        <v>0</v>
      </c>
      <c r="I33">
        <f t="shared" si="4"/>
        <v>0</v>
      </c>
      <c r="J33">
        <f t="shared" si="5"/>
        <v>0</v>
      </c>
    </row>
    <row r="34" spans="1:10" x14ac:dyDescent="0.55000000000000004">
      <c r="A34" t="s">
        <v>558</v>
      </c>
      <c r="B34" t="s">
        <v>555</v>
      </c>
      <c r="C34" s="1">
        <v>154072</v>
      </c>
      <c r="D34" s="1">
        <v>3934984</v>
      </c>
      <c r="E34">
        <f t="shared" si="0"/>
        <v>3934946.4723954778</v>
      </c>
      <c r="F34">
        <f t="shared" si="1"/>
        <v>37.527604522183537</v>
      </c>
      <c r="G34">
        <f t="shared" si="2"/>
        <v>7.5491269551544505E-8</v>
      </c>
      <c r="H34" t="b">
        <f t="shared" si="3"/>
        <v>0</v>
      </c>
      <c r="I34">
        <f t="shared" si="4"/>
        <v>0</v>
      </c>
      <c r="J34">
        <f t="shared" si="5"/>
        <v>0</v>
      </c>
    </row>
    <row r="35" spans="1:10" x14ac:dyDescent="0.55000000000000004">
      <c r="A35" t="s">
        <v>559</v>
      </c>
      <c r="B35" t="s">
        <v>555</v>
      </c>
      <c r="C35" s="1">
        <v>224483</v>
      </c>
      <c r="D35" s="1">
        <v>9317954</v>
      </c>
      <c r="E35">
        <f t="shared" si="0"/>
        <v>5733219.4620875567</v>
      </c>
      <c r="F35">
        <f t="shared" si="1"/>
        <v>3584734.5379124433</v>
      </c>
      <c r="G35">
        <f t="shared" si="2"/>
        <v>7.2111227113446945E-3</v>
      </c>
      <c r="H35" t="b">
        <f t="shared" si="3"/>
        <v>1</v>
      </c>
      <c r="I35">
        <f t="shared" si="4"/>
        <v>7.2111227113446945E-3</v>
      </c>
      <c r="J35">
        <f t="shared" si="5"/>
        <v>7.2111236168493379E-3</v>
      </c>
    </row>
    <row r="36" spans="1:10" x14ac:dyDescent="0.55000000000000004">
      <c r="A36" t="s">
        <v>560</v>
      </c>
      <c r="B36" t="s">
        <v>561</v>
      </c>
      <c r="C36" s="1">
        <v>29594</v>
      </c>
      <c r="D36" s="1">
        <v>5692009</v>
      </c>
      <c r="E36">
        <f t="shared" si="0"/>
        <v>755820.69359826425</v>
      </c>
      <c r="F36">
        <f t="shared" si="1"/>
        <v>4936188.3064017361</v>
      </c>
      <c r="G36">
        <f t="shared" si="2"/>
        <v>9.9297337717220609E-3</v>
      </c>
      <c r="H36" t="b">
        <f t="shared" si="3"/>
        <v>1</v>
      </c>
      <c r="I36">
        <f t="shared" si="4"/>
        <v>9.9297337717220609E-3</v>
      </c>
      <c r="J36">
        <f t="shared" si="5"/>
        <v>9.9297350186041897E-3</v>
      </c>
    </row>
    <row r="37" spans="1:10" x14ac:dyDescent="0.55000000000000004">
      <c r="A37" t="s">
        <v>562</v>
      </c>
      <c r="B37" t="s">
        <v>561</v>
      </c>
      <c r="C37" s="1">
        <v>17624</v>
      </c>
      <c r="D37" s="1">
        <v>6361493</v>
      </c>
      <c r="E37">
        <f t="shared" si="0"/>
        <v>450110.96519483038</v>
      </c>
      <c r="F37">
        <f t="shared" si="1"/>
        <v>5911382.0348051693</v>
      </c>
      <c r="G37">
        <f t="shared" si="2"/>
        <v>1.1891452713104567E-2</v>
      </c>
      <c r="H37" t="b">
        <f t="shared" si="3"/>
        <v>1</v>
      </c>
      <c r="I37">
        <f t="shared" si="4"/>
        <v>1.1891452713104567E-2</v>
      </c>
      <c r="J37">
        <f t="shared" si="5"/>
        <v>1.1891454206320822E-2</v>
      </c>
    </row>
    <row r="38" spans="1:10" x14ac:dyDescent="0.55000000000000004">
      <c r="A38" t="s">
        <v>563</v>
      </c>
      <c r="B38" t="s">
        <v>561</v>
      </c>
      <c r="C38" s="1">
        <v>27132</v>
      </c>
      <c r="D38" s="1">
        <v>5452742</v>
      </c>
      <c r="E38">
        <f t="shared" si="0"/>
        <v>692942.05104778346</v>
      </c>
      <c r="F38">
        <f t="shared" si="1"/>
        <v>4759799.9489522167</v>
      </c>
      <c r="G38">
        <f t="shared" si="2"/>
        <v>9.5749074723214533E-3</v>
      </c>
      <c r="H38" t="b">
        <f t="shared" si="3"/>
        <v>1</v>
      </c>
      <c r="I38">
        <f t="shared" si="4"/>
        <v>9.5749074723214533E-3</v>
      </c>
      <c r="J38">
        <f t="shared" si="5"/>
        <v>9.5749086746478498E-3</v>
      </c>
    </row>
    <row r="39" spans="1:10" x14ac:dyDescent="0.55000000000000004">
      <c r="A39" t="s">
        <v>564</v>
      </c>
      <c r="B39" t="s">
        <v>561</v>
      </c>
      <c r="C39" s="1">
        <v>23002</v>
      </c>
      <c r="D39" s="1">
        <v>1647348</v>
      </c>
      <c r="E39">
        <f t="shared" si="0"/>
        <v>587463.25586765131</v>
      </c>
      <c r="F39">
        <f t="shared" si="1"/>
        <v>1059884.7441323488</v>
      </c>
      <c r="G39">
        <f t="shared" si="2"/>
        <v>2.1320850592946249E-3</v>
      </c>
      <c r="H39" t="b">
        <f t="shared" si="3"/>
        <v>1</v>
      </c>
      <c r="I39">
        <f t="shared" si="4"/>
        <v>2.1320850592946249E-3</v>
      </c>
      <c r="J39">
        <f t="shared" si="5"/>
        <v>2.132085327021718E-3</v>
      </c>
    </row>
    <row r="40" spans="1:10" x14ac:dyDescent="0.55000000000000004">
      <c r="A40" t="s">
        <v>565</v>
      </c>
      <c r="B40" t="s">
        <v>561</v>
      </c>
      <c r="C40" s="1">
        <v>20724</v>
      </c>
      <c r="D40" s="1">
        <v>4748358</v>
      </c>
      <c r="E40">
        <f t="shared" si="0"/>
        <v>529283.91072955425</v>
      </c>
      <c r="F40">
        <f t="shared" si="1"/>
        <v>4219074.0892704455</v>
      </c>
      <c r="G40">
        <f t="shared" si="2"/>
        <v>8.4871726662642914E-3</v>
      </c>
      <c r="H40" t="b">
        <f t="shared" si="3"/>
        <v>1</v>
      </c>
      <c r="I40">
        <f t="shared" si="4"/>
        <v>8.4871726662642914E-3</v>
      </c>
      <c r="J40">
        <f t="shared" si="5"/>
        <v>8.4871737320032295E-3</v>
      </c>
    </row>
    <row r="41" spans="1:10" x14ac:dyDescent="0.55000000000000004">
      <c r="A41" t="s">
        <v>566</v>
      </c>
      <c r="B41" t="s">
        <v>561</v>
      </c>
      <c r="C41" s="1">
        <v>25921</v>
      </c>
      <c r="D41" s="1">
        <v>5648191</v>
      </c>
      <c r="E41">
        <f t="shared" si="0"/>
        <v>662013.52296954137</v>
      </c>
      <c r="F41">
        <f t="shared" si="1"/>
        <v>4986177.4770304589</v>
      </c>
      <c r="G41">
        <f t="shared" si="2"/>
        <v>1.0030292973478738E-2</v>
      </c>
      <c r="H41" t="b">
        <f t="shared" si="3"/>
        <v>1</v>
      </c>
      <c r="I41">
        <f t="shared" si="4"/>
        <v>1.0030292973478738E-2</v>
      </c>
      <c r="J41">
        <f t="shared" si="5"/>
        <v>1.0030294232988141E-2</v>
      </c>
    </row>
    <row r="42" spans="1:10" x14ac:dyDescent="0.55000000000000004">
      <c r="A42" t="s">
        <v>567</v>
      </c>
      <c r="B42" t="s">
        <v>561</v>
      </c>
      <c r="C42" s="1">
        <v>20774</v>
      </c>
      <c r="D42" s="1">
        <v>3855117</v>
      </c>
      <c r="E42">
        <f t="shared" si="0"/>
        <v>530560.89372204978</v>
      </c>
      <c r="F42">
        <f t="shared" si="1"/>
        <v>3324556.1062779501</v>
      </c>
      <c r="G42">
        <f t="shared" si="2"/>
        <v>6.6877426458143412E-3</v>
      </c>
      <c r="H42" t="b">
        <f t="shared" si="3"/>
        <v>1</v>
      </c>
      <c r="I42">
        <f t="shared" si="4"/>
        <v>6.6877426458143412E-3</v>
      </c>
      <c r="J42">
        <f t="shared" si="5"/>
        <v>6.6877434855978626E-3</v>
      </c>
    </row>
    <row r="43" spans="1:10" x14ac:dyDescent="0.55000000000000004">
      <c r="A43" t="s">
        <v>568</v>
      </c>
      <c r="B43" t="s">
        <v>561</v>
      </c>
      <c r="C43" s="1">
        <v>23705</v>
      </c>
      <c r="D43" s="1">
        <v>4749737</v>
      </c>
      <c r="E43">
        <f t="shared" si="0"/>
        <v>605417.63674213877</v>
      </c>
      <c r="F43">
        <f t="shared" si="1"/>
        <v>4144319.3632578612</v>
      </c>
      <c r="G43">
        <f t="shared" si="2"/>
        <v>8.3367945847554661E-3</v>
      </c>
      <c r="H43" t="b">
        <f t="shared" si="3"/>
        <v>1</v>
      </c>
      <c r="I43">
        <f t="shared" si="4"/>
        <v>8.3367945847554661E-3</v>
      </c>
      <c r="J43">
        <f t="shared" si="5"/>
        <v>8.3367956316113458E-3</v>
      </c>
    </row>
    <row r="44" spans="1:10" x14ac:dyDescent="0.55000000000000004">
      <c r="A44" t="s">
        <v>569</v>
      </c>
      <c r="B44" t="s">
        <v>561</v>
      </c>
      <c r="C44" s="1">
        <v>25332</v>
      </c>
      <c r="D44" s="1">
        <v>3369131</v>
      </c>
      <c r="E44">
        <f t="shared" si="0"/>
        <v>646970.66331794381</v>
      </c>
      <c r="F44">
        <f t="shared" si="1"/>
        <v>2722160.3366820561</v>
      </c>
      <c r="G44">
        <f t="shared" si="2"/>
        <v>5.4759514324318852E-3</v>
      </c>
      <c r="H44" t="b">
        <f t="shared" si="3"/>
        <v>1</v>
      </c>
      <c r="I44">
        <f t="shared" si="4"/>
        <v>5.4759514324318852E-3</v>
      </c>
      <c r="J44">
        <f t="shared" si="5"/>
        <v>5.4759521200501175E-3</v>
      </c>
    </row>
    <row r="45" spans="1:10" x14ac:dyDescent="0.55000000000000004">
      <c r="A45" t="s">
        <v>570</v>
      </c>
      <c r="B45" t="s">
        <v>561</v>
      </c>
      <c r="C45" s="1">
        <v>22132</v>
      </c>
      <c r="D45" s="1">
        <v>8771685</v>
      </c>
      <c r="E45">
        <f t="shared" si="0"/>
        <v>565243.75179822883</v>
      </c>
      <c r="F45">
        <f t="shared" si="1"/>
        <v>8206441.2482017707</v>
      </c>
      <c r="G45">
        <f t="shared" si="2"/>
        <v>1.650823910065195E-2</v>
      </c>
      <c r="H45" t="b">
        <f t="shared" si="3"/>
        <v>1</v>
      </c>
      <c r="I45">
        <f t="shared" si="4"/>
        <v>1.650823910065195E-2</v>
      </c>
      <c r="J45">
        <f t="shared" si="5"/>
        <v>1.6508241173600609E-2</v>
      </c>
    </row>
    <row r="46" spans="1:10" x14ac:dyDescent="0.55000000000000004">
      <c r="A46" t="s">
        <v>571</v>
      </c>
      <c r="B46" t="s">
        <v>572</v>
      </c>
      <c r="C46" s="1">
        <v>57517</v>
      </c>
      <c r="D46" s="1">
        <v>6051163</v>
      </c>
      <c r="E46">
        <f t="shared" si="0"/>
        <v>1468964.6155873272</v>
      </c>
      <c r="F46">
        <f t="shared" si="1"/>
        <v>4582198.3844126724</v>
      </c>
      <c r="G46">
        <f t="shared" si="2"/>
        <v>9.2176406616060157E-3</v>
      </c>
      <c r="H46" t="b">
        <f t="shared" si="3"/>
        <v>1</v>
      </c>
      <c r="I46">
        <f t="shared" si="4"/>
        <v>9.2176406616060157E-3</v>
      </c>
      <c r="J46">
        <f t="shared" si="5"/>
        <v>9.2176418190702217E-3</v>
      </c>
    </row>
    <row r="47" spans="1:10" x14ac:dyDescent="0.55000000000000004">
      <c r="A47" t="s">
        <v>573</v>
      </c>
      <c r="B47" t="s">
        <v>572</v>
      </c>
      <c r="C47" s="1">
        <v>47279</v>
      </c>
      <c r="D47" s="1">
        <v>4111625</v>
      </c>
      <c r="E47">
        <f t="shared" si="0"/>
        <v>1207489.5780439391</v>
      </c>
      <c r="F47">
        <f t="shared" si="1"/>
        <v>2904135.4219560609</v>
      </c>
      <c r="G47">
        <f t="shared" si="2"/>
        <v>5.8420161037317699E-3</v>
      </c>
      <c r="H47" t="b">
        <f t="shared" si="3"/>
        <v>1</v>
      </c>
      <c r="I47">
        <f t="shared" si="4"/>
        <v>5.8420161037317699E-3</v>
      </c>
      <c r="J47">
        <f t="shared" si="5"/>
        <v>5.8420168373169443E-3</v>
      </c>
    </row>
    <row r="48" spans="1:10" x14ac:dyDescent="0.55000000000000004">
      <c r="A48" t="s">
        <v>574</v>
      </c>
      <c r="B48" t="s">
        <v>572</v>
      </c>
      <c r="C48" s="1">
        <v>44612</v>
      </c>
      <c r="D48" s="1">
        <v>5429088</v>
      </c>
      <c r="E48">
        <f t="shared" si="0"/>
        <v>1139375.3052242268</v>
      </c>
      <c r="F48">
        <f t="shared" si="1"/>
        <v>4289712.6947757732</v>
      </c>
      <c r="G48">
        <f t="shared" si="2"/>
        <v>8.6292706785633614E-3</v>
      </c>
      <c r="H48" t="b">
        <f t="shared" si="3"/>
        <v>1</v>
      </c>
      <c r="I48">
        <f t="shared" si="4"/>
        <v>8.6292706785633614E-3</v>
      </c>
      <c r="J48">
        <f t="shared" si="5"/>
        <v>8.6292717621456252E-3</v>
      </c>
    </row>
    <row r="49" spans="1:10" x14ac:dyDescent="0.55000000000000004">
      <c r="A49" t="s">
        <v>575</v>
      </c>
      <c r="B49" t="s">
        <v>572</v>
      </c>
      <c r="C49" s="1">
        <v>36279</v>
      </c>
      <c r="D49" s="1">
        <v>6742619</v>
      </c>
      <c r="E49">
        <f t="shared" si="0"/>
        <v>926553.31969491881</v>
      </c>
      <c r="F49">
        <f t="shared" si="1"/>
        <v>5816065.6803050814</v>
      </c>
      <c r="G49">
        <f t="shared" si="2"/>
        <v>1.1699712454117793E-2</v>
      </c>
      <c r="H49" t="b">
        <f t="shared" si="3"/>
        <v>1</v>
      </c>
      <c r="I49">
        <f t="shared" si="4"/>
        <v>1.1699712454117793E-2</v>
      </c>
      <c r="J49">
        <f t="shared" si="5"/>
        <v>1.1699713923257119E-2</v>
      </c>
    </row>
    <row r="50" spans="1:10" x14ac:dyDescent="0.55000000000000004">
      <c r="A50" t="s">
        <v>576</v>
      </c>
      <c r="B50" t="s">
        <v>572</v>
      </c>
      <c r="C50" s="1">
        <v>37126</v>
      </c>
      <c r="D50" s="1">
        <v>2758007</v>
      </c>
      <c r="E50">
        <f t="shared" si="0"/>
        <v>948185.41158779338</v>
      </c>
      <c r="F50">
        <f t="shared" si="1"/>
        <v>1809821.5884122066</v>
      </c>
      <c r="G50">
        <f t="shared" si="2"/>
        <v>3.64067280900563E-3</v>
      </c>
      <c r="H50" t="b">
        <f t="shared" si="3"/>
        <v>1</v>
      </c>
      <c r="I50">
        <f t="shared" si="4"/>
        <v>3.64067280900563E-3</v>
      </c>
      <c r="J50">
        <f t="shared" si="5"/>
        <v>3.6406732661669163E-3</v>
      </c>
    </row>
    <row r="51" spans="1:10" x14ac:dyDescent="0.55000000000000004">
      <c r="A51" t="s">
        <v>577</v>
      </c>
      <c r="B51" t="s">
        <v>572</v>
      </c>
      <c r="C51" s="1">
        <v>67591</v>
      </c>
      <c r="D51" s="1">
        <v>6717110</v>
      </c>
      <c r="E51">
        <f t="shared" si="0"/>
        <v>1726251.1489153302</v>
      </c>
      <c r="F51">
        <f t="shared" si="1"/>
        <v>4990858.8510846701</v>
      </c>
      <c r="G51">
        <f t="shared" si="2"/>
        <v>1.0039710117874117E-2</v>
      </c>
      <c r="H51" t="b">
        <f t="shared" si="3"/>
        <v>1</v>
      </c>
      <c r="I51">
        <f t="shared" si="4"/>
        <v>1.0039710117874117E-2</v>
      </c>
      <c r="J51">
        <f t="shared" si="5"/>
        <v>1.0039711378566038E-2</v>
      </c>
    </row>
    <row r="52" spans="1:10" x14ac:dyDescent="0.55000000000000004">
      <c r="A52" t="s">
        <v>578</v>
      </c>
      <c r="B52" t="s">
        <v>572</v>
      </c>
      <c r="C52" s="1">
        <v>55323</v>
      </c>
      <c r="D52" s="1">
        <v>9369915</v>
      </c>
      <c r="E52">
        <f t="shared" si="0"/>
        <v>1412930.6018766228</v>
      </c>
      <c r="F52">
        <f t="shared" si="1"/>
        <v>7956984.398123377</v>
      </c>
      <c r="G52">
        <f t="shared" si="2"/>
        <v>1.6006426780080959E-2</v>
      </c>
      <c r="H52" t="b">
        <f t="shared" si="3"/>
        <v>1</v>
      </c>
      <c r="I52">
        <f t="shared" si="4"/>
        <v>1.6006426780080959E-2</v>
      </c>
      <c r="J52">
        <f t="shared" si="5"/>
        <v>1.600642879001677E-2</v>
      </c>
    </row>
    <row r="53" spans="1:10" x14ac:dyDescent="0.55000000000000004">
      <c r="A53" t="s">
        <v>579</v>
      </c>
      <c r="B53" t="s">
        <v>572</v>
      </c>
      <c r="C53" s="1">
        <v>56558</v>
      </c>
      <c r="D53" s="1">
        <v>9835939</v>
      </c>
      <c r="E53">
        <f t="shared" si="0"/>
        <v>1444472.0817912626</v>
      </c>
      <c r="F53">
        <f t="shared" si="1"/>
        <v>8391466.9182087369</v>
      </c>
      <c r="G53">
        <f t="shared" si="2"/>
        <v>1.6880440388378541E-2</v>
      </c>
      <c r="H53" t="b">
        <f t="shared" si="3"/>
        <v>1</v>
      </c>
      <c r="I53">
        <f t="shared" si="4"/>
        <v>1.6880440388378541E-2</v>
      </c>
      <c r="J53">
        <f t="shared" si="5"/>
        <v>1.6880442508064721E-2</v>
      </c>
    </row>
    <row r="54" spans="1:10" x14ac:dyDescent="0.55000000000000004">
      <c r="A54" t="s">
        <v>580</v>
      </c>
      <c r="B54" t="s">
        <v>572</v>
      </c>
      <c r="C54" s="1">
        <v>40912</v>
      </c>
      <c r="D54" s="1">
        <v>6819509</v>
      </c>
      <c r="E54">
        <f t="shared" si="0"/>
        <v>1044878.5637795562</v>
      </c>
      <c r="F54">
        <f t="shared" si="1"/>
        <v>5774630.4362204438</v>
      </c>
      <c r="G54">
        <f t="shared" si="2"/>
        <v>1.1616360499737695E-2</v>
      </c>
      <c r="H54" t="b">
        <f t="shared" si="3"/>
        <v>1</v>
      </c>
      <c r="I54">
        <f t="shared" si="4"/>
        <v>1.1616360499737695E-2</v>
      </c>
      <c r="J54">
        <f t="shared" si="5"/>
        <v>1.1616361958410469E-2</v>
      </c>
    </row>
    <row r="55" spans="1:10" x14ac:dyDescent="0.55000000000000004">
      <c r="A55" t="s">
        <v>581</v>
      </c>
      <c r="B55" t="s">
        <v>572</v>
      </c>
      <c r="C55" s="1">
        <v>32710</v>
      </c>
      <c r="D55" s="1">
        <v>4517121</v>
      </c>
      <c r="E55">
        <f t="shared" si="0"/>
        <v>835402.27369058679</v>
      </c>
      <c r="F55">
        <f t="shared" si="1"/>
        <v>3681718.7263094131</v>
      </c>
      <c r="G55">
        <f t="shared" si="2"/>
        <v>7.4062180178992472E-3</v>
      </c>
      <c r="H55" t="b">
        <f t="shared" si="3"/>
        <v>1</v>
      </c>
      <c r="I55">
        <f t="shared" si="4"/>
        <v>7.4062180178992472E-3</v>
      </c>
      <c r="J55">
        <f t="shared" si="5"/>
        <v>7.4062189479021162E-3</v>
      </c>
    </row>
    <row r="56" spans="1:10" x14ac:dyDescent="0.55000000000000004">
      <c r="A56" t="s">
        <v>582</v>
      </c>
      <c r="B56" t="s">
        <v>572</v>
      </c>
      <c r="C56" s="1">
        <v>31453</v>
      </c>
      <c r="D56" s="1">
        <v>5720942</v>
      </c>
      <c r="E56">
        <f t="shared" si="0"/>
        <v>803298.92125924875</v>
      </c>
      <c r="F56">
        <f t="shared" si="1"/>
        <v>4917643.0787407514</v>
      </c>
      <c r="G56">
        <f t="shared" si="2"/>
        <v>9.892427825923613E-3</v>
      </c>
      <c r="H56" t="b">
        <f t="shared" si="3"/>
        <v>1</v>
      </c>
      <c r="I56">
        <f t="shared" si="4"/>
        <v>9.892427825923613E-3</v>
      </c>
      <c r="J56">
        <f t="shared" si="5"/>
        <v>9.8924290681212147E-3</v>
      </c>
    </row>
    <row r="57" spans="1:10" x14ac:dyDescent="0.55000000000000004">
      <c r="A57" t="s">
        <v>583</v>
      </c>
      <c r="B57" t="s">
        <v>572</v>
      </c>
      <c r="C57" s="1">
        <v>43907</v>
      </c>
      <c r="D57" s="1">
        <v>5514276</v>
      </c>
      <c r="E57">
        <f t="shared" si="0"/>
        <v>1121369.8450300395</v>
      </c>
      <c r="F57">
        <f t="shared" si="1"/>
        <v>4392906.1549699605</v>
      </c>
      <c r="G57">
        <f t="shared" si="2"/>
        <v>8.836856678753462E-3</v>
      </c>
      <c r="H57" t="b">
        <f t="shared" si="3"/>
        <v>1</v>
      </c>
      <c r="I57">
        <f t="shared" si="4"/>
        <v>8.836856678753462E-3</v>
      </c>
      <c r="J57">
        <f t="shared" si="5"/>
        <v>8.8368577884024146E-3</v>
      </c>
    </row>
    <row r="58" spans="1:10" x14ac:dyDescent="0.55000000000000004">
      <c r="A58" t="s">
        <v>584</v>
      </c>
      <c r="B58" t="s">
        <v>572</v>
      </c>
      <c r="C58" s="1">
        <v>44244</v>
      </c>
      <c r="D58" s="1">
        <v>4570432</v>
      </c>
      <c r="E58">
        <f t="shared" si="0"/>
        <v>1129976.7103994593</v>
      </c>
      <c r="F58">
        <f t="shared" si="1"/>
        <v>3440455.2896005409</v>
      </c>
      <c r="G58">
        <f t="shared" si="2"/>
        <v>6.920887729291161E-3</v>
      </c>
      <c r="H58" t="b">
        <f t="shared" si="3"/>
        <v>1</v>
      </c>
      <c r="I58">
        <f t="shared" si="4"/>
        <v>6.920887729291161E-3</v>
      </c>
      <c r="J58">
        <f t="shared" si="5"/>
        <v>6.9208885983508385E-3</v>
      </c>
    </row>
    <row r="59" spans="1:10" x14ac:dyDescent="0.55000000000000004">
      <c r="A59" t="s">
        <v>585</v>
      </c>
      <c r="B59" t="s">
        <v>572</v>
      </c>
      <c r="C59" s="1">
        <v>65369</v>
      </c>
      <c r="D59" s="1">
        <v>4462468</v>
      </c>
      <c r="E59">
        <f t="shared" si="0"/>
        <v>1669502.0247288279</v>
      </c>
      <c r="F59">
        <f t="shared" si="1"/>
        <v>2792965.9752711719</v>
      </c>
      <c r="G59">
        <f t="shared" si="2"/>
        <v>5.6183854517773109E-3</v>
      </c>
      <c r="H59" t="b">
        <f t="shared" si="3"/>
        <v>1</v>
      </c>
      <c r="I59">
        <f t="shared" si="4"/>
        <v>5.6183854517773109E-3</v>
      </c>
      <c r="J59">
        <f t="shared" si="5"/>
        <v>5.618386157281061E-3</v>
      </c>
    </row>
    <row r="60" spans="1:10" x14ac:dyDescent="0.55000000000000004">
      <c r="A60" t="s">
        <v>586</v>
      </c>
      <c r="B60" t="s">
        <v>572</v>
      </c>
      <c r="C60" s="1">
        <v>65246</v>
      </c>
      <c r="D60" s="1">
        <v>7846386</v>
      </c>
      <c r="E60">
        <f t="shared" si="0"/>
        <v>1666360.646567289</v>
      </c>
      <c r="F60">
        <f t="shared" si="1"/>
        <v>6180025.3534327112</v>
      </c>
      <c r="G60">
        <f t="shared" si="2"/>
        <v>1.2431860912294181E-2</v>
      </c>
      <c r="H60" t="b">
        <f t="shared" si="3"/>
        <v>1</v>
      </c>
      <c r="I60">
        <f t="shared" si="4"/>
        <v>1.2431860912294181E-2</v>
      </c>
      <c r="J60">
        <f t="shared" si="5"/>
        <v>1.2431862473369791E-2</v>
      </c>
    </row>
    <row r="61" spans="1:10" x14ac:dyDescent="0.55000000000000004">
      <c r="A61" t="s">
        <v>587</v>
      </c>
      <c r="B61" t="s">
        <v>572</v>
      </c>
      <c r="C61" s="1">
        <v>68716</v>
      </c>
      <c r="D61" s="1">
        <v>8548845</v>
      </c>
      <c r="E61">
        <f t="shared" si="0"/>
        <v>1754983.2662464799</v>
      </c>
      <c r="F61">
        <f t="shared" si="1"/>
        <v>6793861.7337535201</v>
      </c>
      <c r="G61">
        <f t="shared" si="2"/>
        <v>1.3666666283896043E-2</v>
      </c>
      <c r="H61" t="b">
        <f t="shared" si="3"/>
        <v>1</v>
      </c>
      <c r="I61">
        <f t="shared" si="4"/>
        <v>1.3666666283896043E-2</v>
      </c>
      <c r="J61">
        <f t="shared" si="5"/>
        <v>1.3666668000026843E-2</v>
      </c>
    </row>
    <row r="62" spans="1:10" x14ac:dyDescent="0.55000000000000004">
      <c r="A62" t="s">
        <v>588</v>
      </c>
      <c r="B62" t="s">
        <v>572</v>
      </c>
      <c r="C62" s="1">
        <v>53109</v>
      </c>
      <c r="D62" s="1">
        <v>3955324</v>
      </c>
      <c r="E62">
        <f t="shared" si="0"/>
        <v>1356385.7949689198</v>
      </c>
      <c r="F62">
        <f t="shared" si="1"/>
        <v>2598938.2050310802</v>
      </c>
      <c r="G62">
        <f t="shared" si="2"/>
        <v>5.2280753616402902E-3</v>
      </c>
      <c r="H62" t="b">
        <f t="shared" si="3"/>
        <v>1</v>
      </c>
      <c r="I62">
        <f t="shared" si="4"/>
        <v>5.2280753616402902E-3</v>
      </c>
      <c r="J62">
        <f t="shared" si="5"/>
        <v>5.2280760181325882E-3</v>
      </c>
    </row>
    <row r="63" spans="1:10" x14ac:dyDescent="0.55000000000000004">
      <c r="A63" t="s">
        <v>589</v>
      </c>
      <c r="B63" t="s">
        <v>590</v>
      </c>
      <c r="C63" s="1">
        <v>80489</v>
      </c>
      <c r="D63" s="1">
        <v>6411643</v>
      </c>
      <c r="E63">
        <f t="shared" si="0"/>
        <v>2055661.6816594813</v>
      </c>
      <c r="F63">
        <f t="shared" si="1"/>
        <v>4355981.3183405185</v>
      </c>
      <c r="G63">
        <f t="shared" si="2"/>
        <v>8.7625779489855608E-3</v>
      </c>
      <c r="H63" t="b">
        <f t="shared" si="3"/>
        <v>1</v>
      </c>
      <c r="I63">
        <f t="shared" si="4"/>
        <v>8.7625779489855608E-3</v>
      </c>
      <c r="J63">
        <f t="shared" si="5"/>
        <v>8.7625790493072921E-3</v>
      </c>
    </row>
    <row r="64" spans="1:10" x14ac:dyDescent="0.55000000000000004">
      <c r="A64" t="s">
        <v>591</v>
      </c>
      <c r="B64" t="s">
        <v>590</v>
      </c>
      <c r="C64" s="1">
        <v>95957</v>
      </c>
      <c r="D64" s="1">
        <v>6815157</v>
      </c>
      <c r="E64">
        <f t="shared" si="0"/>
        <v>2450709.140217904</v>
      </c>
      <c r="F64">
        <f t="shared" si="1"/>
        <v>4364447.859782096</v>
      </c>
      <c r="G64">
        <f t="shared" si="2"/>
        <v>8.779609410766118E-3</v>
      </c>
      <c r="H64" t="b">
        <f t="shared" si="3"/>
        <v>1</v>
      </c>
      <c r="I64">
        <f t="shared" si="4"/>
        <v>8.779609410766118E-3</v>
      </c>
      <c r="J64">
        <f t="shared" si="5"/>
        <v>8.7796105132264997E-3</v>
      </c>
    </row>
    <row r="65" spans="1:10" x14ac:dyDescent="0.55000000000000004">
      <c r="A65" t="s">
        <v>592</v>
      </c>
      <c r="B65" t="s">
        <v>590</v>
      </c>
      <c r="C65" s="1">
        <v>97909</v>
      </c>
      <c r="D65" s="1">
        <v>15564557</v>
      </c>
      <c r="E65">
        <f t="shared" si="0"/>
        <v>2500562.5562449303</v>
      </c>
      <c r="F65">
        <f t="shared" si="1"/>
        <v>13063994.44375507</v>
      </c>
      <c r="G65">
        <f t="shared" si="2"/>
        <v>2.6279788932182305E-2</v>
      </c>
      <c r="H65" t="b">
        <f t="shared" si="3"/>
        <v>1</v>
      </c>
      <c r="I65">
        <f t="shared" si="4"/>
        <v>2.6279788932182305E-2</v>
      </c>
      <c r="J65">
        <f t="shared" si="5"/>
        <v>2.6279792232149851E-2</v>
      </c>
    </row>
    <row r="66" spans="1:10" x14ac:dyDescent="0.55000000000000004">
      <c r="A66" t="s">
        <v>593</v>
      </c>
      <c r="B66" t="s">
        <v>590</v>
      </c>
      <c r="C66" s="1">
        <v>89596</v>
      </c>
      <c r="D66" s="1">
        <v>7698470</v>
      </c>
      <c r="E66">
        <f t="shared" si="0"/>
        <v>2288251.3639126201</v>
      </c>
      <c r="F66">
        <f t="shared" si="1"/>
        <v>5410218.6360873803</v>
      </c>
      <c r="G66">
        <f t="shared" si="2"/>
        <v>1.0883302533958215E-2</v>
      </c>
      <c r="H66" t="b">
        <f t="shared" si="3"/>
        <v>1</v>
      </c>
      <c r="I66">
        <f t="shared" si="4"/>
        <v>1.0883302533958215E-2</v>
      </c>
      <c r="J66">
        <f t="shared" si="5"/>
        <v>1.0883303900580499E-2</v>
      </c>
    </row>
    <row r="67" spans="1:10" x14ac:dyDescent="0.55000000000000004">
      <c r="A67" t="s">
        <v>594</v>
      </c>
      <c r="B67" t="s">
        <v>590</v>
      </c>
      <c r="C67" s="1">
        <v>77748</v>
      </c>
      <c r="D67" s="1">
        <v>6586705</v>
      </c>
      <c r="E67">
        <f t="shared" ref="E67:E130" si="6">0.3*C67*SUM(D$2:D$132)/SUM(C$2:C$132)</f>
        <v>1985657.4740108754</v>
      </c>
      <c r="F67">
        <f t="shared" ref="F67:F130" si="7">D67-E67</f>
        <v>4601047.5259891246</v>
      </c>
      <c r="G67">
        <f t="shared" ref="G67:G130" si="8">F67/(SUM(D$2:D$132)-SUM(E$2:E$132))</f>
        <v>9.2555579666320272E-3</v>
      </c>
      <c r="H67" t="b">
        <f t="shared" ref="H67:H130" si="9" xml:space="preserve"> G67 &gt; 10^-7</f>
        <v>1</v>
      </c>
      <c r="I67">
        <f t="shared" ref="I67:I130" si="10">G67*H67</f>
        <v>9.2555579666320272E-3</v>
      </c>
      <c r="J67">
        <f t="shared" ref="J67:J130" si="11" xml:space="preserve"> I67/SUM(I$2:I$132)</f>
        <v>9.2555591288575306E-3</v>
      </c>
    </row>
    <row r="68" spans="1:10" x14ac:dyDescent="0.55000000000000004">
      <c r="A68" t="s">
        <v>595</v>
      </c>
      <c r="B68" t="s">
        <v>590</v>
      </c>
      <c r="C68" s="1">
        <v>79738</v>
      </c>
      <c r="D68" s="1">
        <v>5190462</v>
      </c>
      <c r="E68">
        <f t="shared" si="6"/>
        <v>2036481.3971121982</v>
      </c>
      <c r="F68">
        <f t="shared" si="7"/>
        <v>3153980.6028878018</v>
      </c>
      <c r="G68">
        <f t="shared" si="8"/>
        <v>6.3446095983078271E-3</v>
      </c>
      <c r="H68" t="b">
        <f t="shared" si="9"/>
        <v>1</v>
      </c>
      <c r="I68">
        <f t="shared" si="10"/>
        <v>6.3446095983078271E-3</v>
      </c>
      <c r="J68">
        <f t="shared" si="11"/>
        <v>6.3446103950039433E-3</v>
      </c>
    </row>
    <row r="69" spans="1:10" x14ac:dyDescent="0.55000000000000004">
      <c r="A69" t="s">
        <v>596</v>
      </c>
      <c r="B69" t="s">
        <v>590</v>
      </c>
      <c r="C69" s="1">
        <v>109895</v>
      </c>
      <c r="D69" s="1">
        <v>10798759</v>
      </c>
      <c r="E69">
        <f t="shared" si="6"/>
        <v>2806680.9192059622</v>
      </c>
      <c r="F69">
        <f t="shared" si="7"/>
        <v>7992078.0807940383</v>
      </c>
      <c r="G69">
        <f t="shared" si="8"/>
        <v>1.6077021924422806E-2</v>
      </c>
      <c r="H69" t="b">
        <f t="shared" si="9"/>
        <v>1</v>
      </c>
      <c r="I69">
        <f t="shared" si="10"/>
        <v>1.6077021924422806E-2</v>
      </c>
      <c r="J69">
        <f t="shared" si="11"/>
        <v>1.607702394322329E-2</v>
      </c>
    </row>
    <row r="70" spans="1:10" x14ac:dyDescent="0.55000000000000004">
      <c r="A70" t="s">
        <v>597</v>
      </c>
      <c r="B70" t="s">
        <v>590</v>
      </c>
      <c r="C70" s="1">
        <v>98967</v>
      </c>
      <c r="D70" s="1">
        <v>9458264</v>
      </c>
      <c r="E70">
        <f t="shared" si="6"/>
        <v>2527583.5163661358</v>
      </c>
      <c r="F70">
        <f t="shared" si="7"/>
        <v>6930680.4836338647</v>
      </c>
      <c r="G70">
        <f t="shared" si="8"/>
        <v>1.3941893580133854E-2</v>
      </c>
      <c r="H70" t="b">
        <f t="shared" si="9"/>
        <v>1</v>
      </c>
      <c r="I70">
        <f t="shared" si="10"/>
        <v>1.3941893580133854E-2</v>
      </c>
      <c r="J70">
        <f t="shared" si="11"/>
        <v>1.3941895330825098E-2</v>
      </c>
    </row>
    <row r="71" spans="1:10" x14ac:dyDescent="0.55000000000000004">
      <c r="A71" t="s">
        <v>598</v>
      </c>
      <c r="B71" t="s">
        <v>599</v>
      </c>
      <c r="C71" s="1">
        <v>219249</v>
      </c>
      <c r="D71" s="1">
        <v>16311581</v>
      </c>
      <c r="E71">
        <f t="shared" si="6"/>
        <v>5599544.882433123</v>
      </c>
      <c r="F71">
        <f t="shared" si="7"/>
        <v>10712036.117566876</v>
      </c>
      <c r="G71">
        <f t="shared" si="8"/>
        <v>2.1548543166913261E-2</v>
      </c>
      <c r="H71" t="b">
        <f t="shared" si="9"/>
        <v>1</v>
      </c>
      <c r="I71">
        <f t="shared" si="10"/>
        <v>2.1548543166913261E-2</v>
      </c>
      <c r="J71">
        <f t="shared" si="11"/>
        <v>2.1548545872775673E-2</v>
      </c>
    </row>
    <row r="72" spans="1:10" x14ac:dyDescent="0.55000000000000004">
      <c r="A72" t="s">
        <v>600</v>
      </c>
      <c r="B72" t="s">
        <v>599</v>
      </c>
      <c r="C72" s="1">
        <v>174294</v>
      </c>
      <c r="D72" s="1">
        <v>12532316</v>
      </c>
      <c r="E72">
        <f t="shared" si="6"/>
        <v>4451409.4738803767</v>
      </c>
      <c r="F72">
        <f t="shared" si="7"/>
        <v>8080906.5261196233</v>
      </c>
      <c r="G72">
        <f t="shared" si="8"/>
        <v>1.62557109773293E-2</v>
      </c>
      <c r="H72" t="b">
        <f t="shared" si="9"/>
        <v>1</v>
      </c>
      <c r="I72">
        <f t="shared" si="10"/>
        <v>1.62557109773293E-2</v>
      </c>
      <c r="J72">
        <f t="shared" si="11"/>
        <v>1.6255713018567867E-2</v>
      </c>
    </row>
    <row r="73" spans="1:10" x14ac:dyDescent="0.55000000000000004">
      <c r="A73" t="s">
        <v>601</v>
      </c>
      <c r="B73" t="s">
        <v>599</v>
      </c>
      <c r="C73" s="1">
        <v>219141</v>
      </c>
      <c r="D73" s="1">
        <v>19577098</v>
      </c>
      <c r="E73">
        <f t="shared" si="6"/>
        <v>5596786.5991693325</v>
      </c>
      <c r="F73">
        <f t="shared" si="7"/>
        <v>13980311.400830667</v>
      </c>
      <c r="G73">
        <f t="shared" si="8"/>
        <v>2.8123070198919024E-2</v>
      </c>
      <c r="H73" t="b">
        <f t="shared" si="9"/>
        <v>1</v>
      </c>
      <c r="I73">
        <f t="shared" si="10"/>
        <v>2.8123070198919024E-2</v>
      </c>
      <c r="J73">
        <f t="shared" si="11"/>
        <v>2.8123073730348412E-2</v>
      </c>
    </row>
    <row r="74" spans="1:10" x14ac:dyDescent="0.55000000000000004">
      <c r="A74" t="s">
        <v>602</v>
      </c>
      <c r="B74" t="s">
        <v>603</v>
      </c>
      <c r="C74" s="1">
        <v>2202</v>
      </c>
      <c r="D74" s="1">
        <v>4286977</v>
      </c>
      <c r="E74">
        <f t="shared" si="6"/>
        <v>56238.330989503884</v>
      </c>
      <c r="F74">
        <f t="shared" si="7"/>
        <v>4230738.6690104958</v>
      </c>
      <c r="G74">
        <f t="shared" si="8"/>
        <v>8.5106373649727063E-3</v>
      </c>
      <c r="H74" t="b">
        <f t="shared" si="9"/>
        <v>1</v>
      </c>
      <c r="I74">
        <f t="shared" si="10"/>
        <v>8.5106373649727063E-3</v>
      </c>
      <c r="J74">
        <f t="shared" si="11"/>
        <v>8.510638433658119E-3</v>
      </c>
    </row>
    <row r="75" spans="1:10" x14ac:dyDescent="0.55000000000000004">
      <c r="A75" t="s">
        <v>604</v>
      </c>
      <c r="B75" t="s">
        <v>603</v>
      </c>
      <c r="C75" s="1">
        <v>2420</v>
      </c>
      <c r="D75" s="1">
        <v>4213989</v>
      </c>
      <c r="E75">
        <f t="shared" si="6"/>
        <v>61805.976836784466</v>
      </c>
      <c r="F75">
        <f t="shared" si="7"/>
        <v>4152183.0231632157</v>
      </c>
      <c r="G75">
        <f t="shared" si="8"/>
        <v>8.3526132781449117E-3</v>
      </c>
      <c r="H75" t="b">
        <f t="shared" si="9"/>
        <v>1</v>
      </c>
      <c r="I75">
        <f t="shared" si="10"/>
        <v>8.3526132781449117E-3</v>
      </c>
      <c r="J75">
        <f t="shared" si="11"/>
        <v>8.3526143269871539E-3</v>
      </c>
    </row>
    <row r="76" spans="1:10" x14ac:dyDescent="0.55000000000000004">
      <c r="A76" t="s">
        <v>605</v>
      </c>
      <c r="B76" t="s">
        <v>603</v>
      </c>
      <c r="C76" s="1">
        <v>2365</v>
      </c>
      <c r="D76" s="1">
        <v>6382032</v>
      </c>
      <c r="E76">
        <f t="shared" si="6"/>
        <v>60401.295545039364</v>
      </c>
      <c r="F76">
        <f t="shared" si="7"/>
        <v>6321630.7044549603</v>
      </c>
      <c r="G76">
        <f t="shared" si="8"/>
        <v>1.2716717029812755E-2</v>
      </c>
      <c r="H76" t="b">
        <f t="shared" si="9"/>
        <v>1</v>
      </c>
      <c r="I76">
        <f t="shared" si="10"/>
        <v>1.2716717029812755E-2</v>
      </c>
      <c r="J76">
        <f t="shared" si="11"/>
        <v>1.2716718626657905E-2</v>
      </c>
    </row>
    <row r="77" spans="1:10" x14ac:dyDescent="0.55000000000000004">
      <c r="A77" t="s">
        <v>606</v>
      </c>
      <c r="B77" t="s">
        <v>603</v>
      </c>
      <c r="C77" s="1">
        <v>2765</v>
      </c>
      <c r="D77" s="1">
        <v>5479228</v>
      </c>
      <c r="E77">
        <f t="shared" si="6"/>
        <v>70617.159485003736</v>
      </c>
      <c r="F77">
        <f t="shared" si="7"/>
        <v>5408610.8405149961</v>
      </c>
      <c r="G77">
        <f t="shared" si="8"/>
        <v>1.0880068260668353E-2</v>
      </c>
      <c r="H77" t="b">
        <f t="shared" si="9"/>
        <v>1</v>
      </c>
      <c r="I77">
        <f t="shared" si="10"/>
        <v>1.0880068260668353E-2</v>
      </c>
      <c r="J77">
        <f t="shared" si="11"/>
        <v>1.0880069626884507E-2</v>
      </c>
    </row>
    <row r="78" spans="1:10" x14ac:dyDescent="0.55000000000000004">
      <c r="A78" t="s">
        <v>607</v>
      </c>
      <c r="B78" t="s">
        <v>603</v>
      </c>
      <c r="C78" s="1">
        <v>4549</v>
      </c>
      <c r="D78" s="1">
        <v>3444161</v>
      </c>
      <c r="E78">
        <f t="shared" si="6"/>
        <v>116179.91265724484</v>
      </c>
      <c r="F78">
        <f t="shared" si="7"/>
        <v>3327981.0873427549</v>
      </c>
      <c r="G78">
        <f t="shared" si="8"/>
        <v>6.694632405287778E-3</v>
      </c>
      <c r="H78" t="b">
        <f t="shared" si="9"/>
        <v>1</v>
      </c>
      <c r="I78">
        <f t="shared" si="10"/>
        <v>6.694632405287778E-3</v>
      </c>
      <c r="J78">
        <f t="shared" si="11"/>
        <v>6.6946332459364502E-3</v>
      </c>
    </row>
    <row r="79" spans="1:10" x14ac:dyDescent="0.55000000000000004">
      <c r="A79" t="s">
        <v>608</v>
      </c>
      <c r="B79" t="s">
        <v>603</v>
      </c>
      <c r="C79" s="1">
        <v>3861</v>
      </c>
      <c r="D79" s="1">
        <v>4020302</v>
      </c>
      <c r="E79">
        <f t="shared" si="6"/>
        <v>98608.626680506131</v>
      </c>
      <c r="F79">
        <f t="shared" si="7"/>
        <v>3921693.3733194941</v>
      </c>
      <c r="G79">
        <f t="shared" si="8"/>
        <v>7.8889557517257142E-3</v>
      </c>
      <c r="H79" t="b">
        <f t="shared" si="9"/>
        <v>1</v>
      </c>
      <c r="I79">
        <f t="shared" si="10"/>
        <v>7.8889557517257142E-3</v>
      </c>
      <c r="J79">
        <f t="shared" si="11"/>
        <v>7.8889567423462252E-3</v>
      </c>
    </row>
    <row r="80" spans="1:10" x14ac:dyDescent="0.55000000000000004">
      <c r="A80" t="s">
        <v>609</v>
      </c>
      <c r="B80" t="s">
        <v>603</v>
      </c>
      <c r="C80" s="1">
        <v>4309</v>
      </c>
      <c r="D80" s="1">
        <v>3752863</v>
      </c>
      <c r="E80">
        <f t="shared" si="6"/>
        <v>110050.39429326622</v>
      </c>
      <c r="F80">
        <f t="shared" si="7"/>
        <v>3642812.6057067337</v>
      </c>
      <c r="G80">
        <f t="shared" si="8"/>
        <v>7.3279536982066434E-3</v>
      </c>
      <c r="H80" t="b">
        <f t="shared" si="9"/>
        <v>1</v>
      </c>
      <c r="I80">
        <f t="shared" si="10"/>
        <v>7.3279536982066434E-3</v>
      </c>
      <c r="J80">
        <f t="shared" si="11"/>
        <v>7.3279546183818182E-3</v>
      </c>
    </row>
    <row r="81" spans="1:10" x14ac:dyDescent="0.55000000000000004">
      <c r="A81" t="s">
        <v>610</v>
      </c>
      <c r="B81" t="s">
        <v>603</v>
      </c>
      <c r="C81" s="1">
        <v>4940</v>
      </c>
      <c r="D81" s="1">
        <v>4142561</v>
      </c>
      <c r="E81">
        <f t="shared" si="6"/>
        <v>126165.91965856003</v>
      </c>
      <c r="F81">
        <f t="shared" si="7"/>
        <v>4016395.0803414402</v>
      </c>
      <c r="G81">
        <f t="shared" si="8"/>
        <v>8.0794595737205092E-3</v>
      </c>
      <c r="H81" t="b">
        <f t="shared" si="9"/>
        <v>1</v>
      </c>
      <c r="I81">
        <f t="shared" si="10"/>
        <v>8.0794595737205092E-3</v>
      </c>
      <c r="J81">
        <f t="shared" si="11"/>
        <v>8.0794605882626904E-3</v>
      </c>
    </row>
    <row r="82" spans="1:10" x14ac:dyDescent="0.55000000000000004">
      <c r="A82" t="s">
        <v>611</v>
      </c>
      <c r="B82" t="s">
        <v>603</v>
      </c>
      <c r="C82" s="1">
        <v>2830</v>
      </c>
      <c r="D82" s="1">
        <v>3510170</v>
      </c>
      <c r="E82">
        <f t="shared" si="6"/>
        <v>72277.237375247947</v>
      </c>
      <c r="F82">
        <f t="shared" si="7"/>
        <v>3437892.7626247522</v>
      </c>
      <c r="G82">
        <f t="shared" si="8"/>
        <v>6.9157328994765375E-3</v>
      </c>
      <c r="H82" t="b">
        <f t="shared" si="9"/>
        <v>1</v>
      </c>
      <c r="I82">
        <f t="shared" si="10"/>
        <v>6.9157328994765375E-3</v>
      </c>
      <c r="J82">
        <f t="shared" si="11"/>
        <v>6.9157337678889203E-3</v>
      </c>
    </row>
    <row r="83" spans="1:10" x14ac:dyDescent="0.55000000000000004">
      <c r="A83" t="s">
        <v>612</v>
      </c>
      <c r="B83" t="s">
        <v>603</v>
      </c>
      <c r="C83" s="1">
        <v>3396</v>
      </c>
      <c r="D83" s="1">
        <v>3179630</v>
      </c>
      <c r="E83">
        <f t="shared" si="6"/>
        <v>86732.684850297548</v>
      </c>
      <c r="F83">
        <f t="shared" si="7"/>
        <v>3092897.3151497026</v>
      </c>
      <c r="G83">
        <f t="shared" si="8"/>
        <v>6.2217332517239257E-3</v>
      </c>
      <c r="H83" t="b">
        <f t="shared" si="9"/>
        <v>1</v>
      </c>
      <c r="I83">
        <f t="shared" si="10"/>
        <v>6.2217332517239257E-3</v>
      </c>
      <c r="J83">
        <f t="shared" si="11"/>
        <v>6.2217340329903913E-3</v>
      </c>
    </row>
    <row r="84" spans="1:10" x14ac:dyDescent="0.55000000000000004">
      <c r="A84" t="s">
        <v>613</v>
      </c>
      <c r="B84" t="s">
        <v>603</v>
      </c>
      <c r="C84" s="1">
        <v>3607</v>
      </c>
      <c r="D84" s="1">
        <v>4165083</v>
      </c>
      <c r="E84">
        <f t="shared" si="6"/>
        <v>92121.553078628742</v>
      </c>
      <c r="F84">
        <f t="shared" si="7"/>
        <v>4072961.4469213714</v>
      </c>
      <c r="G84">
        <f t="shared" si="8"/>
        <v>8.1932495925988221E-3</v>
      </c>
      <c r="H84" t="b">
        <f t="shared" si="9"/>
        <v>1</v>
      </c>
      <c r="I84">
        <f t="shared" si="10"/>
        <v>8.1932495925988221E-3</v>
      </c>
      <c r="J84">
        <f t="shared" si="11"/>
        <v>8.1932506214296777E-3</v>
      </c>
    </row>
    <row r="85" spans="1:10" x14ac:dyDescent="0.55000000000000004">
      <c r="A85" t="s">
        <v>614</v>
      </c>
      <c r="B85" t="s">
        <v>603</v>
      </c>
      <c r="C85" s="1">
        <v>2968</v>
      </c>
      <c r="D85" s="1">
        <v>2310158</v>
      </c>
      <c r="E85">
        <f t="shared" si="6"/>
        <v>75801.710434535649</v>
      </c>
      <c r="F85">
        <f t="shared" si="7"/>
        <v>2234356.2895654645</v>
      </c>
      <c r="G85">
        <f t="shared" si="8"/>
        <v>4.4946751885020396E-3</v>
      </c>
      <c r="H85" t="b">
        <f t="shared" si="9"/>
        <v>1</v>
      </c>
      <c r="I85">
        <f t="shared" si="10"/>
        <v>4.4946751885020396E-3</v>
      </c>
      <c r="J85">
        <f t="shared" si="11"/>
        <v>4.4946757529008745E-3</v>
      </c>
    </row>
    <row r="86" spans="1:10" x14ac:dyDescent="0.55000000000000004">
      <c r="A86" t="s">
        <v>615</v>
      </c>
      <c r="B86" t="s">
        <v>603</v>
      </c>
      <c r="C86" s="1">
        <v>2583</v>
      </c>
      <c r="D86" s="1">
        <v>2819582</v>
      </c>
      <c r="E86">
        <f t="shared" si="6"/>
        <v>65968.941392319946</v>
      </c>
      <c r="F86">
        <f t="shared" si="7"/>
        <v>2753613.0586076803</v>
      </c>
      <c r="G86">
        <f t="shared" si="8"/>
        <v>5.5392223483149783E-3</v>
      </c>
      <c r="H86" t="b">
        <f t="shared" si="9"/>
        <v>1</v>
      </c>
      <c r="I86">
        <f t="shared" si="10"/>
        <v>5.5392223483149783E-3</v>
      </c>
      <c r="J86">
        <f t="shared" si="11"/>
        <v>5.5392230438781748E-3</v>
      </c>
    </row>
    <row r="87" spans="1:10" x14ac:dyDescent="0.55000000000000004">
      <c r="A87" t="s">
        <v>616</v>
      </c>
      <c r="B87" t="s">
        <v>603</v>
      </c>
      <c r="C87" s="1">
        <v>3616</v>
      </c>
      <c r="D87" s="1">
        <v>2656148</v>
      </c>
      <c r="E87">
        <f t="shared" si="6"/>
        <v>92351.410017277958</v>
      </c>
      <c r="F87">
        <f t="shared" si="7"/>
        <v>2563796.589982722</v>
      </c>
      <c r="G87">
        <f t="shared" si="8"/>
        <v>5.157383795581923E-3</v>
      </c>
      <c r="H87" t="b">
        <f t="shared" si="9"/>
        <v>1</v>
      </c>
      <c r="I87">
        <f t="shared" si="10"/>
        <v>5.157383795581923E-3</v>
      </c>
      <c r="J87">
        <f t="shared" si="11"/>
        <v>5.1573844431974424E-3</v>
      </c>
    </row>
    <row r="88" spans="1:10" x14ac:dyDescent="0.55000000000000004">
      <c r="A88" t="s">
        <v>617</v>
      </c>
      <c r="B88" t="s">
        <v>618</v>
      </c>
      <c r="C88" s="1">
        <v>8643</v>
      </c>
      <c r="D88" s="1">
        <v>4671149</v>
      </c>
      <c r="E88">
        <f t="shared" si="6"/>
        <v>220739.28008278023</v>
      </c>
      <c r="F88">
        <f t="shared" si="7"/>
        <v>4450409.7199172201</v>
      </c>
      <c r="G88">
        <f t="shared" si="8"/>
        <v>8.9525319843552949E-3</v>
      </c>
      <c r="H88" t="b">
        <f t="shared" si="9"/>
        <v>1</v>
      </c>
      <c r="I88">
        <f t="shared" si="10"/>
        <v>8.9525319843552949E-3</v>
      </c>
      <c r="J88">
        <f t="shared" si="11"/>
        <v>8.9525331085296578E-3</v>
      </c>
    </row>
    <row r="89" spans="1:10" x14ac:dyDescent="0.55000000000000004">
      <c r="A89" t="s">
        <v>619</v>
      </c>
      <c r="B89" t="s">
        <v>618</v>
      </c>
      <c r="C89" s="1">
        <v>5464</v>
      </c>
      <c r="D89" s="1">
        <v>6471146</v>
      </c>
      <c r="E89">
        <f t="shared" si="6"/>
        <v>139548.70141991338</v>
      </c>
      <c r="F89">
        <f t="shared" si="7"/>
        <v>6331597.2985800868</v>
      </c>
      <c r="G89">
        <f t="shared" si="8"/>
        <v>1.2736766027162586E-2</v>
      </c>
      <c r="H89" t="b">
        <f t="shared" si="9"/>
        <v>1</v>
      </c>
      <c r="I89">
        <f t="shared" si="10"/>
        <v>1.2736766027162586E-2</v>
      </c>
      <c r="J89">
        <f t="shared" si="11"/>
        <v>1.27367676265253E-2</v>
      </c>
    </row>
    <row r="90" spans="1:10" x14ac:dyDescent="0.55000000000000004">
      <c r="A90" t="s">
        <v>620</v>
      </c>
      <c r="B90" t="s">
        <v>618</v>
      </c>
      <c r="C90" s="1">
        <v>7644</v>
      </c>
      <c r="D90" s="1">
        <v>2579124</v>
      </c>
      <c r="E90">
        <f t="shared" si="6"/>
        <v>195225.15989271918</v>
      </c>
      <c r="F90">
        <f t="shared" si="7"/>
        <v>2383898.8401072808</v>
      </c>
      <c r="G90">
        <f t="shared" si="8"/>
        <v>4.7954979331487017E-3</v>
      </c>
      <c r="H90" t="b">
        <f t="shared" si="9"/>
        <v>1</v>
      </c>
      <c r="I90">
        <f t="shared" si="10"/>
        <v>4.7954979331487017E-3</v>
      </c>
      <c r="J90">
        <f t="shared" si="11"/>
        <v>4.7954985353220137E-3</v>
      </c>
    </row>
    <row r="91" spans="1:10" x14ac:dyDescent="0.55000000000000004">
      <c r="A91" t="s">
        <v>621</v>
      </c>
      <c r="B91" t="s">
        <v>618</v>
      </c>
      <c r="C91" s="1">
        <v>9767</v>
      </c>
      <c r="D91" s="1">
        <v>2420889</v>
      </c>
      <c r="E91">
        <f t="shared" si="6"/>
        <v>249445.85775408012</v>
      </c>
      <c r="F91">
        <f t="shared" si="7"/>
        <v>2171443.1422459199</v>
      </c>
      <c r="G91">
        <f t="shared" si="8"/>
        <v>4.368117860287065E-3</v>
      </c>
      <c r="H91" t="b">
        <f t="shared" si="9"/>
        <v>1</v>
      </c>
      <c r="I91">
        <f t="shared" si="10"/>
        <v>4.368117860287065E-3</v>
      </c>
      <c r="J91">
        <f t="shared" si="11"/>
        <v>4.3681184087940262E-3</v>
      </c>
    </row>
    <row r="92" spans="1:10" x14ac:dyDescent="0.55000000000000004">
      <c r="A92" t="s">
        <v>622</v>
      </c>
      <c r="B92" t="s">
        <v>618</v>
      </c>
      <c r="C92" s="1">
        <v>8430</v>
      </c>
      <c r="D92" s="1">
        <v>5438934</v>
      </c>
      <c r="E92">
        <f t="shared" si="6"/>
        <v>215299.33253474921</v>
      </c>
      <c r="F92">
        <f t="shared" si="7"/>
        <v>5223634.6674652509</v>
      </c>
      <c r="G92">
        <f t="shared" si="8"/>
        <v>1.0507966541997316E-2</v>
      </c>
      <c r="H92" t="b">
        <f t="shared" si="9"/>
        <v>1</v>
      </c>
      <c r="I92">
        <f t="shared" si="10"/>
        <v>1.0507966541997316E-2</v>
      </c>
      <c r="J92">
        <f t="shared" si="11"/>
        <v>1.0507967861488452E-2</v>
      </c>
    </row>
    <row r="93" spans="1:10" x14ac:dyDescent="0.55000000000000004">
      <c r="A93" t="s">
        <v>623</v>
      </c>
      <c r="B93" t="s">
        <v>618</v>
      </c>
      <c r="C93" s="1">
        <v>9300</v>
      </c>
      <c r="D93" s="1">
        <v>4875481</v>
      </c>
      <c r="E93">
        <f t="shared" si="6"/>
        <v>237518.83660417172</v>
      </c>
      <c r="F93">
        <f t="shared" si="7"/>
        <v>4637962.1633958286</v>
      </c>
      <c r="G93">
        <f t="shared" si="8"/>
        <v>9.329816179442273E-3</v>
      </c>
      <c r="H93" t="b">
        <f t="shared" si="9"/>
        <v>1</v>
      </c>
      <c r="I93">
        <f t="shared" si="10"/>
        <v>9.329816179442273E-3</v>
      </c>
      <c r="J93">
        <f t="shared" si="11"/>
        <v>9.3298173509924198E-3</v>
      </c>
    </row>
    <row r="94" spans="1:10" x14ac:dyDescent="0.55000000000000004">
      <c r="A94" t="s">
        <v>624</v>
      </c>
      <c r="B94" t="s">
        <v>618</v>
      </c>
      <c r="C94" s="1">
        <v>8989</v>
      </c>
      <c r="D94" s="1">
        <v>3984051</v>
      </c>
      <c r="E94">
        <f t="shared" si="6"/>
        <v>229576.0023908494</v>
      </c>
      <c r="F94">
        <f t="shared" si="7"/>
        <v>3754474.9976091506</v>
      </c>
      <c r="G94">
        <f t="shared" si="8"/>
        <v>7.5525759684848502E-3</v>
      </c>
      <c r="H94" t="b">
        <f t="shared" si="9"/>
        <v>1</v>
      </c>
      <c r="I94">
        <f t="shared" si="10"/>
        <v>7.5525759684848502E-3</v>
      </c>
      <c r="J94">
        <f t="shared" si="11"/>
        <v>7.5525769168659678E-3</v>
      </c>
    </row>
    <row r="95" spans="1:10" x14ac:dyDescent="0.55000000000000004">
      <c r="A95" t="s">
        <v>625</v>
      </c>
      <c r="B95" t="s">
        <v>618</v>
      </c>
      <c r="C95" s="1">
        <v>6520</v>
      </c>
      <c r="D95" s="1">
        <v>2730303</v>
      </c>
      <c r="E95">
        <f t="shared" si="6"/>
        <v>166518.58222141932</v>
      </c>
      <c r="F95">
        <f t="shared" si="7"/>
        <v>2563784.4177785804</v>
      </c>
      <c r="G95">
        <f t="shared" si="8"/>
        <v>5.157359309735955E-3</v>
      </c>
      <c r="H95" t="b">
        <f t="shared" si="9"/>
        <v>1</v>
      </c>
      <c r="I95">
        <f t="shared" si="10"/>
        <v>5.157359309735955E-3</v>
      </c>
      <c r="J95">
        <f t="shared" si="11"/>
        <v>5.1573599573483996E-3</v>
      </c>
    </row>
    <row r="96" spans="1:10" x14ac:dyDescent="0.55000000000000004">
      <c r="A96" t="s">
        <v>626</v>
      </c>
      <c r="B96" t="s">
        <v>618</v>
      </c>
      <c r="C96" s="1">
        <v>9468</v>
      </c>
      <c r="D96" s="1">
        <v>4067405</v>
      </c>
      <c r="E96">
        <f t="shared" si="6"/>
        <v>241809.49945895674</v>
      </c>
      <c r="F96">
        <f t="shared" si="7"/>
        <v>3825595.5005410435</v>
      </c>
      <c r="G96">
        <f t="shared" si="8"/>
        <v>7.695643375153432E-3</v>
      </c>
      <c r="H96" t="b">
        <f t="shared" si="9"/>
        <v>1</v>
      </c>
      <c r="I96">
        <f t="shared" si="10"/>
        <v>7.695643375153432E-3</v>
      </c>
      <c r="J96">
        <f t="shared" si="11"/>
        <v>7.6956443414996018E-3</v>
      </c>
    </row>
    <row r="97" spans="1:10" x14ac:dyDescent="0.55000000000000004">
      <c r="A97" t="s">
        <v>627</v>
      </c>
      <c r="B97" t="s">
        <v>618</v>
      </c>
      <c r="C97" s="1">
        <v>6147</v>
      </c>
      <c r="D97" s="1">
        <v>8084442</v>
      </c>
      <c r="E97">
        <f t="shared" si="6"/>
        <v>156992.28909740254</v>
      </c>
      <c r="F97">
        <f t="shared" si="7"/>
        <v>7927449.7109025978</v>
      </c>
      <c r="G97">
        <f t="shared" si="8"/>
        <v>1.5947014220646573E-2</v>
      </c>
      <c r="H97" t="b">
        <f t="shared" si="9"/>
        <v>1</v>
      </c>
      <c r="I97">
        <f t="shared" si="10"/>
        <v>1.5947014220646573E-2</v>
      </c>
      <c r="J97">
        <f t="shared" si="11"/>
        <v>1.5947016223121918E-2</v>
      </c>
    </row>
    <row r="98" spans="1:10" x14ac:dyDescent="0.55000000000000004">
      <c r="A98" t="s">
        <v>628</v>
      </c>
      <c r="B98" t="s">
        <v>618</v>
      </c>
      <c r="C98" s="1">
        <v>7667</v>
      </c>
      <c r="D98" s="1">
        <v>3444676</v>
      </c>
      <c r="E98">
        <f t="shared" si="6"/>
        <v>195812.57206926716</v>
      </c>
      <c r="F98">
        <f t="shared" si="7"/>
        <v>3248863.4279307327</v>
      </c>
      <c r="G98">
        <f t="shared" si="8"/>
        <v>6.5354777608864906E-3</v>
      </c>
      <c r="H98" t="b">
        <f t="shared" si="9"/>
        <v>1</v>
      </c>
      <c r="I98">
        <f t="shared" si="10"/>
        <v>6.5354777608864906E-3</v>
      </c>
      <c r="J98">
        <f t="shared" si="11"/>
        <v>6.5354785815500268E-3</v>
      </c>
    </row>
    <row r="99" spans="1:10" x14ac:dyDescent="0.55000000000000004">
      <c r="A99" t="s">
        <v>629</v>
      </c>
      <c r="B99" t="s">
        <v>618</v>
      </c>
      <c r="C99" s="1">
        <v>5692</v>
      </c>
      <c r="D99" s="1">
        <v>4472535</v>
      </c>
      <c r="E99">
        <f t="shared" si="6"/>
        <v>145371.74386569305</v>
      </c>
      <c r="F99">
        <f t="shared" si="7"/>
        <v>4327163.256134307</v>
      </c>
      <c r="G99">
        <f t="shared" si="8"/>
        <v>8.7046069665671043E-3</v>
      </c>
      <c r="H99" t="b">
        <f t="shared" si="9"/>
        <v>1</v>
      </c>
      <c r="I99">
        <f t="shared" si="10"/>
        <v>8.7046069665671043E-3</v>
      </c>
      <c r="J99">
        <f t="shared" si="11"/>
        <v>8.7046080596093877E-3</v>
      </c>
    </row>
    <row r="100" spans="1:10" x14ac:dyDescent="0.55000000000000004">
      <c r="A100" t="s">
        <v>630</v>
      </c>
      <c r="B100" t="s">
        <v>618</v>
      </c>
      <c r="C100" s="1">
        <v>6443</v>
      </c>
      <c r="D100" s="1">
        <v>4088433</v>
      </c>
      <c r="E100">
        <f t="shared" si="6"/>
        <v>164552.02841297616</v>
      </c>
      <c r="F100">
        <f t="shared" si="7"/>
        <v>3923880.9715870237</v>
      </c>
      <c r="G100">
        <f t="shared" si="8"/>
        <v>7.8933563675547096E-3</v>
      </c>
      <c r="H100" t="b">
        <f t="shared" si="9"/>
        <v>1</v>
      </c>
      <c r="I100">
        <f t="shared" si="10"/>
        <v>7.8933563675547096E-3</v>
      </c>
      <c r="J100">
        <f t="shared" si="11"/>
        <v>7.893357358727808E-3</v>
      </c>
    </row>
    <row r="101" spans="1:10" x14ac:dyDescent="0.55000000000000004">
      <c r="A101" t="s">
        <v>631</v>
      </c>
      <c r="B101" t="s">
        <v>618</v>
      </c>
      <c r="C101" s="1">
        <v>5600</v>
      </c>
      <c r="D101" s="1">
        <v>2574731</v>
      </c>
      <c r="E101">
        <f t="shared" si="6"/>
        <v>143022.09515950124</v>
      </c>
      <c r="F101">
        <f t="shared" si="7"/>
        <v>2431708.9048404987</v>
      </c>
      <c r="G101">
        <f t="shared" si="8"/>
        <v>4.8916736024994757E-3</v>
      </c>
      <c r="H101" t="b">
        <f t="shared" si="9"/>
        <v>1</v>
      </c>
      <c r="I101">
        <f t="shared" si="10"/>
        <v>4.8916736024994757E-3</v>
      </c>
      <c r="J101">
        <f t="shared" si="11"/>
        <v>4.8916742167496195E-3</v>
      </c>
    </row>
    <row r="102" spans="1:10" x14ac:dyDescent="0.55000000000000004">
      <c r="A102" t="s">
        <v>632</v>
      </c>
      <c r="B102" t="s">
        <v>618</v>
      </c>
      <c r="C102" s="1">
        <v>6029</v>
      </c>
      <c r="D102" s="1">
        <v>3327772</v>
      </c>
      <c r="E102">
        <f t="shared" si="6"/>
        <v>153978.60923511305</v>
      </c>
      <c r="F102">
        <f t="shared" si="7"/>
        <v>3173793.390764887</v>
      </c>
      <c r="G102">
        <f t="shared" si="8"/>
        <v>6.3844653932417263E-3</v>
      </c>
      <c r="H102" t="b">
        <f t="shared" si="9"/>
        <v>1</v>
      </c>
      <c r="I102">
        <f t="shared" si="10"/>
        <v>6.3844653932417263E-3</v>
      </c>
      <c r="J102">
        <f t="shared" si="11"/>
        <v>6.3844661949425561E-3</v>
      </c>
    </row>
    <row r="103" spans="1:10" x14ac:dyDescent="0.55000000000000004">
      <c r="A103" t="s">
        <v>633</v>
      </c>
      <c r="B103" t="s">
        <v>618</v>
      </c>
      <c r="C103" s="1">
        <v>6973</v>
      </c>
      <c r="D103" s="1">
        <v>4578189</v>
      </c>
      <c r="E103">
        <f t="shared" si="6"/>
        <v>178088.04813342897</v>
      </c>
      <c r="F103">
        <f t="shared" si="7"/>
        <v>4400100.9518665709</v>
      </c>
      <c r="G103">
        <f t="shared" si="8"/>
        <v>8.8513298741200765E-3</v>
      </c>
      <c r="H103" t="b">
        <f t="shared" si="9"/>
        <v>1</v>
      </c>
      <c r="I103">
        <f t="shared" si="10"/>
        <v>8.8513298741200765E-3</v>
      </c>
      <c r="J103">
        <f t="shared" si="11"/>
        <v>8.8513309855864364E-3</v>
      </c>
    </row>
    <row r="104" spans="1:10" x14ac:dyDescent="0.55000000000000004">
      <c r="A104" t="s">
        <v>634</v>
      </c>
      <c r="B104" t="s">
        <v>618</v>
      </c>
      <c r="C104" s="1">
        <v>8706</v>
      </c>
      <c r="D104" s="1">
        <v>4001040</v>
      </c>
      <c r="E104">
        <f t="shared" si="6"/>
        <v>222348.27865332461</v>
      </c>
      <c r="F104">
        <f t="shared" si="7"/>
        <v>3778691.7213466754</v>
      </c>
      <c r="G104">
        <f t="shared" si="8"/>
        <v>7.601290807670605E-3</v>
      </c>
      <c r="H104" t="b">
        <f t="shared" si="9"/>
        <v>1</v>
      </c>
      <c r="I104">
        <f t="shared" si="10"/>
        <v>7.601290807670605E-3</v>
      </c>
      <c r="J104">
        <f t="shared" si="11"/>
        <v>7.601291762168871E-3</v>
      </c>
    </row>
    <row r="105" spans="1:10" x14ac:dyDescent="0.55000000000000004">
      <c r="A105" t="s">
        <v>635</v>
      </c>
      <c r="B105" t="s">
        <v>618</v>
      </c>
      <c r="C105" s="1">
        <v>6047</v>
      </c>
      <c r="D105" s="1">
        <v>2352852</v>
      </c>
      <c r="E105">
        <f t="shared" si="6"/>
        <v>154438.32311241145</v>
      </c>
      <c r="F105">
        <f t="shared" si="7"/>
        <v>2198413.6768875886</v>
      </c>
      <c r="G105">
        <f t="shared" si="8"/>
        <v>4.4223723198111176E-3</v>
      </c>
      <c r="H105" t="b">
        <f t="shared" si="9"/>
        <v>1</v>
      </c>
      <c r="I105">
        <f t="shared" si="10"/>
        <v>4.4223723198111176E-3</v>
      </c>
      <c r="J105">
        <f t="shared" si="11"/>
        <v>4.4223728751308419E-3</v>
      </c>
    </row>
    <row r="106" spans="1:10" x14ac:dyDescent="0.55000000000000004">
      <c r="A106" t="s">
        <v>636</v>
      </c>
      <c r="B106" t="s">
        <v>618</v>
      </c>
      <c r="C106" s="1">
        <v>5519</v>
      </c>
      <c r="D106" s="1">
        <v>6439705</v>
      </c>
      <c r="E106">
        <f t="shared" si="6"/>
        <v>140953.38271165849</v>
      </c>
      <c r="F106">
        <f t="shared" si="7"/>
        <v>6298751.6172883417</v>
      </c>
      <c r="G106">
        <f t="shared" si="8"/>
        <v>1.2670693006740152E-2</v>
      </c>
      <c r="H106" t="b">
        <f t="shared" si="9"/>
        <v>1</v>
      </c>
      <c r="I106">
        <f t="shared" si="10"/>
        <v>1.2670693006740152E-2</v>
      </c>
      <c r="J106">
        <f t="shared" si="11"/>
        <v>1.267069459780604E-2</v>
      </c>
    </row>
    <row r="107" spans="1:10" x14ac:dyDescent="0.55000000000000004">
      <c r="A107" t="s">
        <v>637</v>
      </c>
      <c r="B107" t="s">
        <v>618</v>
      </c>
      <c r="C107" s="1">
        <v>9228</v>
      </c>
      <c r="D107" s="1">
        <v>6380874</v>
      </c>
      <c r="E107">
        <f t="shared" si="6"/>
        <v>235679.98109497811</v>
      </c>
      <c r="F107">
        <f t="shared" si="7"/>
        <v>6145194.0189050222</v>
      </c>
      <c r="G107">
        <f t="shared" si="8"/>
        <v>1.2361793512651993E-2</v>
      </c>
      <c r="H107" t="b">
        <f t="shared" si="9"/>
        <v>1</v>
      </c>
      <c r="I107">
        <f t="shared" si="10"/>
        <v>1.2361793512651993E-2</v>
      </c>
      <c r="J107">
        <f t="shared" si="11"/>
        <v>1.2361795064929201E-2</v>
      </c>
    </row>
    <row r="108" spans="1:10" x14ac:dyDescent="0.55000000000000004">
      <c r="A108" t="s">
        <v>638</v>
      </c>
      <c r="B108" t="s">
        <v>618</v>
      </c>
      <c r="C108" s="1">
        <v>7688</v>
      </c>
      <c r="D108" s="1">
        <v>5501943</v>
      </c>
      <c r="E108">
        <f t="shared" si="6"/>
        <v>196348.90492611527</v>
      </c>
      <c r="F108">
        <f t="shared" si="7"/>
        <v>5305594.0950738844</v>
      </c>
      <c r="G108">
        <f t="shared" si="8"/>
        <v>1.0672837743361533E-2</v>
      </c>
      <c r="H108" t="b">
        <f t="shared" si="9"/>
        <v>1</v>
      </c>
      <c r="I108">
        <f t="shared" si="10"/>
        <v>1.0672837743361533E-2</v>
      </c>
      <c r="J108">
        <f t="shared" si="11"/>
        <v>1.0672839083555636E-2</v>
      </c>
    </row>
    <row r="109" spans="1:10" x14ac:dyDescent="0.55000000000000004">
      <c r="A109" t="s">
        <v>639</v>
      </c>
      <c r="B109" t="s">
        <v>640</v>
      </c>
      <c r="C109" s="1">
        <v>13231</v>
      </c>
      <c r="D109" s="1">
        <v>4019137</v>
      </c>
      <c r="E109">
        <f t="shared" si="6"/>
        <v>337915.2394741716</v>
      </c>
      <c r="F109">
        <f t="shared" si="7"/>
        <v>3681221.7605258282</v>
      </c>
      <c r="G109">
        <f t="shared" si="8"/>
        <v>7.4052183117255073E-3</v>
      </c>
      <c r="H109" t="b">
        <f t="shared" si="9"/>
        <v>1</v>
      </c>
      <c r="I109">
        <f t="shared" si="10"/>
        <v>7.4052183117255073E-3</v>
      </c>
      <c r="J109">
        <f t="shared" si="11"/>
        <v>7.4052192416028421E-3</v>
      </c>
    </row>
    <row r="110" spans="1:10" x14ac:dyDescent="0.55000000000000004">
      <c r="A110" t="s">
        <v>641</v>
      </c>
      <c r="B110" t="s">
        <v>640</v>
      </c>
      <c r="C110" s="1">
        <v>13880</v>
      </c>
      <c r="D110" s="1">
        <v>4015694</v>
      </c>
      <c r="E110">
        <f t="shared" si="6"/>
        <v>354490.47871676378</v>
      </c>
      <c r="F110">
        <f t="shared" si="7"/>
        <v>3661203.5212832363</v>
      </c>
      <c r="G110">
        <f t="shared" si="8"/>
        <v>7.3649492267718834E-3</v>
      </c>
      <c r="H110" t="b">
        <f t="shared" si="9"/>
        <v>1</v>
      </c>
      <c r="I110">
        <f t="shared" si="10"/>
        <v>7.3649492267718834E-3</v>
      </c>
      <c r="J110">
        <f t="shared" si="11"/>
        <v>7.3649501515926077E-3</v>
      </c>
    </row>
    <row r="111" spans="1:10" x14ac:dyDescent="0.55000000000000004">
      <c r="A111" t="s">
        <v>642</v>
      </c>
      <c r="B111" t="s">
        <v>640</v>
      </c>
      <c r="C111" s="1">
        <v>11424</v>
      </c>
      <c r="D111" s="1">
        <v>5021070</v>
      </c>
      <c r="E111">
        <f t="shared" si="6"/>
        <v>291765.07412538258</v>
      </c>
      <c r="F111">
        <f t="shared" si="7"/>
        <v>4729304.925874617</v>
      </c>
      <c r="G111">
        <f t="shared" si="8"/>
        <v>9.5135630823332575E-3</v>
      </c>
      <c r="H111" t="b">
        <f t="shared" si="9"/>
        <v>1</v>
      </c>
      <c r="I111">
        <f t="shared" si="10"/>
        <v>9.5135630823332575E-3</v>
      </c>
      <c r="J111">
        <f t="shared" si="11"/>
        <v>9.5135642769566039E-3</v>
      </c>
    </row>
    <row r="112" spans="1:10" x14ac:dyDescent="0.55000000000000004">
      <c r="A112" t="s">
        <v>643</v>
      </c>
      <c r="B112" t="s">
        <v>640</v>
      </c>
      <c r="C112" s="1">
        <v>12659</v>
      </c>
      <c r="D112" s="1">
        <v>4461437</v>
      </c>
      <c r="E112">
        <f t="shared" si="6"/>
        <v>323306.55404002254</v>
      </c>
      <c r="F112">
        <f t="shared" si="7"/>
        <v>4138130.4459599773</v>
      </c>
      <c r="G112">
        <f t="shared" si="8"/>
        <v>8.324344836632306E-3</v>
      </c>
      <c r="H112" t="b">
        <f t="shared" si="9"/>
        <v>1</v>
      </c>
      <c r="I112">
        <f t="shared" si="10"/>
        <v>8.324344836632306E-3</v>
      </c>
      <c r="J112">
        <f t="shared" si="11"/>
        <v>8.3243458819248651E-3</v>
      </c>
    </row>
    <row r="113" spans="1:10" x14ac:dyDescent="0.55000000000000004">
      <c r="A113" t="s">
        <v>644</v>
      </c>
      <c r="B113" t="s">
        <v>640</v>
      </c>
      <c r="C113" s="1">
        <v>12939</v>
      </c>
      <c r="D113" s="1">
        <v>6040910</v>
      </c>
      <c r="E113">
        <f t="shared" si="6"/>
        <v>330457.65879799763</v>
      </c>
      <c r="F113">
        <f t="shared" si="7"/>
        <v>5710452.341202002</v>
      </c>
      <c r="G113">
        <f t="shared" si="8"/>
        <v>1.148725857777841E-2</v>
      </c>
      <c r="H113" t="b">
        <f t="shared" si="9"/>
        <v>1</v>
      </c>
      <c r="I113">
        <f t="shared" si="10"/>
        <v>1.148725857777841E-2</v>
      </c>
      <c r="J113">
        <f t="shared" si="11"/>
        <v>1.1487260020239786E-2</v>
      </c>
    </row>
    <row r="114" spans="1:10" x14ac:dyDescent="0.55000000000000004">
      <c r="A114" t="s">
        <v>645</v>
      </c>
      <c r="B114" t="s">
        <v>640</v>
      </c>
      <c r="C114" s="1">
        <v>11445</v>
      </c>
      <c r="D114" s="1">
        <v>4524924</v>
      </c>
      <c r="E114">
        <f t="shared" si="6"/>
        <v>292301.40698223066</v>
      </c>
      <c r="F114">
        <f t="shared" si="7"/>
        <v>4232622.593017769</v>
      </c>
      <c r="G114">
        <f t="shared" si="8"/>
        <v>8.5144271036692882E-3</v>
      </c>
      <c r="H114" t="b">
        <f t="shared" si="9"/>
        <v>1</v>
      </c>
      <c r="I114">
        <f t="shared" si="10"/>
        <v>8.5144271036692882E-3</v>
      </c>
      <c r="J114">
        <f t="shared" si="11"/>
        <v>8.5144281728305807E-3</v>
      </c>
    </row>
    <row r="115" spans="1:10" x14ac:dyDescent="0.55000000000000004">
      <c r="A115" t="s">
        <v>646</v>
      </c>
      <c r="B115" t="s">
        <v>640</v>
      </c>
      <c r="C115" s="1">
        <v>13280</v>
      </c>
      <c r="D115" s="1">
        <v>4154771</v>
      </c>
      <c r="E115">
        <f t="shared" si="6"/>
        <v>339166.68280681723</v>
      </c>
      <c r="F115">
        <f t="shared" si="7"/>
        <v>3815604.3171931827</v>
      </c>
      <c r="G115">
        <f t="shared" si="8"/>
        <v>7.6755449136380847E-3</v>
      </c>
      <c r="H115" t="b">
        <f t="shared" si="9"/>
        <v>1</v>
      </c>
      <c r="I115">
        <f t="shared" si="10"/>
        <v>7.6755449136380847E-3</v>
      </c>
      <c r="J115">
        <f t="shared" si="11"/>
        <v>7.6755458774604799E-3</v>
      </c>
    </row>
    <row r="116" spans="1:10" x14ac:dyDescent="0.55000000000000004">
      <c r="A116" t="s">
        <v>647</v>
      </c>
      <c r="B116" t="s">
        <v>640</v>
      </c>
      <c r="C116" s="1">
        <v>19255</v>
      </c>
      <c r="D116" s="1">
        <v>7026280</v>
      </c>
      <c r="E116">
        <f t="shared" si="6"/>
        <v>491766.1504100351</v>
      </c>
      <c r="F116">
        <f t="shared" si="7"/>
        <v>6534513.8495899653</v>
      </c>
      <c r="G116">
        <f t="shared" si="8"/>
        <v>1.3144956964042167E-2</v>
      </c>
      <c r="H116" t="b">
        <f t="shared" si="9"/>
        <v>1</v>
      </c>
      <c r="I116">
        <f t="shared" si="10"/>
        <v>1.3144956964042167E-2</v>
      </c>
      <c r="J116">
        <f t="shared" si="11"/>
        <v>1.3144958614661641E-2</v>
      </c>
    </row>
    <row r="117" spans="1:10" x14ac:dyDescent="0.55000000000000004">
      <c r="A117" t="s">
        <v>648</v>
      </c>
      <c r="B117" t="s">
        <v>640</v>
      </c>
      <c r="C117" s="1">
        <v>18059</v>
      </c>
      <c r="D117" s="1">
        <v>5476668</v>
      </c>
      <c r="E117">
        <f t="shared" si="6"/>
        <v>461220.71722954162</v>
      </c>
      <c r="F117">
        <f t="shared" si="7"/>
        <v>5015447.2827704586</v>
      </c>
      <c r="G117">
        <f t="shared" si="8"/>
        <v>1.008917269210116E-2</v>
      </c>
      <c r="H117" t="b">
        <f t="shared" si="9"/>
        <v>1</v>
      </c>
      <c r="I117">
        <f t="shared" si="10"/>
        <v>1.008917269210116E-2</v>
      </c>
      <c r="J117">
        <f t="shared" si="11"/>
        <v>1.0089173959004123E-2</v>
      </c>
    </row>
    <row r="118" spans="1:10" x14ac:dyDescent="0.55000000000000004">
      <c r="A118" t="s">
        <v>649</v>
      </c>
      <c r="B118" t="s">
        <v>640</v>
      </c>
      <c r="C118" s="1">
        <v>11431</v>
      </c>
      <c r="D118" s="1">
        <v>4757630</v>
      </c>
      <c r="E118">
        <f t="shared" si="6"/>
        <v>291943.85174433189</v>
      </c>
      <c r="F118">
        <f t="shared" si="7"/>
        <v>4465686.1482556686</v>
      </c>
      <c r="G118">
        <f t="shared" si="8"/>
        <v>8.9832623489539982E-3</v>
      </c>
      <c r="H118" t="b">
        <f t="shared" si="9"/>
        <v>1</v>
      </c>
      <c r="I118">
        <f t="shared" si="10"/>
        <v>8.9832623489539982E-3</v>
      </c>
      <c r="J118">
        <f t="shared" si="11"/>
        <v>8.9832634769871911E-3</v>
      </c>
    </row>
    <row r="119" spans="1:10" x14ac:dyDescent="0.55000000000000004">
      <c r="A119" t="s">
        <v>650</v>
      </c>
      <c r="B119" t="s">
        <v>640</v>
      </c>
      <c r="C119" s="1">
        <v>12873</v>
      </c>
      <c r="D119" s="1">
        <v>6769316</v>
      </c>
      <c r="E119">
        <f t="shared" si="6"/>
        <v>328772.04124790349</v>
      </c>
      <c r="F119">
        <f t="shared" si="7"/>
        <v>6440543.9587520966</v>
      </c>
      <c r="G119">
        <f t="shared" si="8"/>
        <v>1.2955925277919559E-2</v>
      </c>
      <c r="H119" t="b">
        <f t="shared" si="9"/>
        <v>1</v>
      </c>
      <c r="I119">
        <f t="shared" si="10"/>
        <v>1.2955925277919559E-2</v>
      </c>
      <c r="J119">
        <f t="shared" si="11"/>
        <v>1.2955926904802221E-2</v>
      </c>
    </row>
    <row r="120" spans="1:10" x14ac:dyDescent="0.55000000000000004">
      <c r="A120" t="s">
        <v>651</v>
      </c>
      <c r="B120" t="s">
        <v>640</v>
      </c>
      <c r="C120" s="1">
        <v>13326</v>
      </c>
      <c r="D120" s="1">
        <v>7230142</v>
      </c>
      <c r="E120">
        <f t="shared" si="6"/>
        <v>340341.50715991313</v>
      </c>
      <c r="F120">
        <f t="shared" si="7"/>
        <v>6889800.492840087</v>
      </c>
      <c r="G120">
        <f t="shared" si="8"/>
        <v>1.385965858422695E-2</v>
      </c>
      <c r="H120" t="b">
        <f t="shared" si="9"/>
        <v>1</v>
      </c>
      <c r="I120">
        <f t="shared" si="10"/>
        <v>1.385965858422695E-2</v>
      </c>
      <c r="J120">
        <f t="shared" si="11"/>
        <v>1.38596603245919E-2</v>
      </c>
    </row>
    <row r="121" spans="1:10" x14ac:dyDescent="0.55000000000000004">
      <c r="A121" t="s">
        <v>652</v>
      </c>
      <c r="B121" t="s">
        <v>640</v>
      </c>
      <c r="C121" s="1">
        <v>16778</v>
      </c>
      <c r="D121" s="1">
        <v>3624843</v>
      </c>
      <c r="E121">
        <f t="shared" si="6"/>
        <v>428504.41296180565</v>
      </c>
      <c r="F121">
        <f t="shared" si="7"/>
        <v>3196338.5870381943</v>
      </c>
      <c r="G121">
        <f t="shared" si="8"/>
        <v>6.4298177548067874E-3</v>
      </c>
      <c r="H121" t="b">
        <f t="shared" si="9"/>
        <v>1</v>
      </c>
      <c r="I121">
        <f t="shared" si="10"/>
        <v>6.4298177548067874E-3</v>
      </c>
      <c r="J121">
        <f t="shared" si="11"/>
        <v>6.4298185622025383E-3</v>
      </c>
    </row>
    <row r="122" spans="1:10" x14ac:dyDescent="0.55000000000000004">
      <c r="A122" t="s">
        <v>653</v>
      </c>
      <c r="B122" t="s">
        <v>640</v>
      </c>
      <c r="C122" s="1">
        <v>12754</v>
      </c>
      <c r="D122" s="1">
        <v>6566534</v>
      </c>
      <c r="E122">
        <f t="shared" si="6"/>
        <v>325732.82172576408</v>
      </c>
      <c r="F122">
        <f t="shared" si="7"/>
        <v>6240801.1782742357</v>
      </c>
      <c r="G122">
        <f t="shared" si="8"/>
        <v>1.2554118760450114E-2</v>
      </c>
      <c r="H122" t="b">
        <f t="shared" si="9"/>
        <v>1</v>
      </c>
      <c r="I122">
        <f t="shared" si="10"/>
        <v>1.2554118760450114E-2</v>
      </c>
      <c r="J122">
        <f t="shared" si="11"/>
        <v>1.255412033687771E-2</v>
      </c>
    </row>
    <row r="123" spans="1:10" x14ac:dyDescent="0.55000000000000004">
      <c r="A123" t="s">
        <v>654</v>
      </c>
      <c r="B123" t="s">
        <v>640</v>
      </c>
      <c r="C123" s="1">
        <v>14256</v>
      </c>
      <c r="D123" s="1">
        <v>5774497</v>
      </c>
      <c r="E123">
        <f t="shared" si="6"/>
        <v>364093.3908203303</v>
      </c>
      <c r="F123">
        <f t="shared" si="7"/>
        <v>5410403.60917967</v>
      </c>
      <c r="G123">
        <f t="shared" si="8"/>
        <v>1.0883674629479569E-2</v>
      </c>
      <c r="H123" t="b">
        <f t="shared" si="9"/>
        <v>1</v>
      </c>
      <c r="I123">
        <f t="shared" si="10"/>
        <v>1.0883674629479569E-2</v>
      </c>
      <c r="J123">
        <f t="shared" si="11"/>
        <v>1.0883675996148576E-2</v>
      </c>
    </row>
    <row r="124" spans="1:10" x14ac:dyDescent="0.55000000000000004">
      <c r="A124" t="s">
        <v>655</v>
      </c>
      <c r="B124" t="s">
        <v>640</v>
      </c>
      <c r="C124" s="1">
        <v>14935</v>
      </c>
      <c r="D124" s="1">
        <v>5899797</v>
      </c>
      <c r="E124">
        <f t="shared" si="6"/>
        <v>381434.81985841983</v>
      </c>
      <c r="F124">
        <f t="shared" si="7"/>
        <v>5518362.1801415803</v>
      </c>
      <c r="G124">
        <f t="shared" si="8"/>
        <v>1.1100846220489794E-2</v>
      </c>
      <c r="H124" t="b">
        <f t="shared" si="9"/>
        <v>1</v>
      </c>
      <c r="I124">
        <f t="shared" si="10"/>
        <v>1.1100846220489794E-2</v>
      </c>
      <c r="J124">
        <f t="shared" si="11"/>
        <v>1.1100847614429157E-2</v>
      </c>
    </row>
    <row r="125" spans="1:10" x14ac:dyDescent="0.55000000000000004">
      <c r="A125" t="s">
        <v>656</v>
      </c>
      <c r="B125" t="s">
        <v>640</v>
      </c>
      <c r="C125" s="1">
        <v>14338</v>
      </c>
      <c r="D125" s="1">
        <v>4349255</v>
      </c>
      <c r="E125">
        <f t="shared" si="6"/>
        <v>366187.64292802301</v>
      </c>
      <c r="F125">
        <f t="shared" si="7"/>
        <v>3983067.3570719771</v>
      </c>
      <c r="G125">
        <f t="shared" si="8"/>
        <v>8.012416868146615E-3</v>
      </c>
      <c r="H125" t="b">
        <f t="shared" si="9"/>
        <v>1</v>
      </c>
      <c r="I125">
        <f t="shared" si="10"/>
        <v>8.012416868146615E-3</v>
      </c>
      <c r="J125">
        <f t="shared" si="11"/>
        <v>8.0124178742702074E-3</v>
      </c>
    </row>
    <row r="126" spans="1:10" x14ac:dyDescent="0.55000000000000004">
      <c r="A126" t="s">
        <v>657</v>
      </c>
      <c r="B126" t="s">
        <v>640</v>
      </c>
      <c r="C126" s="1">
        <v>17477</v>
      </c>
      <c r="D126" s="1">
        <v>2435386</v>
      </c>
      <c r="E126">
        <f t="shared" si="6"/>
        <v>446356.63519689342</v>
      </c>
      <c r="F126">
        <f t="shared" si="7"/>
        <v>1989029.3648031065</v>
      </c>
      <c r="G126">
        <f t="shared" si="8"/>
        <v>4.0011707071664678E-3</v>
      </c>
      <c r="H126" t="b">
        <f t="shared" si="9"/>
        <v>1</v>
      </c>
      <c r="I126">
        <f t="shared" si="10"/>
        <v>4.0011707071664678E-3</v>
      </c>
      <c r="J126">
        <f t="shared" si="11"/>
        <v>4.0011712095956737E-3</v>
      </c>
    </row>
    <row r="127" spans="1:10" x14ac:dyDescent="0.55000000000000004">
      <c r="A127" t="s">
        <v>658</v>
      </c>
      <c r="B127" t="s">
        <v>659</v>
      </c>
      <c r="C127" s="1">
        <v>1411</v>
      </c>
      <c r="D127" s="1">
        <v>4960366</v>
      </c>
      <c r="E127">
        <f t="shared" si="6"/>
        <v>36036.460048224333</v>
      </c>
      <c r="F127">
        <f t="shared" si="7"/>
        <v>4924329.5399517752</v>
      </c>
      <c r="G127">
        <f t="shared" si="8"/>
        <v>9.9058784431973312E-3</v>
      </c>
      <c r="H127" t="b">
        <f t="shared" si="9"/>
        <v>1</v>
      </c>
      <c r="I127">
        <f t="shared" si="10"/>
        <v>9.9058784431973312E-3</v>
      </c>
      <c r="J127">
        <f t="shared" si="11"/>
        <v>9.9058796870839343E-3</v>
      </c>
    </row>
    <row r="128" spans="1:10" x14ac:dyDescent="0.55000000000000004">
      <c r="A128" t="s">
        <v>660</v>
      </c>
      <c r="B128" t="s">
        <v>661</v>
      </c>
      <c r="C128" s="1">
        <v>1757</v>
      </c>
      <c r="D128" s="1">
        <v>6294545</v>
      </c>
      <c r="E128">
        <f t="shared" si="6"/>
        <v>44873.182356293517</v>
      </c>
      <c r="F128">
        <f t="shared" si="7"/>
        <v>6249671.8176437067</v>
      </c>
      <c r="G128">
        <f t="shared" si="8"/>
        <v>1.2571963113593928E-2</v>
      </c>
      <c r="H128" t="b">
        <f t="shared" si="9"/>
        <v>1</v>
      </c>
      <c r="I128">
        <f t="shared" si="10"/>
        <v>1.2571963113593928E-2</v>
      </c>
      <c r="J128">
        <f t="shared" si="11"/>
        <v>1.2571964692262249E-2</v>
      </c>
    </row>
    <row r="129" spans="1:10" x14ac:dyDescent="0.55000000000000004">
      <c r="A129" t="s">
        <v>662</v>
      </c>
      <c r="B129" t="s">
        <v>663</v>
      </c>
      <c r="C129" s="1">
        <v>4078</v>
      </c>
      <c r="D129" s="1">
        <v>5858944</v>
      </c>
      <c r="E129">
        <f t="shared" si="6"/>
        <v>104150.73286793679</v>
      </c>
      <c r="F129">
        <f t="shared" si="7"/>
        <v>5754793.2671320634</v>
      </c>
      <c r="G129">
        <f t="shared" si="8"/>
        <v>1.1576455659078194E-2</v>
      </c>
      <c r="H129" t="b">
        <f t="shared" si="9"/>
        <v>1</v>
      </c>
      <c r="I129">
        <f t="shared" si="10"/>
        <v>1.1576455659078194E-2</v>
      </c>
      <c r="J129">
        <f t="shared" si="11"/>
        <v>1.1576457112740097E-2</v>
      </c>
    </row>
    <row r="130" spans="1:10" x14ac:dyDescent="0.55000000000000004">
      <c r="A130" t="s">
        <v>664</v>
      </c>
      <c r="B130" t="s">
        <v>665</v>
      </c>
      <c r="C130">
        <v>445</v>
      </c>
      <c r="D130" s="1">
        <v>347644</v>
      </c>
      <c r="E130">
        <f t="shared" si="6"/>
        <v>11365.148633210367</v>
      </c>
      <c r="F130">
        <f t="shared" si="7"/>
        <v>336278.85136678966</v>
      </c>
      <c r="G130">
        <f t="shared" si="8"/>
        <v>6.7646517107180918E-4</v>
      </c>
      <c r="H130" t="b">
        <f t="shared" si="9"/>
        <v>1</v>
      </c>
      <c r="I130">
        <f t="shared" si="10"/>
        <v>6.7646517107180918E-4</v>
      </c>
      <c r="J130">
        <f t="shared" si="11"/>
        <v>6.7646525601591269E-4</v>
      </c>
    </row>
    <row r="131" spans="1:10" x14ac:dyDescent="0.55000000000000004">
      <c r="A131" t="s">
        <v>666</v>
      </c>
      <c r="B131" t="s">
        <v>665</v>
      </c>
      <c r="C131">
        <v>35</v>
      </c>
      <c r="D131" s="1">
        <v>43830</v>
      </c>
      <c r="E131">
        <f t="shared" ref="E131:E132" si="12">0.3*C131*SUM(D$2:D$132)/SUM(C$2:C$132)</f>
        <v>893.88809474688276</v>
      </c>
      <c r="F131">
        <f t="shared" ref="F131:F132" si="13">D131-E131</f>
        <v>42936.111905253114</v>
      </c>
      <c r="G131">
        <f t="shared" ref="G131:G132" si="14">F131/(SUM(D$2:D$132)-SUM(E$2:E$132))</f>
        <v>8.6371129695174769E-5</v>
      </c>
      <c r="H131" t="b">
        <f t="shared" ref="H131:H132" si="15" xml:space="preserve"> G131 &gt; 10^-7</f>
        <v>1</v>
      </c>
      <c r="I131">
        <f t="shared" ref="I131:I132" si="16">G131*H131</f>
        <v>8.6371129695174769E-5</v>
      </c>
      <c r="J131">
        <f t="shared" ref="J131:J132" si="17" xml:space="preserve"> I131/SUM(I$2:I$132)</f>
        <v>8.6371140540845011E-5</v>
      </c>
    </row>
    <row r="132" spans="1:10" x14ac:dyDescent="0.55000000000000004">
      <c r="A132" t="s">
        <v>667</v>
      </c>
      <c r="B132" t="s">
        <v>665</v>
      </c>
      <c r="C132">
        <v>95</v>
      </c>
      <c r="D132" s="1">
        <v>98425</v>
      </c>
      <c r="E132">
        <f t="shared" si="12"/>
        <v>2426.267685741539</v>
      </c>
      <c r="F132">
        <f t="shared" si="13"/>
        <v>95998.732314258465</v>
      </c>
      <c r="G132">
        <f t="shared" si="14"/>
        <v>1.931129436588025E-4</v>
      </c>
      <c r="H132" t="b">
        <f t="shared" si="15"/>
        <v>1</v>
      </c>
      <c r="I132">
        <f t="shared" si="16"/>
        <v>1.931129436588025E-4</v>
      </c>
      <c r="J132">
        <f t="shared" si="17"/>
        <v>1.93112967908101E-4</v>
      </c>
    </row>
  </sheetData>
  <customSheetViews>
    <customSheetView guid="{6F58EB3B-97F3-43AA-9269-CE0BCA6518E5}">
      <selection activeCell="L39" sqref="L39"/>
      <pageMargins left="0.7" right="0.7" top="0.75" bottom="0.75" header="0.3" footer="0.3"/>
    </customSheetView>
  </customSheetViews>
  <conditionalFormatting sqref="E1:E1048576 F1:J1">
    <cfRule type="cellIs" dxfId="26" priority="1" operator="equal">
      <formula>25.54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DB81-7FE6-4715-94B5-2465FC648941}">
  <sheetPr codeName="Sheet4"/>
  <dimension ref="A1:R80"/>
  <sheetViews>
    <sheetView workbookViewId="0">
      <selection activeCell="R5" sqref="R5"/>
    </sheetView>
  </sheetViews>
  <sheetFormatPr defaultColWidth="8.83984375" defaultRowHeight="14.4" x14ac:dyDescent="0.55000000000000004"/>
  <cols>
    <col min="1" max="1" width="20.47265625" bestFit="1" customWidth="1"/>
    <col min="2" max="2" width="25.47265625" bestFit="1" customWidth="1"/>
    <col min="3" max="3" width="22.47265625" bestFit="1" customWidth="1"/>
    <col min="4" max="4" width="12.3125" bestFit="1" customWidth="1"/>
    <col min="5" max="5" width="18.68359375" bestFit="1" customWidth="1"/>
    <col min="6" max="6" width="8.15625" bestFit="1" customWidth="1"/>
    <col min="7" max="7" width="19.15625" bestFit="1" customWidth="1"/>
    <col min="8" max="8" width="6" bestFit="1" customWidth="1"/>
    <col min="9" max="9" width="22.47265625" bestFit="1" customWidth="1"/>
    <col min="10" max="10" width="13.68359375" style="4" customWidth="1"/>
    <col min="11" max="11" width="13.68359375" customWidth="1"/>
    <col min="12" max="12" width="24.15625" bestFit="1" customWidth="1"/>
    <col min="13" max="13" width="18.15625" customWidth="1"/>
    <col min="14" max="14" width="8.68359375" bestFit="1" customWidth="1"/>
    <col min="15" max="15" width="17.68359375" customWidth="1"/>
    <col min="17" max="17" width="23.15625" bestFit="1" customWidth="1"/>
    <col min="18" max="18" width="21.68359375" style="4" bestFit="1" customWidth="1"/>
  </cols>
  <sheetData>
    <row r="1" spans="1:18" x14ac:dyDescent="0.55000000000000004">
      <c r="A1" t="s">
        <v>80</v>
      </c>
      <c r="B1" t="s">
        <v>233</v>
      </c>
      <c r="C1" t="s">
        <v>234</v>
      </c>
      <c r="D1" t="s">
        <v>455</v>
      </c>
      <c r="E1" t="s">
        <v>235</v>
      </c>
      <c r="F1" t="s">
        <v>79</v>
      </c>
      <c r="G1" t="s">
        <v>459</v>
      </c>
      <c r="H1" t="s">
        <v>458</v>
      </c>
      <c r="I1" t="s">
        <v>466</v>
      </c>
      <c r="J1" s="4" t="s">
        <v>467</v>
      </c>
      <c r="K1" t="s">
        <v>468</v>
      </c>
      <c r="L1" t="s">
        <v>460</v>
      </c>
      <c r="M1" t="s">
        <v>462</v>
      </c>
      <c r="N1" t="s">
        <v>463</v>
      </c>
      <c r="O1" t="s">
        <v>464</v>
      </c>
    </row>
    <row r="2" spans="1:18" x14ac:dyDescent="0.55000000000000004">
      <c r="A2" t="s">
        <v>0</v>
      </c>
      <c r="B2">
        <v>33015659</v>
      </c>
      <c r="C2">
        <v>12720962</v>
      </c>
      <c r="D2">
        <v>20294697</v>
      </c>
      <c r="E2">
        <v>3407971</v>
      </c>
      <c r="F2">
        <v>13578</v>
      </c>
      <c r="G2">
        <f>E2/F2</f>
        <v>250.99211960524377</v>
      </c>
      <c r="H2">
        <f>IF(D2&lt;0, 0, 1)</f>
        <v>1</v>
      </c>
      <c r="I2" s="5">
        <f xml:space="preserve"> $R$8 * $R$6 * F2</f>
        <v>347542.48800000001</v>
      </c>
      <c r="J2" s="4">
        <f t="shared" ref="J2:J33" si="0" xml:space="preserve"> (D2 * H2)/$R$11 * $R$5</f>
        <v>3738298.3631261596</v>
      </c>
      <c r="K2">
        <f>IF($R$8=0%, IF(J2&gt;0, 0, 1), IF(J2&lt;I2, 1, 0))</f>
        <v>0</v>
      </c>
      <c r="L2" s="5">
        <f>IF(K2=1, I2*K2, D2*($R$9)/$R$12)</f>
        <v>3407984.3768084212</v>
      </c>
      <c r="M2">
        <f>L2/F2</f>
        <v>250.99310478777591</v>
      </c>
      <c r="N2">
        <f>ROUND((L2-E2)/E2 * 100, 2)</f>
        <v>0</v>
      </c>
      <c r="O2">
        <f>ROUND(M2-G2, 2)</f>
        <v>0</v>
      </c>
    </row>
    <row r="3" spans="1:18" x14ac:dyDescent="0.55000000000000004">
      <c r="A3" t="s">
        <v>1</v>
      </c>
      <c r="B3">
        <v>36751217</v>
      </c>
      <c r="C3">
        <v>8724183</v>
      </c>
      <c r="D3">
        <v>28027034</v>
      </c>
      <c r="E3">
        <v>4706418</v>
      </c>
      <c r="F3">
        <v>11683</v>
      </c>
      <c r="G3">
        <f t="shared" ref="G3:G66" si="1">E3/F3</f>
        <v>402.84327655567921</v>
      </c>
      <c r="H3">
        <f t="shared" ref="H3:H66" si="2">IF(D3&lt;0, 0, 1)</f>
        <v>1</v>
      </c>
      <c r="I3" s="5">
        <f t="shared" ref="I3:I66" si="3" xml:space="preserve"> $R$8 * $R$6 * F3</f>
        <v>299038.06800000003</v>
      </c>
      <c r="J3" s="4">
        <f t="shared" si="0"/>
        <v>5162600.6205207808</v>
      </c>
      <c r="K3">
        <f t="shared" ref="K3:K66" si="4">IF($R$8=0%, IF(J3&gt;0, 0, 1), IF(J3&lt;I3, 1, 0))</f>
        <v>0</v>
      </c>
      <c r="L3" s="5">
        <f t="shared" ref="L3:L66" si="5">IF(K3=1, I3*K3, D3*($R$9)/$R$12)</f>
        <v>4706436.0704807974</v>
      </c>
      <c r="M3">
        <f t="shared" ref="M3:M66" si="6">L3/F3</f>
        <v>402.84482328860713</v>
      </c>
      <c r="N3">
        <f t="shared" ref="N3:N66" si="7">ROUND((L3-E3)/E3 * 100, 2)</f>
        <v>0</v>
      </c>
      <c r="O3">
        <f t="shared" ref="O3:O66" si="8">ROUND(M3-G3, 2)</f>
        <v>0</v>
      </c>
    </row>
    <row r="4" spans="1:18" x14ac:dyDescent="0.55000000000000004">
      <c r="A4" t="s">
        <v>2</v>
      </c>
      <c r="B4">
        <v>166858908</v>
      </c>
      <c r="C4">
        <v>78156611</v>
      </c>
      <c r="D4">
        <v>88702296</v>
      </c>
      <c r="E4">
        <v>14895265</v>
      </c>
      <c r="F4">
        <v>118137</v>
      </c>
      <c r="G4">
        <f t="shared" si="1"/>
        <v>126.08467287979211</v>
      </c>
      <c r="H4">
        <f t="shared" si="2"/>
        <v>1</v>
      </c>
      <c r="I4" s="5">
        <f t="shared" si="3"/>
        <v>3023834.6520000002</v>
      </c>
      <c r="J4" s="4">
        <f t="shared" si="0"/>
        <v>16339029.251943603</v>
      </c>
      <c r="K4">
        <f t="shared" si="4"/>
        <v>0</v>
      </c>
      <c r="L4" s="5">
        <f t="shared" si="5"/>
        <v>14895321.618008688</v>
      </c>
      <c r="M4">
        <f t="shared" si="6"/>
        <v>126.08515213699931</v>
      </c>
      <c r="N4">
        <f t="shared" si="7"/>
        <v>0</v>
      </c>
      <c r="O4">
        <f t="shared" si="8"/>
        <v>0</v>
      </c>
    </row>
    <row r="5" spans="1:18" x14ac:dyDescent="0.55000000000000004">
      <c r="A5" t="s">
        <v>3</v>
      </c>
      <c r="B5">
        <v>150894932</v>
      </c>
      <c r="C5">
        <v>136357102</v>
      </c>
      <c r="D5">
        <v>14537830</v>
      </c>
      <c r="E5">
        <v>3317393</v>
      </c>
      <c r="F5">
        <v>129602</v>
      </c>
      <c r="G5">
        <f t="shared" si="1"/>
        <v>25.596773197944476</v>
      </c>
      <c r="H5">
        <f t="shared" si="2"/>
        <v>1</v>
      </c>
      <c r="I5" s="5">
        <f t="shared" si="3"/>
        <v>3317292.7919999999</v>
      </c>
      <c r="J5" s="4">
        <f t="shared" si="0"/>
        <v>2677879.1569249043</v>
      </c>
      <c r="K5">
        <f t="shared" si="4"/>
        <v>1</v>
      </c>
      <c r="L5" s="5">
        <f t="shared" si="5"/>
        <v>3317292.7919999999</v>
      </c>
      <c r="M5">
        <f t="shared" si="6"/>
        <v>25.596</v>
      </c>
      <c r="N5">
        <f t="shared" si="7"/>
        <v>0</v>
      </c>
      <c r="O5">
        <f t="shared" si="8"/>
        <v>0</v>
      </c>
      <c r="Q5" t="s">
        <v>456</v>
      </c>
      <c r="R5" s="4">
        <f>SUM(E2:E80)</f>
        <v>580790947</v>
      </c>
    </row>
    <row r="6" spans="1:18" x14ac:dyDescent="0.55000000000000004">
      <c r="A6" t="s">
        <v>4</v>
      </c>
      <c r="B6">
        <v>93645282</v>
      </c>
      <c r="C6">
        <v>52867488</v>
      </c>
      <c r="D6">
        <v>40777794</v>
      </c>
      <c r="E6">
        <v>6847580</v>
      </c>
      <c r="F6">
        <v>42729</v>
      </c>
      <c r="G6">
        <f t="shared" si="1"/>
        <v>160.25603220295349</v>
      </c>
      <c r="H6">
        <f t="shared" si="2"/>
        <v>1</v>
      </c>
      <c r="I6" s="5">
        <f t="shared" si="3"/>
        <v>1093691.4839999999</v>
      </c>
      <c r="J6" s="4">
        <f t="shared" si="0"/>
        <v>7511300.1471318221</v>
      </c>
      <c r="K6">
        <f t="shared" si="4"/>
        <v>0</v>
      </c>
      <c r="L6" s="5">
        <f t="shared" si="5"/>
        <v>6847605.799323447</v>
      </c>
      <c r="M6">
        <f t="shared" si="6"/>
        <v>160.25663599249799</v>
      </c>
      <c r="N6">
        <f t="shared" si="7"/>
        <v>0</v>
      </c>
      <c r="O6">
        <f t="shared" si="8"/>
        <v>0</v>
      </c>
      <c r="Q6" t="s">
        <v>457</v>
      </c>
      <c r="R6" s="4">
        <f>R7 / 30%</f>
        <v>85.320000000000007</v>
      </c>
    </row>
    <row r="7" spans="1:18" x14ac:dyDescent="0.55000000000000004">
      <c r="A7" t="s">
        <v>5</v>
      </c>
      <c r="B7">
        <v>98911203</v>
      </c>
      <c r="C7">
        <v>46287473</v>
      </c>
      <c r="D7">
        <v>52623730</v>
      </c>
      <c r="E7">
        <v>8836799</v>
      </c>
      <c r="F7">
        <v>60774</v>
      </c>
      <c r="G7">
        <f t="shared" si="1"/>
        <v>145.40426827261658</v>
      </c>
      <c r="H7">
        <f t="shared" si="2"/>
        <v>1</v>
      </c>
      <c r="I7" s="5">
        <f t="shared" si="3"/>
        <v>1555571.304</v>
      </c>
      <c r="J7" s="4">
        <f t="shared" si="0"/>
        <v>9693330.4163443781</v>
      </c>
      <c r="K7">
        <f t="shared" si="4"/>
        <v>0</v>
      </c>
      <c r="L7" s="5">
        <f t="shared" si="5"/>
        <v>8836833.07463938</v>
      </c>
      <c r="M7">
        <f t="shared" si="6"/>
        <v>145.40482895052784</v>
      </c>
      <c r="N7">
        <f t="shared" si="7"/>
        <v>0</v>
      </c>
      <c r="O7">
        <f t="shared" si="8"/>
        <v>0</v>
      </c>
      <c r="Q7" t="s">
        <v>473</v>
      </c>
      <c r="R7" s="4">
        <v>25.596</v>
      </c>
    </row>
    <row r="8" spans="1:18" x14ac:dyDescent="0.55000000000000004">
      <c r="A8" t="s">
        <v>6</v>
      </c>
      <c r="B8">
        <v>114027679</v>
      </c>
      <c r="C8">
        <v>200113691</v>
      </c>
      <c r="D8">
        <v>-86086012</v>
      </c>
      <c r="E8">
        <v>2669027</v>
      </c>
      <c r="F8">
        <v>104272</v>
      </c>
      <c r="G8">
        <f t="shared" si="1"/>
        <v>25.596775740371335</v>
      </c>
      <c r="H8">
        <f>IF(D8&lt;0, 0, 1)</f>
        <v>0</v>
      </c>
      <c r="I8" s="5">
        <f t="shared" si="3"/>
        <v>2668946.1120000002</v>
      </c>
      <c r="J8" s="4">
        <f t="shared" si="0"/>
        <v>0</v>
      </c>
      <c r="K8">
        <f t="shared" si="4"/>
        <v>1</v>
      </c>
      <c r="L8" s="5">
        <f t="shared" si="5"/>
        <v>2668946.1120000002</v>
      </c>
      <c r="M8">
        <f t="shared" si="6"/>
        <v>25.596000000000004</v>
      </c>
      <c r="N8">
        <f t="shared" si="7"/>
        <v>0</v>
      </c>
      <c r="O8">
        <f t="shared" si="8"/>
        <v>0</v>
      </c>
      <c r="Q8" t="s">
        <v>472</v>
      </c>
      <c r="R8" s="6">
        <f xml:space="preserve"> Control!$C$5</f>
        <v>0.3</v>
      </c>
    </row>
    <row r="9" spans="1:18" x14ac:dyDescent="0.55000000000000004">
      <c r="A9" t="s">
        <v>7</v>
      </c>
      <c r="B9">
        <v>31879990</v>
      </c>
      <c r="C9">
        <v>10857579</v>
      </c>
      <c r="D9">
        <v>21022410</v>
      </c>
      <c r="E9">
        <v>3530172</v>
      </c>
      <c r="F9">
        <v>14529</v>
      </c>
      <c r="G9">
        <f t="shared" si="1"/>
        <v>242.97418955193064</v>
      </c>
      <c r="H9">
        <f t="shared" si="2"/>
        <v>1</v>
      </c>
      <c r="I9" s="5">
        <f t="shared" si="3"/>
        <v>371884.28399999999</v>
      </c>
      <c r="J9" s="4">
        <f t="shared" si="0"/>
        <v>3872343.6418866962</v>
      </c>
      <c r="K9">
        <f t="shared" si="4"/>
        <v>0</v>
      </c>
      <c r="L9" s="5">
        <f t="shared" si="5"/>
        <v>3530185.4884978635</v>
      </c>
      <c r="M9">
        <f t="shared" si="6"/>
        <v>242.97511793639367</v>
      </c>
      <c r="N9">
        <f t="shared" si="7"/>
        <v>0</v>
      </c>
      <c r="O9">
        <f t="shared" si="8"/>
        <v>0</v>
      </c>
      <c r="Q9" t="s">
        <v>471</v>
      </c>
      <c r="R9" s="4">
        <f>$R$5-SUMPRODUCT($I$2:$I$80,$K$2:$K$80)</f>
        <v>515380010.65600002</v>
      </c>
    </row>
    <row r="10" spans="1:18" x14ac:dyDescent="0.55000000000000004">
      <c r="A10" t="s">
        <v>8</v>
      </c>
      <c r="B10">
        <v>203686103</v>
      </c>
      <c r="C10">
        <v>316888238</v>
      </c>
      <c r="D10">
        <v>-113202135</v>
      </c>
      <c r="E10">
        <v>4467584</v>
      </c>
      <c r="F10">
        <v>174537</v>
      </c>
      <c r="G10">
        <f t="shared" si="1"/>
        <v>25.596773177034095</v>
      </c>
      <c r="H10">
        <f t="shared" si="2"/>
        <v>0</v>
      </c>
      <c r="I10" s="5">
        <f t="shared" si="3"/>
        <v>4467449.0520000001</v>
      </c>
      <c r="J10" s="4">
        <f t="shared" si="0"/>
        <v>0</v>
      </c>
      <c r="K10">
        <f t="shared" si="4"/>
        <v>1</v>
      </c>
      <c r="L10" s="5">
        <f t="shared" si="5"/>
        <v>4467449.0520000001</v>
      </c>
      <c r="M10">
        <f t="shared" si="6"/>
        <v>25.596</v>
      </c>
      <c r="N10">
        <f t="shared" si="7"/>
        <v>0</v>
      </c>
      <c r="O10">
        <f t="shared" si="8"/>
        <v>0</v>
      </c>
    </row>
    <row r="11" spans="1:18" x14ac:dyDescent="0.55000000000000004">
      <c r="A11" t="s">
        <v>9</v>
      </c>
      <c r="B11">
        <v>225054250</v>
      </c>
      <c r="C11">
        <v>141234742</v>
      </c>
      <c r="D11">
        <v>83819507</v>
      </c>
      <c r="E11">
        <v>14075326</v>
      </c>
      <c r="F11">
        <v>196046</v>
      </c>
      <c r="G11">
        <f t="shared" si="1"/>
        <v>71.796037664629736</v>
      </c>
      <c r="H11">
        <f t="shared" si="2"/>
        <v>1</v>
      </c>
      <c r="I11" s="5">
        <f t="shared" si="3"/>
        <v>5017993.4160000002</v>
      </c>
      <c r="J11" s="4">
        <f t="shared" si="0"/>
        <v>15439615.866949959</v>
      </c>
      <c r="K11">
        <f t="shared" si="4"/>
        <v>0</v>
      </c>
      <c r="L11" s="5">
        <f t="shared" si="5"/>
        <v>14075379.904798979</v>
      </c>
      <c r="M11">
        <f t="shared" si="6"/>
        <v>71.796312624582896</v>
      </c>
      <c r="N11">
        <f t="shared" si="7"/>
        <v>0</v>
      </c>
      <c r="O11">
        <f t="shared" si="8"/>
        <v>0</v>
      </c>
      <c r="Q11" t="s">
        <v>461</v>
      </c>
      <c r="R11" s="4">
        <f>SUMPRODUCT(D2:D80, H2:H80)</f>
        <v>3153032515</v>
      </c>
    </row>
    <row r="12" spans="1:18" x14ac:dyDescent="0.55000000000000004">
      <c r="A12" t="s">
        <v>10</v>
      </c>
      <c r="B12">
        <v>34991862</v>
      </c>
      <c r="C12">
        <v>5225984</v>
      </c>
      <c r="D12">
        <v>29765878</v>
      </c>
      <c r="E12">
        <v>4998412</v>
      </c>
      <c r="F12">
        <v>6040</v>
      </c>
      <c r="G12">
        <f t="shared" si="1"/>
        <v>827.55165562913908</v>
      </c>
      <c r="H12">
        <f t="shared" si="2"/>
        <v>1</v>
      </c>
      <c r="I12" s="5">
        <f t="shared" si="3"/>
        <v>154599.84</v>
      </c>
      <c r="J12" s="4">
        <f t="shared" si="0"/>
        <v>5482896.9855727814</v>
      </c>
      <c r="K12">
        <f t="shared" si="4"/>
        <v>0</v>
      </c>
      <c r="L12" s="5">
        <f t="shared" si="5"/>
        <v>4998431.224964112</v>
      </c>
      <c r="M12">
        <f t="shared" si="6"/>
        <v>827.55483857021727</v>
      </c>
      <c r="N12">
        <f t="shared" si="7"/>
        <v>0</v>
      </c>
      <c r="O12">
        <f t="shared" si="8"/>
        <v>0</v>
      </c>
      <c r="Q12" t="s">
        <v>470</v>
      </c>
      <c r="R12" s="4" cm="1">
        <f t="array" ref="R12">SUMPRODUCT($D$2:$D$80,1-$K2:$K80)</f>
        <v>3069110653</v>
      </c>
    </row>
    <row r="13" spans="1:18" x14ac:dyDescent="0.55000000000000004">
      <c r="A13" t="s">
        <v>11</v>
      </c>
      <c r="B13">
        <v>87094189</v>
      </c>
      <c r="C13">
        <v>28064781</v>
      </c>
      <c r="D13">
        <v>59029408</v>
      </c>
      <c r="E13">
        <v>9912468</v>
      </c>
      <c r="F13">
        <v>38299</v>
      </c>
      <c r="G13">
        <f t="shared" si="1"/>
        <v>258.81793258309614</v>
      </c>
      <c r="H13">
        <f t="shared" si="2"/>
        <v>1</v>
      </c>
      <c r="I13" s="5">
        <f t="shared" si="3"/>
        <v>980301.20400000003</v>
      </c>
      <c r="J13" s="4">
        <f t="shared" si="0"/>
        <v>10873261.093905773</v>
      </c>
      <c r="K13">
        <f t="shared" si="4"/>
        <v>0</v>
      </c>
      <c r="L13" s="5">
        <f t="shared" si="5"/>
        <v>9912505.7268039044</v>
      </c>
      <c r="M13">
        <f t="shared" si="6"/>
        <v>258.81891764286024</v>
      </c>
      <c r="N13">
        <f t="shared" si="7"/>
        <v>0</v>
      </c>
      <c r="O13">
        <f t="shared" si="8"/>
        <v>0</v>
      </c>
    </row>
    <row r="14" spans="1:18" x14ac:dyDescent="0.55000000000000004">
      <c r="A14" t="s">
        <v>12</v>
      </c>
      <c r="B14">
        <v>165458394</v>
      </c>
      <c r="C14">
        <v>90936723</v>
      </c>
      <c r="D14">
        <v>74521671</v>
      </c>
      <c r="E14">
        <v>12513994</v>
      </c>
      <c r="F14">
        <v>126960</v>
      </c>
      <c r="G14">
        <f t="shared" si="1"/>
        <v>98.566430371770636</v>
      </c>
      <c r="H14">
        <f t="shared" si="2"/>
        <v>1</v>
      </c>
      <c r="I14" s="5">
        <f t="shared" si="3"/>
        <v>3249668.16</v>
      </c>
      <c r="J14" s="4">
        <f t="shared" si="0"/>
        <v>13726947.52312519</v>
      </c>
      <c r="K14">
        <f t="shared" si="4"/>
        <v>0</v>
      </c>
      <c r="L14" s="5">
        <f t="shared" si="5"/>
        <v>12514041.993416172</v>
      </c>
      <c r="M14">
        <f t="shared" si="6"/>
        <v>98.56680839174679</v>
      </c>
      <c r="N14">
        <f t="shared" si="7"/>
        <v>0</v>
      </c>
      <c r="O14">
        <f t="shared" si="8"/>
        <v>0</v>
      </c>
    </row>
    <row r="15" spans="1:18" x14ac:dyDescent="0.55000000000000004">
      <c r="A15" t="s">
        <v>13</v>
      </c>
      <c r="B15">
        <v>403601636</v>
      </c>
      <c r="C15">
        <v>253519144</v>
      </c>
      <c r="D15">
        <v>150082492</v>
      </c>
      <c r="E15">
        <v>25202486</v>
      </c>
      <c r="F15">
        <v>392110</v>
      </c>
      <c r="G15">
        <f t="shared" si="1"/>
        <v>64.274020045395432</v>
      </c>
      <c r="H15">
        <f t="shared" si="2"/>
        <v>1</v>
      </c>
      <c r="I15" s="5">
        <f t="shared" si="3"/>
        <v>10036447.560000001</v>
      </c>
      <c r="J15" s="4">
        <f t="shared" si="0"/>
        <v>27645307.253293555</v>
      </c>
      <c r="K15">
        <f t="shared" si="4"/>
        <v>0</v>
      </c>
      <c r="L15" s="5">
        <f t="shared" si="5"/>
        <v>25202583.116588283</v>
      </c>
      <c r="M15">
        <f t="shared" si="6"/>
        <v>64.274267722292933</v>
      </c>
      <c r="N15">
        <f t="shared" si="7"/>
        <v>0</v>
      </c>
      <c r="O15">
        <f t="shared" si="8"/>
        <v>0</v>
      </c>
      <c r="Q15" t="s">
        <v>469</v>
      </c>
      <c r="R15" s="4">
        <f>SUM(L2:L80)</f>
        <v>580790946.99999988</v>
      </c>
    </row>
    <row r="16" spans="1:18" x14ac:dyDescent="0.55000000000000004">
      <c r="A16" t="s">
        <v>14</v>
      </c>
      <c r="B16">
        <v>29646668</v>
      </c>
      <c r="C16">
        <v>8025091</v>
      </c>
      <c r="D16">
        <v>21621577</v>
      </c>
      <c r="E16">
        <v>3630787</v>
      </c>
      <c r="F16">
        <v>13574</v>
      </c>
      <c r="G16">
        <f t="shared" si="1"/>
        <v>267.48099307499632</v>
      </c>
      <c r="H16">
        <f t="shared" si="2"/>
        <v>1</v>
      </c>
      <c r="I16" s="5">
        <f t="shared" si="3"/>
        <v>347440.10399999999</v>
      </c>
      <c r="J16" s="4">
        <f t="shared" si="0"/>
        <v>3982710.6513246405</v>
      </c>
      <c r="K16">
        <f t="shared" si="4"/>
        <v>0</v>
      </c>
      <c r="L16" s="5">
        <f t="shared" si="5"/>
        <v>3630800.5297127762</v>
      </c>
      <c r="M16">
        <f t="shared" si="6"/>
        <v>267.48198981234538</v>
      </c>
      <c r="N16">
        <f t="shared" si="7"/>
        <v>0</v>
      </c>
      <c r="O16">
        <f t="shared" si="8"/>
        <v>0</v>
      </c>
    </row>
    <row r="17" spans="1:18" x14ac:dyDescent="0.55000000000000004">
      <c r="A17" t="s">
        <v>15</v>
      </c>
      <c r="B17">
        <v>55858673</v>
      </c>
      <c r="C17">
        <v>23909709</v>
      </c>
      <c r="D17">
        <v>31948964</v>
      </c>
      <c r="E17">
        <v>5365005</v>
      </c>
      <c r="F17">
        <v>22273</v>
      </c>
      <c r="G17">
        <f t="shared" si="1"/>
        <v>240.87482602253849</v>
      </c>
      <c r="H17">
        <f t="shared" si="2"/>
        <v>1</v>
      </c>
      <c r="I17" s="5">
        <f t="shared" si="3"/>
        <v>570099.70799999998</v>
      </c>
      <c r="J17" s="4">
        <f t="shared" si="0"/>
        <v>5885023.0592147596</v>
      </c>
      <c r="K17">
        <f t="shared" si="4"/>
        <v>0</v>
      </c>
      <c r="L17" s="5">
        <f t="shared" si="5"/>
        <v>5365025.6600142727</v>
      </c>
      <c r="M17">
        <f t="shared" si="6"/>
        <v>240.8757536036579</v>
      </c>
      <c r="N17">
        <f t="shared" si="7"/>
        <v>0</v>
      </c>
      <c r="O17">
        <f t="shared" si="8"/>
        <v>0</v>
      </c>
      <c r="Q17" t="s">
        <v>474</v>
      </c>
      <c r="R17" s="4" cm="1">
        <f t="array" ref="R17">IF(R8=30%, 0, SUMPRODUCT(IF(O2:O80 &lt; 0, 1, 0), O2:O80, F2:F80)/SUMPRODUCT(IF(O2:O80 &lt; 0, 1, 0), F2:F80))</f>
        <v>0</v>
      </c>
    </row>
    <row r="18" spans="1:18" x14ac:dyDescent="0.55000000000000004">
      <c r="A18" t="s">
        <v>16</v>
      </c>
      <c r="B18">
        <v>51229268</v>
      </c>
      <c r="C18">
        <v>18583487</v>
      </c>
      <c r="D18">
        <v>32645781</v>
      </c>
      <c r="E18">
        <v>5482017</v>
      </c>
      <c r="F18">
        <v>15948</v>
      </c>
      <c r="G18">
        <f t="shared" si="1"/>
        <v>343.74322799097064</v>
      </c>
      <c r="H18">
        <f t="shared" si="2"/>
        <v>1</v>
      </c>
      <c r="I18" s="5">
        <f t="shared" si="3"/>
        <v>408205.00799999997</v>
      </c>
      <c r="J18" s="4">
        <f t="shared" si="0"/>
        <v>6013377.2716722544</v>
      </c>
      <c r="K18">
        <f t="shared" si="4"/>
        <v>0</v>
      </c>
      <c r="L18" s="5">
        <f t="shared" si="5"/>
        <v>5482038.5648876252</v>
      </c>
      <c r="M18">
        <f t="shared" si="6"/>
        <v>343.74458019109767</v>
      </c>
      <c r="N18">
        <f t="shared" si="7"/>
        <v>0</v>
      </c>
      <c r="O18">
        <f t="shared" si="8"/>
        <v>0</v>
      </c>
    </row>
    <row r="19" spans="1:18" x14ac:dyDescent="0.55000000000000004">
      <c r="A19" t="s">
        <v>17</v>
      </c>
      <c r="B19">
        <v>176402674</v>
      </c>
      <c r="C19">
        <v>173106107</v>
      </c>
      <c r="D19">
        <v>3296566</v>
      </c>
      <c r="E19">
        <v>3984983</v>
      </c>
      <c r="F19">
        <v>155683</v>
      </c>
      <c r="G19">
        <f t="shared" si="1"/>
        <v>25.596776783592301</v>
      </c>
      <c r="H19">
        <f t="shared" si="2"/>
        <v>1</v>
      </c>
      <c r="I19" s="5">
        <f t="shared" si="3"/>
        <v>3984862.068</v>
      </c>
      <c r="J19" s="4">
        <f t="shared" si="0"/>
        <v>607229.92226675537</v>
      </c>
      <c r="K19">
        <f t="shared" si="4"/>
        <v>1</v>
      </c>
      <c r="L19" s="5">
        <f t="shared" si="5"/>
        <v>3984862.068</v>
      </c>
      <c r="M19">
        <f t="shared" si="6"/>
        <v>25.596</v>
      </c>
      <c r="N19">
        <f t="shared" si="7"/>
        <v>0</v>
      </c>
      <c r="O19">
        <f t="shared" si="8"/>
        <v>0</v>
      </c>
    </row>
    <row r="20" spans="1:18" x14ac:dyDescent="0.55000000000000004">
      <c r="A20" t="s">
        <v>18</v>
      </c>
      <c r="B20">
        <v>121535613</v>
      </c>
      <c r="C20">
        <v>37233702</v>
      </c>
      <c r="D20">
        <v>84301912</v>
      </c>
      <c r="E20">
        <v>14156333</v>
      </c>
      <c r="F20">
        <v>49179</v>
      </c>
      <c r="G20">
        <f t="shared" si="1"/>
        <v>287.85320970332867</v>
      </c>
      <c r="H20">
        <f t="shared" si="2"/>
        <v>1</v>
      </c>
      <c r="I20" s="5">
        <f t="shared" si="3"/>
        <v>1258785.6839999999</v>
      </c>
      <c r="J20" s="4">
        <f t="shared" si="0"/>
        <v>15528475.228677008</v>
      </c>
      <c r="K20">
        <f t="shared" si="4"/>
        <v>0</v>
      </c>
      <c r="L20" s="5">
        <f t="shared" si="5"/>
        <v>14156387.702219864</v>
      </c>
      <c r="M20">
        <f t="shared" si="6"/>
        <v>287.85432201183158</v>
      </c>
      <c r="N20">
        <f t="shared" si="7"/>
        <v>0</v>
      </c>
      <c r="O20">
        <f t="shared" si="8"/>
        <v>0</v>
      </c>
    </row>
    <row r="21" spans="1:18" x14ac:dyDescent="0.55000000000000004">
      <c r="A21" t="s">
        <v>19</v>
      </c>
      <c r="B21">
        <v>164659472</v>
      </c>
      <c r="C21">
        <v>110884732</v>
      </c>
      <c r="D21">
        <v>53774741</v>
      </c>
      <c r="E21">
        <v>9030082</v>
      </c>
      <c r="F21">
        <v>142826</v>
      </c>
      <c r="G21">
        <f t="shared" si="1"/>
        <v>63.224356909806339</v>
      </c>
      <c r="H21">
        <f t="shared" si="2"/>
        <v>1</v>
      </c>
      <c r="I21" s="5">
        <f t="shared" si="3"/>
        <v>3655774.2960000001</v>
      </c>
      <c r="J21" s="4">
        <f t="shared" si="0"/>
        <v>9905347.5032336377</v>
      </c>
      <c r="K21">
        <f t="shared" si="4"/>
        <v>0</v>
      </c>
      <c r="L21" s="5">
        <f t="shared" si="5"/>
        <v>9030116.4483963102</v>
      </c>
      <c r="M21">
        <f t="shared" si="6"/>
        <v>63.224598101160225</v>
      </c>
      <c r="N21">
        <f t="shared" si="7"/>
        <v>0</v>
      </c>
      <c r="O21">
        <f t="shared" si="8"/>
        <v>0</v>
      </c>
    </row>
    <row r="22" spans="1:18" x14ac:dyDescent="0.55000000000000004">
      <c r="A22" t="s">
        <v>20</v>
      </c>
      <c r="B22">
        <v>33504167</v>
      </c>
      <c r="C22">
        <v>6657903</v>
      </c>
      <c r="D22">
        <v>26846264</v>
      </c>
      <c r="E22">
        <v>4508138</v>
      </c>
      <c r="F22">
        <v>10420</v>
      </c>
      <c r="G22">
        <f t="shared" si="1"/>
        <v>432.64280230326295</v>
      </c>
      <c r="H22">
        <f t="shared" si="2"/>
        <v>1</v>
      </c>
      <c r="I22" s="5">
        <f t="shared" si="3"/>
        <v>266710.32</v>
      </c>
      <c r="J22" s="4">
        <f t="shared" si="0"/>
        <v>4945101.9035786903</v>
      </c>
      <c r="K22">
        <f t="shared" si="4"/>
        <v>0</v>
      </c>
      <c r="L22" s="5">
        <f t="shared" si="5"/>
        <v>4508155.4204861671</v>
      </c>
      <c r="M22">
        <f t="shared" si="6"/>
        <v>432.64447413494884</v>
      </c>
      <c r="N22">
        <f t="shared" si="7"/>
        <v>0</v>
      </c>
      <c r="O22">
        <f t="shared" si="8"/>
        <v>0</v>
      </c>
    </row>
    <row r="23" spans="1:18" x14ac:dyDescent="0.55000000000000004">
      <c r="A23" t="s">
        <v>21</v>
      </c>
      <c r="B23">
        <v>170583925</v>
      </c>
      <c r="C23">
        <v>208219657</v>
      </c>
      <c r="D23">
        <v>-37635732</v>
      </c>
      <c r="E23">
        <v>4014521</v>
      </c>
      <c r="F23">
        <v>156837</v>
      </c>
      <c r="G23">
        <f t="shared" si="1"/>
        <v>25.59677244527758</v>
      </c>
      <c r="H23">
        <f t="shared" si="2"/>
        <v>0</v>
      </c>
      <c r="I23" s="5">
        <f t="shared" si="3"/>
        <v>4014399.852</v>
      </c>
      <c r="J23" s="4">
        <f t="shared" si="0"/>
        <v>0</v>
      </c>
      <c r="K23">
        <f t="shared" si="4"/>
        <v>1</v>
      </c>
      <c r="L23" s="5">
        <f t="shared" si="5"/>
        <v>4014399.852</v>
      </c>
      <c r="M23">
        <f t="shared" si="6"/>
        <v>25.596</v>
      </c>
      <c r="N23">
        <f t="shared" si="7"/>
        <v>0</v>
      </c>
      <c r="O23">
        <f t="shared" si="8"/>
        <v>0</v>
      </c>
    </row>
    <row r="24" spans="1:18" x14ac:dyDescent="0.55000000000000004">
      <c r="A24" t="s">
        <v>22</v>
      </c>
      <c r="B24">
        <v>56627475</v>
      </c>
      <c r="C24">
        <v>18283953</v>
      </c>
      <c r="D24">
        <v>38343522</v>
      </c>
      <c r="E24">
        <v>6438806</v>
      </c>
      <c r="F24">
        <v>20022</v>
      </c>
      <c r="G24">
        <f t="shared" si="1"/>
        <v>321.58655478973128</v>
      </c>
      <c r="H24">
        <f t="shared" si="2"/>
        <v>1</v>
      </c>
      <c r="I24" s="5">
        <f t="shared" si="3"/>
        <v>512483.11200000002</v>
      </c>
      <c r="J24" s="4">
        <f t="shared" si="0"/>
        <v>7062905.4244609764</v>
      </c>
      <c r="K24">
        <f t="shared" si="4"/>
        <v>0</v>
      </c>
      <c r="L24" s="5">
        <f t="shared" si="5"/>
        <v>6438830.9876126749</v>
      </c>
      <c r="M24">
        <f t="shared" si="6"/>
        <v>321.58780279755644</v>
      </c>
      <c r="N24">
        <f t="shared" si="7"/>
        <v>0</v>
      </c>
      <c r="O24">
        <f t="shared" si="8"/>
        <v>0</v>
      </c>
    </row>
    <row r="25" spans="1:18" x14ac:dyDescent="0.55000000000000004">
      <c r="A25" t="s">
        <v>23</v>
      </c>
      <c r="B25">
        <v>47434834</v>
      </c>
      <c r="C25">
        <v>18189024</v>
      </c>
      <c r="D25">
        <v>29245809</v>
      </c>
      <c r="E25">
        <v>4911080</v>
      </c>
      <c r="F25">
        <v>25818</v>
      </c>
      <c r="G25">
        <f t="shared" si="1"/>
        <v>190.21922689596406</v>
      </c>
      <c r="H25">
        <f t="shared" si="2"/>
        <v>1</v>
      </c>
      <c r="I25" s="5">
        <f t="shared" si="3"/>
        <v>660837.52800000005</v>
      </c>
      <c r="J25" s="4">
        <f t="shared" si="0"/>
        <v>5387099.8868817957</v>
      </c>
      <c r="K25">
        <f t="shared" si="4"/>
        <v>0</v>
      </c>
      <c r="L25" s="5">
        <f t="shared" si="5"/>
        <v>4911098.7051998423</v>
      </c>
      <c r="M25">
        <f t="shared" si="6"/>
        <v>190.21995139824318</v>
      </c>
      <c r="N25">
        <f t="shared" si="7"/>
        <v>0</v>
      </c>
      <c r="O25">
        <f t="shared" si="8"/>
        <v>0</v>
      </c>
    </row>
    <row r="26" spans="1:18" x14ac:dyDescent="0.55000000000000004">
      <c r="A26" t="s">
        <v>24</v>
      </c>
      <c r="B26">
        <v>185859051</v>
      </c>
      <c r="C26">
        <v>80908814</v>
      </c>
      <c r="D26">
        <v>104950237</v>
      </c>
      <c r="E26">
        <v>17623687</v>
      </c>
      <c r="F26">
        <v>124174</v>
      </c>
      <c r="G26">
        <f t="shared" si="1"/>
        <v>141.92735194163029</v>
      </c>
      <c r="H26">
        <f t="shared" si="2"/>
        <v>1</v>
      </c>
      <c r="I26" s="5">
        <f t="shared" si="3"/>
        <v>3178357.7039999999</v>
      </c>
      <c r="J26" s="4">
        <f t="shared" si="0"/>
        <v>19331912.133834891</v>
      </c>
      <c r="K26">
        <f t="shared" si="4"/>
        <v>0</v>
      </c>
      <c r="L26" s="5">
        <f t="shared" si="5"/>
        <v>17623755.015329428</v>
      </c>
      <c r="M26">
        <f t="shared" si="6"/>
        <v>141.92789968374561</v>
      </c>
      <c r="N26">
        <f t="shared" si="7"/>
        <v>0</v>
      </c>
      <c r="O26">
        <f t="shared" si="8"/>
        <v>0</v>
      </c>
    </row>
    <row r="27" spans="1:18" x14ac:dyDescent="0.55000000000000004">
      <c r="A27" t="s">
        <v>25</v>
      </c>
      <c r="B27">
        <v>204305263</v>
      </c>
      <c r="C27">
        <v>133895564</v>
      </c>
      <c r="D27">
        <v>70409699</v>
      </c>
      <c r="E27">
        <v>11823494</v>
      </c>
      <c r="F27">
        <v>163792</v>
      </c>
      <c r="G27">
        <f t="shared" si="1"/>
        <v>72.186028621666509</v>
      </c>
      <c r="H27">
        <f t="shared" si="2"/>
        <v>1</v>
      </c>
      <c r="I27" s="5">
        <f t="shared" si="3"/>
        <v>4192420.0320000001</v>
      </c>
      <c r="J27" s="4">
        <f t="shared" si="0"/>
        <v>12969519.205923872</v>
      </c>
      <c r="K27">
        <f t="shared" si="4"/>
        <v>0</v>
      </c>
      <c r="L27" s="5">
        <f t="shared" si="5"/>
        <v>11823539.62553782</v>
      </c>
      <c r="M27">
        <f t="shared" si="6"/>
        <v>72.186307179458211</v>
      </c>
      <c r="N27">
        <f t="shared" si="7"/>
        <v>0</v>
      </c>
      <c r="O27">
        <f t="shared" si="8"/>
        <v>0</v>
      </c>
    </row>
    <row r="28" spans="1:18" x14ac:dyDescent="0.55000000000000004">
      <c r="A28" t="s">
        <v>26</v>
      </c>
      <c r="B28">
        <v>381246930</v>
      </c>
      <c r="C28">
        <v>240886174</v>
      </c>
      <c r="D28">
        <v>140360756</v>
      </c>
      <c r="E28">
        <v>23569971</v>
      </c>
      <c r="F28">
        <v>282809</v>
      </c>
      <c r="G28">
        <f t="shared" si="1"/>
        <v>83.342365341979928</v>
      </c>
      <c r="H28">
        <f t="shared" si="2"/>
        <v>1</v>
      </c>
      <c r="I28" s="5">
        <f t="shared" si="3"/>
        <v>7238779.1639999999</v>
      </c>
      <c r="J28" s="4">
        <f t="shared" si="0"/>
        <v>25854556.21248991</v>
      </c>
      <c r="K28">
        <f t="shared" si="4"/>
        <v>0</v>
      </c>
      <c r="L28" s="5">
        <f t="shared" si="5"/>
        <v>23570061.852365617</v>
      </c>
      <c r="M28">
        <f t="shared" si="6"/>
        <v>83.34268659188929</v>
      </c>
      <c r="N28">
        <f t="shared" si="7"/>
        <v>0</v>
      </c>
      <c r="O28">
        <f t="shared" si="8"/>
        <v>0</v>
      </c>
    </row>
    <row r="29" spans="1:18" x14ac:dyDescent="0.55000000000000004">
      <c r="A29" t="s">
        <v>27</v>
      </c>
      <c r="B29">
        <v>117606715</v>
      </c>
      <c r="C29">
        <v>40871415</v>
      </c>
      <c r="D29">
        <v>76735300</v>
      </c>
      <c r="E29">
        <v>12885716</v>
      </c>
      <c r="F29">
        <v>69135</v>
      </c>
      <c r="G29">
        <f t="shared" si="1"/>
        <v>186.38484125262167</v>
      </c>
      <c r="H29">
        <f t="shared" si="2"/>
        <v>1</v>
      </c>
      <c r="I29" s="5">
        <f t="shared" si="3"/>
        <v>1769579.46</v>
      </c>
      <c r="J29" s="4">
        <f t="shared" si="0"/>
        <v>14134699.640206248</v>
      </c>
      <c r="K29">
        <f t="shared" si="4"/>
        <v>0</v>
      </c>
      <c r="L29" s="5">
        <f t="shared" si="5"/>
        <v>12885765.357802941</v>
      </c>
      <c r="M29">
        <f t="shared" si="6"/>
        <v>186.38555518627237</v>
      </c>
      <c r="N29">
        <f t="shared" si="7"/>
        <v>0</v>
      </c>
      <c r="O29">
        <f t="shared" si="8"/>
        <v>0</v>
      </c>
    </row>
    <row r="30" spans="1:18" x14ac:dyDescent="0.55000000000000004">
      <c r="A30" t="s">
        <v>28</v>
      </c>
      <c r="B30">
        <v>38293801</v>
      </c>
      <c r="C30">
        <v>12763984</v>
      </c>
      <c r="D30">
        <v>25529817</v>
      </c>
      <c r="E30">
        <v>4287075</v>
      </c>
      <c r="F30">
        <v>16670</v>
      </c>
      <c r="G30">
        <f t="shared" si="1"/>
        <v>257.17306538692259</v>
      </c>
      <c r="H30">
        <f t="shared" si="2"/>
        <v>1</v>
      </c>
      <c r="I30" s="5">
        <f t="shared" si="3"/>
        <v>426685.32</v>
      </c>
      <c r="J30" s="4">
        <f t="shared" si="0"/>
        <v>4702611.3817816749</v>
      </c>
      <c r="K30">
        <f t="shared" si="4"/>
        <v>0</v>
      </c>
      <c r="L30" s="5">
        <f t="shared" si="5"/>
        <v>4287091.2277615201</v>
      </c>
      <c r="M30">
        <f t="shared" si="6"/>
        <v>257.17403885791964</v>
      </c>
      <c r="N30">
        <f t="shared" si="7"/>
        <v>0</v>
      </c>
      <c r="O30">
        <f t="shared" si="8"/>
        <v>0</v>
      </c>
    </row>
    <row r="31" spans="1:18" x14ac:dyDescent="0.55000000000000004">
      <c r="A31" t="s">
        <v>29</v>
      </c>
      <c r="B31">
        <v>25328305</v>
      </c>
      <c r="C31">
        <v>4552293</v>
      </c>
      <c r="D31">
        <v>20776012</v>
      </c>
      <c r="E31">
        <v>3488796</v>
      </c>
      <c r="F31">
        <v>5559</v>
      </c>
      <c r="G31">
        <f t="shared" si="1"/>
        <v>627.59417161359954</v>
      </c>
      <c r="H31">
        <f t="shared" si="2"/>
        <v>1</v>
      </c>
      <c r="I31" s="5">
        <f t="shared" si="3"/>
        <v>142288.16399999999</v>
      </c>
      <c r="J31" s="4">
        <f t="shared" si="0"/>
        <v>3826956.9460381428</v>
      </c>
      <c r="K31">
        <f t="shared" si="4"/>
        <v>0</v>
      </c>
      <c r="L31" s="5">
        <f t="shared" si="5"/>
        <v>3488809.1361198584</v>
      </c>
      <c r="M31">
        <f t="shared" si="6"/>
        <v>627.59653465009148</v>
      </c>
      <c r="N31">
        <f t="shared" si="7"/>
        <v>0</v>
      </c>
      <c r="O31">
        <f t="shared" si="8"/>
        <v>0</v>
      </c>
    </row>
    <row r="32" spans="1:18" x14ac:dyDescent="0.55000000000000004">
      <c r="A32" t="s">
        <v>30</v>
      </c>
      <c r="B32">
        <v>106262899</v>
      </c>
      <c r="C32">
        <v>108692334</v>
      </c>
      <c r="D32">
        <v>-2429434</v>
      </c>
      <c r="E32">
        <v>2399390</v>
      </c>
      <c r="F32">
        <v>93738</v>
      </c>
      <c r="G32">
        <f t="shared" si="1"/>
        <v>25.596769719857477</v>
      </c>
      <c r="H32">
        <f t="shared" si="2"/>
        <v>0</v>
      </c>
      <c r="I32" s="5">
        <f t="shared" si="3"/>
        <v>2399317.8480000002</v>
      </c>
      <c r="J32" s="4">
        <f t="shared" si="0"/>
        <v>0</v>
      </c>
      <c r="K32">
        <f t="shared" si="4"/>
        <v>1</v>
      </c>
      <c r="L32" s="5">
        <f t="shared" si="5"/>
        <v>2399317.8480000002</v>
      </c>
      <c r="M32">
        <f t="shared" si="6"/>
        <v>25.596000000000004</v>
      </c>
      <c r="N32">
        <f t="shared" si="7"/>
        <v>0</v>
      </c>
      <c r="O32">
        <f t="shared" si="8"/>
        <v>0</v>
      </c>
    </row>
    <row r="33" spans="1:15" x14ac:dyDescent="0.55000000000000004">
      <c r="A33" t="s">
        <v>31</v>
      </c>
      <c r="B33">
        <v>45700824</v>
      </c>
      <c r="C33">
        <v>15213809</v>
      </c>
      <c r="D33">
        <v>30487015</v>
      </c>
      <c r="E33">
        <v>5119508</v>
      </c>
      <c r="F33">
        <v>20315</v>
      </c>
      <c r="G33">
        <f t="shared" si="1"/>
        <v>252.00630076298302</v>
      </c>
      <c r="H33">
        <f t="shared" si="2"/>
        <v>1</v>
      </c>
      <c r="I33" s="5">
        <f t="shared" si="3"/>
        <v>519982.74</v>
      </c>
      <c r="J33" s="4">
        <f t="shared" si="0"/>
        <v>5615730.9602159951</v>
      </c>
      <c r="K33">
        <f t="shared" si="4"/>
        <v>0</v>
      </c>
      <c r="L33" s="5">
        <f t="shared" si="5"/>
        <v>5119528.0627015019</v>
      </c>
      <c r="M33">
        <f t="shared" si="6"/>
        <v>252.00728834366242</v>
      </c>
      <c r="N33">
        <f t="shared" si="7"/>
        <v>0</v>
      </c>
      <c r="O33">
        <f t="shared" si="8"/>
        <v>0</v>
      </c>
    </row>
    <row r="34" spans="1:15" x14ac:dyDescent="0.55000000000000004">
      <c r="A34" t="s">
        <v>32</v>
      </c>
      <c r="B34">
        <v>307344089</v>
      </c>
      <c r="C34">
        <v>195146145</v>
      </c>
      <c r="D34">
        <v>112197945</v>
      </c>
      <c r="E34">
        <v>18840753</v>
      </c>
      <c r="F34">
        <v>262764</v>
      </c>
      <c r="G34">
        <f t="shared" si="1"/>
        <v>71.702185230853544</v>
      </c>
      <c r="H34">
        <f t="shared" si="2"/>
        <v>1</v>
      </c>
      <c r="I34" s="5">
        <f t="shared" si="3"/>
        <v>6725707.3439999996</v>
      </c>
      <c r="J34" s="4">
        <f t="shared" ref="J34:J65" si="9" xml:space="preserve"> (D34 * H34)/$R$11 * $R$5</f>
        <v>20666945.367039423</v>
      </c>
      <c r="K34">
        <f t="shared" si="4"/>
        <v>0</v>
      </c>
      <c r="L34" s="5">
        <f t="shared" si="5"/>
        <v>18840825.446667694</v>
      </c>
      <c r="M34">
        <f t="shared" si="6"/>
        <v>71.702460940873536</v>
      </c>
      <c r="N34">
        <f t="shared" si="7"/>
        <v>0</v>
      </c>
      <c r="O34">
        <f t="shared" si="8"/>
        <v>0</v>
      </c>
    </row>
    <row r="35" spans="1:15" x14ac:dyDescent="0.55000000000000004">
      <c r="A35" t="s">
        <v>33</v>
      </c>
      <c r="B35">
        <v>37704082</v>
      </c>
      <c r="C35">
        <v>13398593</v>
      </c>
      <c r="D35">
        <v>24305489</v>
      </c>
      <c r="E35">
        <v>4081480</v>
      </c>
      <c r="F35">
        <v>17662</v>
      </c>
      <c r="G35">
        <f t="shared" si="1"/>
        <v>231.08821198052317</v>
      </c>
      <c r="H35">
        <f t="shared" si="2"/>
        <v>1</v>
      </c>
      <c r="I35" s="5">
        <f t="shared" si="3"/>
        <v>452076.55200000003</v>
      </c>
      <c r="J35" s="4">
        <f t="shared" si="9"/>
        <v>4477089.2486683037</v>
      </c>
      <c r="K35">
        <f t="shared" si="4"/>
        <v>0</v>
      </c>
      <c r="L35" s="5">
        <f t="shared" si="5"/>
        <v>4081496.1062335121</v>
      </c>
      <c r="M35">
        <f t="shared" si="6"/>
        <v>231.08912389500125</v>
      </c>
      <c r="N35">
        <f t="shared" si="7"/>
        <v>0</v>
      </c>
      <c r="O35">
        <f t="shared" si="8"/>
        <v>0</v>
      </c>
    </row>
    <row r="36" spans="1:15" x14ac:dyDescent="0.55000000000000004">
      <c r="A36" t="s">
        <v>34</v>
      </c>
      <c r="B36">
        <v>186327019</v>
      </c>
      <c r="C36">
        <v>195135846</v>
      </c>
      <c r="D36">
        <v>-8808827</v>
      </c>
      <c r="E36">
        <v>4190806</v>
      </c>
      <c r="F36">
        <v>163724</v>
      </c>
      <c r="G36">
        <f t="shared" si="1"/>
        <v>25.596772617331606</v>
      </c>
      <c r="H36">
        <f t="shared" si="2"/>
        <v>0</v>
      </c>
      <c r="I36" s="5">
        <f t="shared" si="3"/>
        <v>4190679.5040000002</v>
      </c>
      <c r="J36" s="4">
        <f t="shared" si="9"/>
        <v>0</v>
      </c>
      <c r="K36">
        <f t="shared" si="4"/>
        <v>1</v>
      </c>
      <c r="L36" s="5">
        <f t="shared" si="5"/>
        <v>4190679.5040000002</v>
      </c>
      <c r="M36">
        <f t="shared" si="6"/>
        <v>25.596</v>
      </c>
      <c r="N36">
        <f t="shared" si="7"/>
        <v>0</v>
      </c>
      <c r="O36">
        <f t="shared" si="8"/>
        <v>0</v>
      </c>
    </row>
    <row r="37" spans="1:15" x14ac:dyDescent="0.55000000000000004">
      <c r="A37" t="s">
        <v>35</v>
      </c>
      <c r="B37">
        <v>181106533</v>
      </c>
      <c r="C37">
        <v>135555697</v>
      </c>
      <c r="D37">
        <v>45550836</v>
      </c>
      <c r="E37">
        <v>7649089</v>
      </c>
      <c r="F37">
        <v>161766</v>
      </c>
      <c r="G37">
        <f t="shared" si="1"/>
        <v>47.284899175352052</v>
      </c>
      <c r="H37">
        <f t="shared" si="2"/>
        <v>1</v>
      </c>
      <c r="I37" s="5">
        <f t="shared" si="3"/>
        <v>4140562.5359999998</v>
      </c>
      <c r="J37" s="4">
        <f t="shared" si="9"/>
        <v>8390498.0526601672</v>
      </c>
      <c r="K37">
        <f t="shared" si="4"/>
        <v>0</v>
      </c>
      <c r="L37" s="5">
        <f t="shared" si="5"/>
        <v>7649118.2617095783</v>
      </c>
      <c r="M37">
        <f t="shared" si="6"/>
        <v>47.285080064473242</v>
      </c>
      <c r="N37">
        <f t="shared" si="7"/>
        <v>0</v>
      </c>
      <c r="O37">
        <f t="shared" si="8"/>
        <v>0</v>
      </c>
    </row>
    <row r="38" spans="1:15" x14ac:dyDescent="0.55000000000000004">
      <c r="A38" t="s">
        <v>36</v>
      </c>
      <c r="B38">
        <v>128030998</v>
      </c>
      <c r="C38">
        <v>52285367</v>
      </c>
      <c r="D38">
        <v>75745631</v>
      </c>
      <c r="E38">
        <v>12719527</v>
      </c>
      <c r="F38">
        <v>78154</v>
      </c>
      <c r="G38">
        <f t="shared" si="1"/>
        <v>162.74953297336029</v>
      </c>
      <c r="H38">
        <f t="shared" si="2"/>
        <v>1</v>
      </c>
      <c r="I38" s="5">
        <f t="shared" si="3"/>
        <v>2000429.784</v>
      </c>
      <c r="J38" s="4">
        <f t="shared" si="9"/>
        <v>13952401.870363383</v>
      </c>
      <c r="K38">
        <f t="shared" si="4"/>
        <v>0</v>
      </c>
      <c r="L38" s="5">
        <f t="shared" si="5"/>
        <v>12719575.318591632</v>
      </c>
      <c r="M38">
        <f t="shared" si="6"/>
        <v>162.75015122183933</v>
      </c>
      <c r="N38">
        <f t="shared" si="7"/>
        <v>0</v>
      </c>
      <c r="O38">
        <f t="shared" si="8"/>
        <v>0</v>
      </c>
    </row>
    <row r="39" spans="1:15" x14ac:dyDescent="0.55000000000000004">
      <c r="A39" t="s">
        <v>37</v>
      </c>
      <c r="B39">
        <v>45637731</v>
      </c>
      <c r="C39">
        <v>7226317</v>
      </c>
      <c r="D39">
        <v>38411414</v>
      </c>
      <c r="E39">
        <v>6450207</v>
      </c>
      <c r="F39">
        <v>7747</v>
      </c>
      <c r="G39">
        <f t="shared" si="1"/>
        <v>832.60707370595071</v>
      </c>
      <c r="H39">
        <f t="shared" si="2"/>
        <v>1</v>
      </c>
      <c r="I39" s="5">
        <f t="shared" si="3"/>
        <v>198292.212</v>
      </c>
      <c r="J39" s="4">
        <f t="shared" si="9"/>
        <v>7075411.1816284452</v>
      </c>
      <c r="K39">
        <f t="shared" si="4"/>
        <v>0</v>
      </c>
      <c r="L39" s="5">
        <f t="shared" si="5"/>
        <v>6450231.742958284</v>
      </c>
      <c r="M39">
        <f t="shared" si="6"/>
        <v>832.61026758206845</v>
      </c>
      <c r="N39">
        <f t="shared" si="7"/>
        <v>0</v>
      </c>
      <c r="O39">
        <f t="shared" si="8"/>
        <v>0</v>
      </c>
    </row>
    <row r="40" spans="1:15" x14ac:dyDescent="0.55000000000000004">
      <c r="A40" t="s">
        <v>38</v>
      </c>
      <c r="B40">
        <v>85981427</v>
      </c>
      <c r="C40">
        <v>44135008</v>
      </c>
      <c r="D40">
        <v>41846419</v>
      </c>
      <c r="E40">
        <v>7027028</v>
      </c>
      <c r="F40">
        <v>52920</v>
      </c>
      <c r="G40">
        <f t="shared" si="1"/>
        <v>132.78586545729402</v>
      </c>
      <c r="H40">
        <f t="shared" si="2"/>
        <v>1</v>
      </c>
      <c r="I40" s="5">
        <f t="shared" si="3"/>
        <v>1354540.32</v>
      </c>
      <c r="J40" s="4">
        <f t="shared" si="9"/>
        <v>7708141.6712154625</v>
      </c>
      <c r="K40">
        <f t="shared" si="4"/>
        <v>0</v>
      </c>
      <c r="L40" s="5">
        <f t="shared" si="5"/>
        <v>7027054.5146537079</v>
      </c>
      <c r="M40">
        <f t="shared" si="6"/>
        <v>132.78636649005495</v>
      </c>
      <c r="N40">
        <f t="shared" si="7"/>
        <v>0</v>
      </c>
      <c r="O40">
        <f t="shared" si="8"/>
        <v>0</v>
      </c>
    </row>
    <row r="41" spans="1:15" x14ac:dyDescent="0.55000000000000004">
      <c r="A41" t="s">
        <v>39</v>
      </c>
      <c r="B41">
        <v>145227809</v>
      </c>
      <c r="C41">
        <v>153804663</v>
      </c>
      <c r="D41">
        <v>-8576854</v>
      </c>
      <c r="E41">
        <v>3315141</v>
      </c>
      <c r="F41">
        <v>129514</v>
      </c>
      <c r="G41">
        <f t="shared" si="1"/>
        <v>25.596777182389548</v>
      </c>
      <c r="H41">
        <f t="shared" si="2"/>
        <v>0</v>
      </c>
      <c r="I41" s="5">
        <f t="shared" si="3"/>
        <v>3315040.344</v>
      </c>
      <c r="J41" s="4">
        <f t="shared" si="9"/>
        <v>0</v>
      </c>
      <c r="K41">
        <f t="shared" si="4"/>
        <v>1</v>
      </c>
      <c r="L41" s="5">
        <f t="shared" si="5"/>
        <v>3315040.344</v>
      </c>
      <c r="M41">
        <f t="shared" si="6"/>
        <v>25.596</v>
      </c>
      <c r="N41">
        <f t="shared" si="7"/>
        <v>0</v>
      </c>
      <c r="O41">
        <f t="shared" si="8"/>
        <v>0</v>
      </c>
    </row>
    <row r="42" spans="1:15" x14ac:dyDescent="0.55000000000000004">
      <c r="A42" t="s">
        <v>40</v>
      </c>
      <c r="B42">
        <v>29283653</v>
      </c>
      <c r="C42">
        <v>12475046</v>
      </c>
      <c r="D42">
        <v>16808607</v>
      </c>
      <c r="E42">
        <v>2822572</v>
      </c>
      <c r="F42">
        <v>10905</v>
      </c>
      <c r="G42">
        <f t="shared" si="1"/>
        <v>258.83282897753327</v>
      </c>
      <c r="H42">
        <f t="shared" si="2"/>
        <v>1</v>
      </c>
      <c r="I42" s="5">
        <f t="shared" si="3"/>
        <v>279124.38</v>
      </c>
      <c r="J42" s="4">
        <f t="shared" si="9"/>
        <v>3096157.9783394113</v>
      </c>
      <c r="K42">
        <f t="shared" si="4"/>
        <v>0</v>
      </c>
      <c r="L42" s="5">
        <f t="shared" si="5"/>
        <v>2822583.1630751947</v>
      </c>
      <c r="M42">
        <f t="shared" si="6"/>
        <v>258.83385264330076</v>
      </c>
      <c r="N42">
        <f t="shared" si="7"/>
        <v>0</v>
      </c>
      <c r="O42">
        <f t="shared" si="8"/>
        <v>0</v>
      </c>
    </row>
    <row r="43" spans="1:15" x14ac:dyDescent="0.55000000000000004">
      <c r="A43" t="s">
        <v>41</v>
      </c>
      <c r="B43">
        <v>113296752</v>
      </c>
      <c r="C43">
        <v>101898775</v>
      </c>
      <c r="D43">
        <v>11397978</v>
      </c>
      <c r="E43">
        <v>2348811</v>
      </c>
      <c r="F43">
        <v>91762</v>
      </c>
      <c r="G43">
        <f t="shared" si="1"/>
        <v>25.596772084305051</v>
      </c>
      <c r="H43">
        <f t="shared" si="2"/>
        <v>1</v>
      </c>
      <c r="I43" s="5">
        <f t="shared" si="3"/>
        <v>2348740.1520000002</v>
      </c>
      <c r="J43" s="4">
        <f t="shared" si="9"/>
        <v>2099516.070643872</v>
      </c>
      <c r="K43">
        <f t="shared" si="4"/>
        <v>1</v>
      </c>
      <c r="L43" s="5">
        <f t="shared" si="5"/>
        <v>2348740.1520000002</v>
      </c>
      <c r="M43">
        <f t="shared" si="6"/>
        <v>25.596000000000004</v>
      </c>
      <c r="N43">
        <f t="shared" si="7"/>
        <v>0</v>
      </c>
      <c r="O43">
        <f t="shared" si="8"/>
        <v>0</v>
      </c>
    </row>
    <row r="44" spans="1:15" x14ac:dyDescent="0.55000000000000004">
      <c r="A44" t="s">
        <v>42</v>
      </c>
      <c r="B44">
        <v>134093510</v>
      </c>
      <c r="C44">
        <v>106038344</v>
      </c>
      <c r="D44">
        <v>28055166</v>
      </c>
      <c r="E44">
        <v>4711142</v>
      </c>
      <c r="F44">
        <v>117434</v>
      </c>
      <c r="G44">
        <f t="shared" si="1"/>
        <v>40.117359538123544</v>
      </c>
      <c r="H44">
        <f t="shared" si="2"/>
        <v>1</v>
      </c>
      <c r="I44" s="5">
        <f t="shared" si="3"/>
        <v>3005840.6639999999</v>
      </c>
      <c r="J44" s="4">
        <f t="shared" si="9"/>
        <v>5167782.5559569923</v>
      </c>
      <c r="K44">
        <f t="shared" si="4"/>
        <v>0</v>
      </c>
      <c r="L44" s="5">
        <f t="shared" si="5"/>
        <v>4711160.1329532936</v>
      </c>
      <c r="M44">
        <f t="shared" si="6"/>
        <v>40.117513947862577</v>
      </c>
      <c r="N44">
        <f t="shared" si="7"/>
        <v>0</v>
      </c>
      <c r="O44">
        <f t="shared" si="8"/>
        <v>0</v>
      </c>
    </row>
    <row r="45" spans="1:15" x14ac:dyDescent="0.55000000000000004">
      <c r="A45" t="s">
        <v>43</v>
      </c>
      <c r="B45">
        <v>265492305</v>
      </c>
      <c r="C45">
        <v>426897167</v>
      </c>
      <c r="D45">
        <v>-161404862</v>
      </c>
      <c r="E45">
        <v>4540765</v>
      </c>
      <c r="F45">
        <v>177396</v>
      </c>
      <c r="G45">
        <f t="shared" si="1"/>
        <v>25.59677219328508</v>
      </c>
      <c r="H45">
        <f t="shared" si="2"/>
        <v>0</v>
      </c>
      <c r="I45" s="5">
        <f t="shared" si="3"/>
        <v>4540628.0159999998</v>
      </c>
      <c r="J45" s="4">
        <f t="shared" si="9"/>
        <v>0</v>
      </c>
      <c r="K45">
        <f t="shared" si="4"/>
        <v>1</v>
      </c>
      <c r="L45" s="5">
        <f t="shared" si="5"/>
        <v>4540628.0159999998</v>
      </c>
      <c r="M45">
        <f t="shared" si="6"/>
        <v>25.596</v>
      </c>
      <c r="N45">
        <f t="shared" si="7"/>
        <v>0</v>
      </c>
      <c r="O45">
        <f t="shared" si="8"/>
        <v>0</v>
      </c>
    </row>
    <row r="46" spans="1:15" x14ac:dyDescent="0.55000000000000004">
      <c r="A46" t="s">
        <v>44</v>
      </c>
      <c r="B46">
        <v>249173668</v>
      </c>
      <c r="C46">
        <v>108386283</v>
      </c>
      <c r="D46">
        <v>140787384</v>
      </c>
      <c r="E46">
        <v>23641613</v>
      </c>
      <c r="F46">
        <v>206070</v>
      </c>
      <c r="G46">
        <f t="shared" si="1"/>
        <v>114.72612704420828</v>
      </c>
      <c r="H46">
        <f t="shared" si="2"/>
        <v>1</v>
      </c>
      <c r="I46" s="5">
        <f t="shared" si="3"/>
        <v>5274567.72</v>
      </c>
      <c r="J46" s="4">
        <f t="shared" si="9"/>
        <v>25933141.409108702</v>
      </c>
      <c r="K46">
        <f t="shared" si="4"/>
        <v>0</v>
      </c>
      <c r="L46" s="5">
        <f t="shared" si="5"/>
        <v>23641703.304253712</v>
      </c>
      <c r="M46">
        <f t="shared" si="6"/>
        <v>114.7265652654618</v>
      </c>
      <c r="N46">
        <f t="shared" si="7"/>
        <v>0</v>
      </c>
      <c r="O46">
        <f t="shared" si="8"/>
        <v>0</v>
      </c>
    </row>
    <row r="47" spans="1:15" x14ac:dyDescent="0.55000000000000004">
      <c r="A47" t="s">
        <v>45</v>
      </c>
      <c r="B47">
        <v>195819105</v>
      </c>
      <c r="C47">
        <v>183289986</v>
      </c>
      <c r="D47">
        <v>12529119</v>
      </c>
      <c r="E47">
        <v>4638724</v>
      </c>
      <c r="F47">
        <v>181223</v>
      </c>
      <c r="G47">
        <f t="shared" si="1"/>
        <v>25.596773036535097</v>
      </c>
      <c r="H47">
        <f t="shared" si="2"/>
        <v>1</v>
      </c>
      <c r="I47" s="5">
        <f t="shared" si="3"/>
        <v>4638583.9079999998</v>
      </c>
      <c r="J47" s="4">
        <f t="shared" si="9"/>
        <v>2307873.0886749807</v>
      </c>
      <c r="K47">
        <f t="shared" si="4"/>
        <v>1</v>
      </c>
      <c r="L47" s="5">
        <f t="shared" si="5"/>
        <v>4638583.9079999998</v>
      </c>
      <c r="M47">
        <f t="shared" si="6"/>
        <v>25.596</v>
      </c>
      <c r="N47">
        <f t="shared" si="7"/>
        <v>0</v>
      </c>
      <c r="O47">
        <f t="shared" si="8"/>
        <v>0</v>
      </c>
    </row>
    <row r="48" spans="1:15" x14ac:dyDescent="0.55000000000000004">
      <c r="A48" t="s">
        <v>46</v>
      </c>
      <c r="B48">
        <v>118967455</v>
      </c>
      <c r="C48">
        <v>35296312</v>
      </c>
      <c r="D48">
        <v>83671143</v>
      </c>
      <c r="E48">
        <v>14050412</v>
      </c>
      <c r="F48">
        <v>57554</v>
      </c>
      <c r="G48">
        <f t="shared" si="1"/>
        <v>244.12572540570594</v>
      </c>
      <c r="H48">
        <f t="shared" si="2"/>
        <v>1</v>
      </c>
      <c r="I48" s="5">
        <f t="shared" si="3"/>
        <v>1473152.1839999999</v>
      </c>
      <c r="J48" s="4">
        <f t="shared" si="9"/>
        <v>15412287.107208097</v>
      </c>
      <c r="K48">
        <f t="shared" si="4"/>
        <v>0</v>
      </c>
      <c r="L48" s="5">
        <f t="shared" si="5"/>
        <v>14050465.899229897</v>
      </c>
      <c r="M48">
        <f t="shared" si="6"/>
        <v>244.12666190412304</v>
      </c>
      <c r="N48">
        <f t="shared" si="7"/>
        <v>0</v>
      </c>
      <c r="O48">
        <f t="shared" si="8"/>
        <v>0</v>
      </c>
    </row>
    <row r="49" spans="1:15" x14ac:dyDescent="0.55000000000000004">
      <c r="A49" t="s">
        <v>47</v>
      </c>
      <c r="B49">
        <v>86951972</v>
      </c>
      <c r="C49">
        <v>36129323</v>
      </c>
      <c r="D49">
        <v>50822649</v>
      </c>
      <c r="E49">
        <v>8534354</v>
      </c>
      <c r="F49">
        <v>53723</v>
      </c>
      <c r="G49">
        <f t="shared" si="1"/>
        <v>158.85847774696126</v>
      </c>
      <c r="H49">
        <f t="shared" si="2"/>
        <v>1</v>
      </c>
      <c r="I49" s="5">
        <f t="shared" si="3"/>
        <v>1375093.9080000001</v>
      </c>
      <c r="J49" s="4">
        <f t="shared" si="9"/>
        <v>9361569.9493535366</v>
      </c>
      <c r="K49">
        <f t="shared" si="4"/>
        <v>0</v>
      </c>
      <c r="L49" s="5">
        <f t="shared" si="5"/>
        <v>8534386.7799562681</v>
      </c>
      <c r="M49">
        <f t="shared" si="6"/>
        <v>158.85908791311482</v>
      </c>
      <c r="N49">
        <f t="shared" si="7"/>
        <v>0</v>
      </c>
      <c r="O49">
        <f t="shared" si="8"/>
        <v>0</v>
      </c>
    </row>
    <row r="50" spans="1:15" x14ac:dyDescent="0.55000000000000004">
      <c r="A50" t="s">
        <v>48</v>
      </c>
      <c r="B50">
        <v>77406181</v>
      </c>
      <c r="C50">
        <v>23818685</v>
      </c>
      <c r="D50">
        <v>53587496</v>
      </c>
      <c r="E50">
        <v>8998639</v>
      </c>
      <c r="F50">
        <v>30775</v>
      </c>
      <c r="G50">
        <f t="shared" si="1"/>
        <v>292.40094232331438</v>
      </c>
      <c r="H50">
        <f t="shared" si="2"/>
        <v>1</v>
      </c>
      <c r="I50" s="5">
        <f t="shared" si="3"/>
        <v>787716.9</v>
      </c>
      <c r="J50" s="4">
        <f t="shared" si="9"/>
        <v>9870856.8342178073</v>
      </c>
      <c r="K50">
        <f t="shared" si="4"/>
        <v>0</v>
      </c>
      <c r="L50" s="5">
        <f t="shared" si="5"/>
        <v>8998673.3559157737</v>
      </c>
      <c r="M50">
        <f t="shared" si="6"/>
        <v>292.40205868125992</v>
      </c>
      <c r="N50">
        <f t="shared" si="7"/>
        <v>0</v>
      </c>
      <c r="O50">
        <f t="shared" si="8"/>
        <v>0</v>
      </c>
    </row>
    <row r="51" spans="1:15" x14ac:dyDescent="0.55000000000000004">
      <c r="A51" t="s">
        <v>49</v>
      </c>
      <c r="B51">
        <v>248017052</v>
      </c>
      <c r="C51">
        <v>232983848</v>
      </c>
      <c r="D51">
        <v>15033204</v>
      </c>
      <c r="E51">
        <v>5210479</v>
      </c>
      <c r="F51">
        <v>203560</v>
      </c>
      <c r="G51">
        <f t="shared" si="1"/>
        <v>25.596772450383181</v>
      </c>
      <c r="H51">
        <f t="shared" si="2"/>
        <v>1</v>
      </c>
      <c r="I51" s="5">
        <f t="shared" si="3"/>
        <v>5210321.76</v>
      </c>
      <c r="J51" s="4">
        <f t="shared" si="9"/>
        <v>2769127.4181497581</v>
      </c>
      <c r="K51">
        <f t="shared" si="4"/>
        <v>1</v>
      </c>
      <c r="L51" s="5">
        <f t="shared" si="5"/>
        <v>5210321.76</v>
      </c>
      <c r="M51">
        <f t="shared" si="6"/>
        <v>25.596</v>
      </c>
      <c r="N51">
        <f t="shared" si="7"/>
        <v>0</v>
      </c>
      <c r="O51">
        <f t="shared" si="8"/>
        <v>0</v>
      </c>
    </row>
    <row r="52" spans="1:15" x14ac:dyDescent="0.55000000000000004">
      <c r="A52" t="s">
        <v>50</v>
      </c>
      <c r="B52">
        <v>142224879</v>
      </c>
      <c r="C52">
        <v>160571467</v>
      </c>
      <c r="D52">
        <v>-18346588</v>
      </c>
      <c r="E52">
        <v>3237634</v>
      </c>
      <c r="F52">
        <v>126486</v>
      </c>
      <c r="G52">
        <f t="shared" si="1"/>
        <v>25.596777508973325</v>
      </c>
      <c r="H52">
        <f t="shared" si="2"/>
        <v>0</v>
      </c>
      <c r="I52" s="5">
        <f t="shared" si="3"/>
        <v>3237535.656</v>
      </c>
      <c r="J52" s="4">
        <f t="shared" si="9"/>
        <v>0</v>
      </c>
      <c r="K52">
        <f t="shared" si="4"/>
        <v>1</v>
      </c>
      <c r="L52" s="5">
        <f t="shared" si="5"/>
        <v>3237535.656</v>
      </c>
      <c r="M52">
        <f t="shared" si="6"/>
        <v>25.596</v>
      </c>
      <c r="N52">
        <f t="shared" si="7"/>
        <v>0</v>
      </c>
      <c r="O52">
        <f t="shared" si="8"/>
        <v>0</v>
      </c>
    </row>
    <row r="53" spans="1:15" x14ac:dyDescent="0.55000000000000004">
      <c r="A53" t="s">
        <v>51</v>
      </c>
      <c r="B53">
        <v>65245951</v>
      </c>
      <c r="C53">
        <v>28333417</v>
      </c>
      <c r="D53">
        <v>36912534</v>
      </c>
      <c r="E53">
        <v>6198509</v>
      </c>
      <c r="F53">
        <v>39092</v>
      </c>
      <c r="G53">
        <f t="shared" si="1"/>
        <v>158.56208431392614</v>
      </c>
      <c r="H53">
        <f t="shared" si="2"/>
        <v>1</v>
      </c>
      <c r="I53" s="5">
        <f t="shared" si="3"/>
        <v>1000598.8320000001</v>
      </c>
      <c r="J53" s="4">
        <f t="shared" si="9"/>
        <v>6799316.3648138586</v>
      </c>
      <c r="K53">
        <f t="shared" si="4"/>
        <v>0</v>
      </c>
      <c r="L53" s="5">
        <f t="shared" si="5"/>
        <v>6198532.5122326128</v>
      </c>
      <c r="M53">
        <f t="shared" si="6"/>
        <v>158.56268577285923</v>
      </c>
      <c r="N53">
        <f t="shared" si="7"/>
        <v>0</v>
      </c>
      <c r="O53">
        <f t="shared" si="8"/>
        <v>0</v>
      </c>
    </row>
    <row r="54" spans="1:15" x14ac:dyDescent="0.55000000000000004">
      <c r="A54" t="s">
        <v>52</v>
      </c>
      <c r="B54">
        <v>253008274</v>
      </c>
      <c r="C54">
        <v>231875967</v>
      </c>
      <c r="D54">
        <v>21132307</v>
      </c>
      <c r="E54">
        <v>4357672</v>
      </c>
      <c r="F54">
        <v>170243</v>
      </c>
      <c r="G54">
        <f t="shared" si="1"/>
        <v>25.596776372596818</v>
      </c>
      <c r="H54">
        <f t="shared" si="2"/>
        <v>1</v>
      </c>
      <c r="I54" s="5">
        <f t="shared" si="3"/>
        <v>4357539.8279999997</v>
      </c>
      <c r="J54" s="4">
        <f t="shared" si="9"/>
        <v>3892586.751464163</v>
      </c>
      <c r="K54">
        <f t="shared" si="4"/>
        <v>1</v>
      </c>
      <c r="L54" s="5">
        <f t="shared" si="5"/>
        <v>4357539.8279999997</v>
      </c>
      <c r="M54">
        <f t="shared" si="6"/>
        <v>25.596</v>
      </c>
      <c r="N54">
        <f t="shared" si="7"/>
        <v>0</v>
      </c>
      <c r="O54">
        <f t="shared" si="8"/>
        <v>0</v>
      </c>
    </row>
    <row r="55" spans="1:15" x14ac:dyDescent="0.55000000000000004">
      <c r="A55" t="s">
        <v>53</v>
      </c>
      <c r="B55">
        <v>40615549</v>
      </c>
      <c r="C55">
        <v>15187714</v>
      </c>
      <c r="D55">
        <v>25427835</v>
      </c>
      <c r="E55">
        <v>4269949</v>
      </c>
      <c r="F55">
        <v>20576</v>
      </c>
      <c r="G55">
        <f t="shared" si="1"/>
        <v>207.520849533437</v>
      </c>
      <c r="H55">
        <f t="shared" si="2"/>
        <v>1</v>
      </c>
      <c r="I55" s="5">
        <f t="shared" si="3"/>
        <v>526663.29599999997</v>
      </c>
      <c r="J55" s="4">
        <f t="shared" si="9"/>
        <v>4683826.221122792</v>
      </c>
      <c r="K55">
        <f t="shared" si="4"/>
        <v>0</v>
      </c>
      <c r="L55" s="5">
        <f t="shared" si="5"/>
        <v>4269965.9135616738</v>
      </c>
      <c r="M55">
        <f t="shared" si="6"/>
        <v>207.52167153779519</v>
      </c>
      <c r="N55">
        <f t="shared" si="7"/>
        <v>0</v>
      </c>
      <c r="O55">
        <f t="shared" si="8"/>
        <v>0</v>
      </c>
    </row>
    <row r="56" spans="1:15" x14ac:dyDescent="0.55000000000000004">
      <c r="A56" t="s">
        <v>54</v>
      </c>
      <c r="B56">
        <v>58586691</v>
      </c>
      <c r="C56">
        <v>25900228</v>
      </c>
      <c r="D56">
        <v>32686463</v>
      </c>
      <c r="E56">
        <v>5488849</v>
      </c>
      <c r="F56">
        <v>17610</v>
      </c>
      <c r="G56">
        <f t="shared" si="1"/>
        <v>311.68932424758663</v>
      </c>
      <c r="H56">
        <f t="shared" si="2"/>
        <v>1</v>
      </c>
      <c r="I56" s="5">
        <f t="shared" si="3"/>
        <v>450745.56</v>
      </c>
      <c r="J56" s="4">
        <f t="shared" si="9"/>
        <v>6020870.9264929546</v>
      </c>
      <c r="K56">
        <f t="shared" si="4"/>
        <v>0</v>
      </c>
      <c r="L56" s="5">
        <f t="shared" si="5"/>
        <v>5488870.0844918508</v>
      </c>
      <c r="M56">
        <f t="shared" si="6"/>
        <v>311.69052154979278</v>
      </c>
      <c r="N56">
        <f t="shared" si="7"/>
        <v>0</v>
      </c>
      <c r="O56">
        <f t="shared" si="8"/>
        <v>0</v>
      </c>
    </row>
    <row r="57" spans="1:15" x14ac:dyDescent="0.55000000000000004">
      <c r="A57" t="s">
        <v>55</v>
      </c>
      <c r="B57">
        <v>38813993</v>
      </c>
      <c r="C57">
        <v>15945812</v>
      </c>
      <c r="D57">
        <v>22868182</v>
      </c>
      <c r="E57">
        <v>3840122</v>
      </c>
      <c r="F57">
        <v>15482</v>
      </c>
      <c r="G57">
        <f t="shared" si="1"/>
        <v>248.03785040692418</v>
      </c>
      <c r="H57">
        <f t="shared" si="2"/>
        <v>1</v>
      </c>
      <c r="I57" s="5">
        <f t="shared" si="3"/>
        <v>396277.272</v>
      </c>
      <c r="J57" s="4">
        <f t="shared" si="9"/>
        <v>4212336.2244960396</v>
      </c>
      <c r="K57">
        <f t="shared" si="4"/>
        <v>0</v>
      </c>
      <c r="L57" s="5">
        <f t="shared" si="5"/>
        <v>3840136.5135932583</v>
      </c>
      <c r="M57">
        <f t="shared" si="6"/>
        <v>248.03878785643059</v>
      </c>
      <c r="N57">
        <f t="shared" si="7"/>
        <v>0</v>
      </c>
      <c r="O57">
        <f t="shared" si="8"/>
        <v>0</v>
      </c>
    </row>
    <row r="58" spans="1:15" x14ac:dyDescent="0.55000000000000004">
      <c r="A58" t="s">
        <v>56</v>
      </c>
      <c r="B58">
        <v>73567209</v>
      </c>
      <c r="C58">
        <v>60533496</v>
      </c>
      <c r="D58">
        <v>13033713</v>
      </c>
      <c r="E58">
        <v>2188676</v>
      </c>
      <c r="F58">
        <v>63264</v>
      </c>
      <c r="G58">
        <f t="shared" si="1"/>
        <v>34.595915528578658</v>
      </c>
      <c r="H58">
        <f t="shared" si="2"/>
        <v>1</v>
      </c>
      <c r="I58" s="5">
        <f t="shared" si="3"/>
        <v>1619305.344</v>
      </c>
      <c r="J58" s="4">
        <f t="shared" si="9"/>
        <v>2400819.6807942563</v>
      </c>
      <c r="K58">
        <f t="shared" si="4"/>
        <v>0</v>
      </c>
      <c r="L58" s="5">
        <f t="shared" si="5"/>
        <v>2188684.5748820403</v>
      </c>
      <c r="M58">
        <f t="shared" si="6"/>
        <v>34.596051069834978</v>
      </c>
      <c r="N58">
        <f t="shared" si="7"/>
        <v>0</v>
      </c>
      <c r="O58">
        <f t="shared" si="8"/>
        <v>0</v>
      </c>
    </row>
    <row r="59" spans="1:15" x14ac:dyDescent="0.55000000000000004">
      <c r="A59" t="s">
        <v>57</v>
      </c>
      <c r="B59">
        <v>44757732</v>
      </c>
      <c r="C59">
        <v>9245146</v>
      </c>
      <c r="D59">
        <v>35512586</v>
      </c>
      <c r="E59">
        <v>5963423</v>
      </c>
      <c r="F59">
        <v>11879</v>
      </c>
      <c r="G59">
        <f t="shared" si="1"/>
        <v>502.01389005808568</v>
      </c>
      <c r="H59">
        <f t="shared" si="2"/>
        <v>1</v>
      </c>
      <c r="I59" s="5">
        <f t="shared" si="3"/>
        <v>304054.88400000002</v>
      </c>
      <c r="J59" s="4">
        <f t="shared" si="9"/>
        <v>6541444.896377462</v>
      </c>
      <c r="K59">
        <f t="shared" si="4"/>
        <v>0</v>
      </c>
      <c r="L59" s="5">
        <f t="shared" si="5"/>
        <v>5963446.4248500708</v>
      </c>
      <c r="M59">
        <f t="shared" si="6"/>
        <v>502.01586201280168</v>
      </c>
      <c r="N59">
        <f t="shared" si="7"/>
        <v>0</v>
      </c>
      <c r="O59">
        <f t="shared" si="8"/>
        <v>0</v>
      </c>
    </row>
    <row r="60" spans="1:15" x14ac:dyDescent="0.55000000000000004">
      <c r="A60" t="s">
        <v>58</v>
      </c>
      <c r="B60">
        <v>138586541</v>
      </c>
      <c r="C60">
        <v>197975430</v>
      </c>
      <c r="D60">
        <v>-59388888</v>
      </c>
      <c r="E60">
        <v>2803231</v>
      </c>
      <c r="F60">
        <v>109515</v>
      </c>
      <c r="G60">
        <f t="shared" si="1"/>
        <v>25.596776697256082</v>
      </c>
      <c r="H60">
        <f t="shared" si="2"/>
        <v>0</v>
      </c>
      <c r="I60" s="5">
        <f t="shared" si="3"/>
        <v>2803145.94</v>
      </c>
      <c r="J60" s="4">
        <f t="shared" si="9"/>
        <v>0</v>
      </c>
      <c r="K60">
        <f t="shared" si="4"/>
        <v>1</v>
      </c>
      <c r="L60" s="5">
        <f t="shared" si="5"/>
        <v>2803145.94</v>
      </c>
      <c r="M60">
        <f t="shared" si="6"/>
        <v>25.596</v>
      </c>
      <c r="N60">
        <f t="shared" si="7"/>
        <v>0</v>
      </c>
      <c r="O60">
        <f t="shared" si="8"/>
        <v>0</v>
      </c>
    </row>
    <row r="61" spans="1:15" x14ac:dyDescent="0.55000000000000004">
      <c r="A61" t="s">
        <v>59</v>
      </c>
      <c r="B61">
        <v>31970763</v>
      </c>
      <c r="C61">
        <v>7052643</v>
      </c>
      <c r="D61">
        <v>24918121</v>
      </c>
      <c r="E61">
        <v>4184356</v>
      </c>
      <c r="F61">
        <v>7786</v>
      </c>
      <c r="G61">
        <f t="shared" si="1"/>
        <v>537.4204983303365</v>
      </c>
      <c r="H61">
        <f t="shared" si="2"/>
        <v>1</v>
      </c>
      <c r="I61" s="5">
        <f t="shared" si="3"/>
        <v>199290.45600000001</v>
      </c>
      <c r="J61" s="4">
        <f t="shared" si="9"/>
        <v>4589936.5211749449</v>
      </c>
      <c r="K61">
        <f t="shared" si="4"/>
        <v>0</v>
      </c>
      <c r="L61" s="5">
        <f t="shared" si="5"/>
        <v>4184372.2558371695</v>
      </c>
      <c r="M61">
        <f t="shared" si="6"/>
        <v>537.42258615941046</v>
      </c>
      <c r="N61">
        <f t="shared" si="7"/>
        <v>0</v>
      </c>
      <c r="O61">
        <f t="shared" si="8"/>
        <v>0</v>
      </c>
    </row>
    <row r="62" spans="1:15" x14ac:dyDescent="0.55000000000000004">
      <c r="A62" t="s">
        <v>60</v>
      </c>
      <c r="B62">
        <v>11503957</v>
      </c>
      <c r="C62">
        <v>8783193</v>
      </c>
      <c r="D62">
        <v>2720764</v>
      </c>
      <c r="E62">
        <v>456882</v>
      </c>
      <c r="F62">
        <v>3238</v>
      </c>
      <c r="G62">
        <f t="shared" si="1"/>
        <v>141.10006176652254</v>
      </c>
      <c r="H62">
        <f t="shared" si="2"/>
        <v>1</v>
      </c>
      <c r="I62" s="5">
        <f t="shared" si="3"/>
        <v>82879.847999999998</v>
      </c>
      <c r="J62" s="4">
        <f t="shared" si="9"/>
        <v>501166.7633004121</v>
      </c>
      <c r="K62">
        <f t="shared" si="4"/>
        <v>0</v>
      </c>
      <c r="L62" s="5">
        <f t="shared" si="5"/>
        <v>456883.94386882382</v>
      </c>
      <c r="M62">
        <f t="shared" si="6"/>
        <v>141.10066209661019</v>
      </c>
      <c r="N62">
        <f t="shared" si="7"/>
        <v>0</v>
      </c>
      <c r="O62">
        <f t="shared" si="8"/>
        <v>0</v>
      </c>
    </row>
    <row r="63" spans="1:15" x14ac:dyDescent="0.55000000000000004">
      <c r="A63" t="s">
        <v>61</v>
      </c>
      <c r="B63">
        <v>76928642</v>
      </c>
      <c r="C63">
        <v>31121926</v>
      </c>
      <c r="D63">
        <v>45806716</v>
      </c>
      <c r="E63">
        <v>7692057</v>
      </c>
      <c r="F63">
        <v>30823</v>
      </c>
      <c r="G63">
        <f t="shared" si="1"/>
        <v>249.55575382019921</v>
      </c>
      <c r="H63">
        <f t="shared" si="2"/>
        <v>1</v>
      </c>
      <c r="I63" s="5">
        <f t="shared" si="3"/>
        <v>788945.50800000003</v>
      </c>
      <c r="J63" s="4">
        <f t="shared" si="9"/>
        <v>8437631.3399990592</v>
      </c>
      <c r="K63">
        <f t="shared" si="4"/>
        <v>0</v>
      </c>
      <c r="L63" s="5">
        <f t="shared" si="5"/>
        <v>7692086.8777149199</v>
      </c>
      <c r="M63">
        <f t="shared" si="6"/>
        <v>249.55672315202673</v>
      </c>
      <c r="N63">
        <f t="shared" si="7"/>
        <v>0</v>
      </c>
      <c r="O63">
        <f t="shared" si="8"/>
        <v>0</v>
      </c>
    </row>
    <row r="64" spans="1:15" x14ac:dyDescent="0.55000000000000004">
      <c r="A64" t="s">
        <v>62</v>
      </c>
      <c r="B64">
        <v>48135413</v>
      </c>
      <c r="C64">
        <v>15342873</v>
      </c>
      <c r="D64">
        <v>32792539</v>
      </c>
      <c r="E64">
        <v>5506662</v>
      </c>
      <c r="F64">
        <v>16470</v>
      </c>
      <c r="G64">
        <f t="shared" si="1"/>
        <v>334.34499089253188</v>
      </c>
      <c r="H64">
        <f t="shared" si="2"/>
        <v>1</v>
      </c>
      <c r="I64" s="5">
        <f t="shared" si="3"/>
        <v>421566.12</v>
      </c>
      <c r="J64" s="4">
        <f t="shared" si="9"/>
        <v>6040410.2050131997</v>
      </c>
      <c r="K64">
        <f t="shared" si="4"/>
        <v>0</v>
      </c>
      <c r="L64" s="5">
        <f t="shared" si="5"/>
        <v>5506682.8831137931</v>
      </c>
      <c r="M64">
        <f t="shared" si="6"/>
        <v>334.3462588411532</v>
      </c>
      <c r="N64">
        <f t="shared" si="7"/>
        <v>0</v>
      </c>
      <c r="O64">
        <f t="shared" si="8"/>
        <v>0</v>
      </c>
    </row>
    <row r="65" spans="1:15" x14ac:dyDescent="0.55000000000000004">
      <c r="A65" t="s">
        <v>63</v>
      </c>
      <c r="B65">
        <v>137660273</v>
      </c>
      <c r="C65">
        <v>268718030</v>
      </c>
      <c r="D65">
        <v>-131057757</v>
      </c>
      <c r="E65">
        <v>2849817</v>
      </c>
      <c r="F65">
        <v>111335</v>
      </c>
      <c r="G65">
        <f t="shared" si="1"/>
        <v>25.596775497372793</v>
      </c>
      <c r="H65">
        <f t="shared" si="2"/>
        <v>0</v>
      </c>
      <c r="I65" s="5">
        <f t="shared" si="3"/>
        <v>2849730.66</v>
      </c>
      <c r="J65" s="4">
        <f t="shared" si="9"/>
        <v>0</v>
      </c>
      <c r="K65">
        <f t="shared" si="4"/>
        <v>1</v>
      </c>
      <c r="L65" s="5">
        <f t="shared" si="5"/>
        <v>2849730.66</v>
      </c>
      <c r="M65">
        <f t="shared" si="6"/>
        <v>25.596</v>
      </c>
      <c r="N65">
        <f t="shared" si="7"/>
        <v>0</v>
      </c>
      <c r="O65">
        <f t="shared" si="8"/>
        <v>0</v>
      </c>
    </row>
    <row r="66" spans="1:15" x14ac:dyDescent="0.55000000000000004">
      <c r="A66" t="s">
        <v>64</v>
      </c>
      <c r="B66">
        <v>37249620</v>
      </c>
      <c r="C66">
        <v>12779000</v>
      </c>
      <c r="D66">
        <v>24470619</v>
      </c>
      <c r="E66">
        <v>4109210</v>
      </c>
      <c r="F66">
        <v>11578</v>
      </c>
      <c r="G66">
        <f t="shared" si="1"/>
        <v>354.91535671100365</v>
      </c>
      <c r="H66">
        <f t="shared" si="2"/>
        <v>1</v>
      </c>
      <c r="I66" s="5">
        <f t="shared" si="3"/>
        <v>296350.48800000001</v>
      </c>
      <c r="J66" s="4">
        <f t="shared" ref="J66:J80" si="10" xml:space="preserve"> (D66 * H66)/$R$11 * $R$5</f>
        <v>4507506.3181472439</v>
      </c>
      <c r="K66">
        <f t="shared" si="4"/>
        <v>0</v>
      </c>
      <c r="L66" s="5">
        <f t="shared" si="5"/>
        <v>4109225.5401906865</v>
      </c>
      <c r="M66">
        <f t="shared" si="6"/>
        <v>354.91669892819885</v>
      </c>
      <c r="N66">
        <f t="shared" si="7"/>
        <v>0</v>
      </c>
      <c r="O66">
        <f t="shared" si="8"/>
        <v>0</v>
      </c>
    </row>
    <row r="67" spans="1:15" x14ac:dyDescent="0.55000000000000004">
      <c r="A67" t="s">
        <v>65</v>
      </c>
      <c r="B67">
        <v>75130674</v>
      </c>
      <c r="C67">
        <v>54191982</v>
      </c>
      <c r="D67">
        <v>20938693</v>
      </c>
      <c r="E67">
        <v>3516114</v>
      </c>
      <c r="F67">
        <v>39292</v>
      </c>
      <c r="G67">
        <f t="shared" ref="G67:G80" si="11">E67/F67</f>
        <v>89.486765753843017</v>
      </c>
      <c r="H67">
        <f t="shared" ref="H67:H80" si="12">IF(D67&lt;0, 0, 1)</f>
        <v>1</v>
      </c>
      <c r="I67" s="5">
        <f t="shared" ref="I67:I80" si="13" xml:space="preserve"> $R$8 * $R$6 * F67</f>
        <v>1005718.032</v>
      </c>
      <c r="J67" s="4">
        <f t="shared" si="10"/>
        <v>3856922.9078857983</v>
      </c>
      <c r="K67">
        <f t="shared" ref="K67:K80" si="14">IF($R$8=0%, IF(J67&gt;0, 0, 1), IF(J67&lt;I67, 1, 0))</f>
        <v>0</v>
      </c>
      <c r="L67" s="5">
        <f t="shared" ref="L67:L80" si="15">IF(K67=1, I67*K67, D67*($R$9)/$R$12)</f>
        <v>3516127.3220678214</v>
      </c>
      <c r="M67">
        <f t="shared" ref="M67:M80" si="16">L67/F67</f>
        <v>89.487104806775463</v>
      </c>
      <c r="N67">
        <f t="shared" ref="N67:N80" si="17">ROUND((L67-E67)/E67 * 100, 2)</f>
        <v>0</v>
      </c>
      <c r="O67">
        <f t="shared" ref="O67:O80" si="18">ROUND(M67-G67, 2)</f>
        <v>0</v>
      </c>
    </row>
    <row r="68" spans="1:15" x14ac:dyDescent="0.55000000000000004">
      <c r="A68" t="s">
        <v>66</v>
      </c>
      <c r="B68">
        <v>50775737</v>
      </c>
      <c r="C68">
        <v>14919018</v>
      </c>
      <c r="D68">
        <v>35856719</v>
      </c>
      <c r="E68">
        <v>6021212</v>
      </c>
      <c r="F68">
        <v>21212</v>
      </c>
      <c r="G68">
        <f t="shared" si="11"/>
        <v>283.8587591929097</v>
      </c>
      <c r="H68">
        <f t="shared" si="12"/>
        <v>1</v>
      </c>
      <c r="I68" s="5">
        <f t="shared" si="13"/>
        <v>542942.35199999996</v>
      </c>
      <c r="J68" s="4">
        <f t="shared" si="10"/>
        <v>6604834.452309127</v>
      </c>
      <c r="K68">
        <f t="shared" si="14"/>
        <v>0</v>
      </c>
      <c r="L68" s="5">
        <f t="shared" si="15"/>
        <v>6021234.914500556</v>
      </c>
      <c r="M68">
        <f t="shared" si="16"/>
        <v>283.85983945410879</v>
      </c>
      <c r="N68">
        <f t="shared" si="17"/>
        <v>0</v>
      </c>
      <c r="O68">
        <f t="shared" si="18"/>
        <v>0</v>
      </c>
    </row>
    <row r="69" spans="1:15" x14ac:dyDescent="0.55000000000000004">
      <c r="A69" t="s">
        <v>67</v>
      </c>
      <c r="B69">
        <v>28870439</v>
      </c>
      <c r="C69">
        <v>6212398</v>
      </c>
      <c r="D69">
        <v>22658040</v>
      </c>
      <c r="E69">
        <v>3804834</v>
      </c>
      <c r="F69">
        <v>6243</v>
      </c>
      <c r="G69">
        <f t="shared" si="11"/>
        <v>609.45603075444501</v>
      </c>
      <c r="H69">
        <f t="shared" si="12"/>
        <v>1</v>
      </c>
      <c r="I69" s="5">
        <f t="shared" si="13"/>
        <v>159795.82800000001</v>
      </c>
      <c r="J69" s="4">
        <f t="shared" si="10"/>
        <v>4173627.9109585648</v>
      </c>
      <c r="K69">
        <f t="shared" si="14"/>
        <v>0</v>
      </c>
      <c r="L69" s="5">
        <f t="shared" si="15"/>
        <v>3804848.4453401929</v>
      </c>
      <c r="M69">
        <f t="shared" si="16"/>
        <v>609.45834460038327</v>
      </c>
      <c r="N69">
        <f t="shared" si="17"/>
        <v>0</v>
      </c>
      <c r="O69">
        <f t="shared" si="18"/>
        <v>0</v>
      </c>
    </row>
    <row r="70" spans="1:15" x14ac:dyDescent="0.55000000000000004">
      <c r="A70" t="s">
        <v>68</v>
      </c>
      <c r="B70">
        <v>58530529</v>
      </c>
      <c r="C70">
        <v>21669194</v>
      </c>
      <c r="D70">
        <v>36861335</v>
      </c>
      <c r="E70">
        <v>6189911</v>
      </c>
      <c r="F70">
        <v>30002</v>
      </c>
      <c r="G70">
        <f t="shared" si="11"/>
        <v>206.3166122258516</v>
      </c>
      <c r="H70">
        <f t="shared" si="12"/>
        <v>1</v>
      </c>
      <c r="I70" s="5">
        <f t="shared" si="13"/>
        <v>767931.19200000004</v>
      </c>
      <c r="J70" s="4">
        <f t="shared" si="10"/>
        <v>6789885.4707288826</v>
      </c>
      <c r="K70">
        <f t="shared" si="14"/>
        <v>0</v>
      </c>
      <c r="L70" s="5">
        <f t="shared" si="15"/>
        <v>6189934.9267595103</v>
      </c>
      <c r="M70">
        <f t="shared" si="16"/>
        <v>206.31740973133492</v>
      </c>
      <c r="N70">
        <f t="shared" si="17"/>
        <v>0</v>
      </c>
      <c r="O70">
        <f t="shared" si="18"/>
        <v>0</v>
      </c>
    </row>
    <row r="71" spans="1:15" x14ac:dyDescent="0.55000000000000004">
      <c r="A71" t="s">
        <v>69</v>
      </c>
      <c r="B71">
        <v>51766967</v>
      </c>
      <c r="C71">
        <v>24651745</v>
      </c>
      <c r="D71">
        <v>27115222</v>
      </c>
      <c r="E71">
        <v>4553303</v>
      </c>
      <c r="F71">
        <v>35907</v>
      </c>
      <c r="G71">
        <f t="shared" si="11"/>
        <v>126.80822680814326</v>
      </c>
      <c r="H71">
        <f t="shared" si="12"/>
        <v>1</v>
      </c>
      <c r="I71" s="5">
        <f t="shared" si="13"/>
        <v>919075.57200000004</v>
      </c>
      <c r="J71" s="4">
        <f t="shared" si="10"/>
        <v>4994644.1682968922</v>
      </c>
      <c r="K71">
        <f t="shared" si="14"/>
        <v>0</v>
      </c>
      <c r="L71" s="5">
        <f t="shared" si="15"/>
        <v>4553320.1579551538</v>
      </c>
      <c r="M71">
        <f t="shared" si="16"/>
        <v>126.80870465243974</v>
      </c>
      <c r="N71">
        <f t="shared" si="17"/>
        <v>0</v>
      </c>
      <c r="O71">
        <f t="shared" si="18"/>
        <v>0</v>
      </c>
    </row>
    <row r="72" spans="1:15" x14ac:dyDescent="0.55000000000000004">
      <c r="A72" t="s">
        <v>70</v>
      </c>
      <c r="B72">
        <v>109164355</v>
      </c>
      <c r="C72">
        <v>40464535</v>
      </c>
      <c r="D72">
        <v>68699820</v>
      </c>
      <c r="E72">
        <v>11536364</v>
      </c>
      <c r="F72">
        <v>46124</v>
      </c>
      <c r="G72">
        <f t="shared" si="11"/>
        <v>250.11629520423207</v>
      </c>
      <c r="H72">
        <f t="shared" si="12"/>
        <v>1</v>
      </c>
      <c r="I72" s="5">
        <f t="shared" si="13"/>
        <v>1180589.9040000001</v>
      </c>
      <c r="J72" s="4">
        <f t="shared" si="10"/>
        <v>12654558.215530975</v>
      </c>
      <c r="K72">
        <f t="shared" si="14"/>
        <v>0</v>
      </c>
      <c r="L72" s="5">
        <f t="shared" si="15"/>
        <v>11536408.414944589</v>
      </c>
      <c r="M72">
        <f t="shared" si="16"/>
        <v>250.11725815073692</v>
      </c>
      <c r="N72">
        <f t="shared" si="17"/>
        <v>0</v>
      </c>
      <c r="O72">
        <f t="shared" si="18"/>
        <v>0</v>
      </c>
    </row>
    <row r="73" spans="1:15" x14ac:dyDescent="0.55000000000000004">
      <c r="A73" t="s">
        <v>71</v>
      </c>
      <c r="B73">
        <v>31458580</v>
      </c>
      <c r="C73">
        <v>5417995</v>
      </c>
      <c r="D73">
        <v>26040585</v>
      </c>
      <c r="E73">
        <v>4372845</v>
      </c>
      <c r="F73">
        <v>3933</v>
      </c>
      <c r="G73">
        <f t="shared" si="11"/>
        <v>1111.8344774980931</v>
      </c>
      <c r="H73">
        <f t="shared" si="12"/>
        <v>1</v>
      </c>
      <c r="I73" s="5">
        <f t="shared" si="13"/>
        <v>100669.068</v>
      </c>
      <c r="J73" s="4">
        <f t="shared" si="10"/>
        <v>4796695.2293176698</v>
      </c>
      <c r="K73">
        <f t="shared" si="14"/>
        <v>0</v>
      </c>
      <c r="L73" s="5">
        <f t="shared" si="15"/>
        <v>4372861.8783001155</v>
      </c>
      <c r="M73">
        <f t="shared" si="16"/>
        <v>1111.8387689550254</v>
      </c>
      <c r="N73">
        <f t="shared" si="17"/>
        <v>0</v>
      </c>
      <c r="O73">
        <f t="shared" si="18"/>
        <v>0</v>
      </c>
    </row>
    <row r="74" spans="1:15" x14ac:dyDescent="0.55000000000000004">
      <c r="A74" t="s">
        <v>72</v>
      </c>
      <c r="B74">
        <v>213617168</v>
      </c>
      <c r="C74">
        <v>207622310</v>
      </c>
      <c r="D74">
        <v>5994858</v>
      </c>
      <c r="E74">
        <v>4572582</v>
      </c>
      <c r="F74">
        <v>178639</v>
      </c>
      <c r="G74">
        <f t="shared" si="11"/>
        <v>25.596773380952648</v>
      </c>
      <c r="H74">
        <f t="shared" si="12"/>
        <v>1</v>
      </c>
      <c r="I74" s="5">
        <f t="shared" si="13"/>
        <v>4572443.8439999996</v>
      </c>
      <c r="J74" s="4">
        <f t="shared" si="10"/>
        <v>1104257.3263633235</v>
      </c>
      <c r="K74">
        <f t="shared" si="14"/>
        <v>1</v>
      </c>
      <c r="L74" s="5">
        <f t="shared" si="15"/>
        <v>4572443.8439999996</v>
      </c>
      <c r="M74">
        <f t="shared" si="16"/>
        <v>25.595999999999997</v>
      </c>
      <c r="N74">
        <f t="shared" si="17"/>
        <v>0</v>
      </c>
      <c r="O74">
        <f t="shared" si="18"/>
        <v>0</v>
      </c>
    </row>
    <row r="75" spans="1:15" x14ac:dyDescent="0.55000000000000004">
      <c r="A75" t="s">
        <v>73</v>
      </c>
      <c r="B75">
        <v>270658770</v>
      </c>
      <c r="C75">
        <v>173476498</v>
      </c>
      <c r="D75">
        <v>97182272</v>
      </c>
      <c r="E75">
        <v>16319258</v>
      </c>
      <c r="F75">
        <v>245029</v>
      </c>
      <c r="G75">
        <f t="shared" si="11"/>
        <v>66.601332903452246</v>
      </c>
      <c r="H75">
        <f t="shared" si="12"/>
        <v>1</v>
      </c>
      <c r="I75" s="5">
        <f t="shared" si="13"/>
        <v>6271762.284</v>
      </c>
      <c r="J75" s="4">
        <f t="shared" si="10"/>
        <v>17901047.172198787</v>
      </c>
      <c r="K75">
        <f t="shared" si="14"/>
        <v>0</v>
      </c>
      <c r="L75" s="5">
        <f t="shared" si="15"/>
        <v>16319320.494351136</v>
      </c>
      <c r="M75">
        <f t="shared" si="16"/>
        <v>66.601587952247016</v>
      </c>
      <c r="N75">
        <f t="shared" si="17"/>
        <v>0</v>
      </c>
      <c r="O75">
        <f t="shared" si="18"/>
        <v>0</v>
      </c>
    </row>
    <row r="76" spans="1:15" x14ac:dyDescent="0.55000000000000004">
      <c r="A76" t="s">
        <v>74</v>
      </c>
      <c r="B76">
        <v>61963227</v>
      </c>
      <c r="C76">
        <v>25132421</v>
      </c>
      <c r="D76">
        <v>36830806</v>
      </c>
      <c r="E76">
        <v>6184785</v>
      </c>
      <c r="F76">
        <v>44276</v>
      </c>
      <c r="G76">
        <f t="shared" si="11"/>
        <v>139.68707652001083</v>
      </c>
      <c r="H76">
        <f t="shared" si="12"/>
        <v>1</v>
      </c>
      <c r="I76" s="5">
        <f t="shared" si="13"/>
        <v>1133288.496</v>
      </c>
      <c r="J76" s="4">
        <f t="shared" si="10"/>
        <v>6784262.0061002709</v>
      </c>
      <c r="K76">
        <f t="shared" si="14"/>
        <v>0</v>
      </c>
      <c r="L76" s="5">
        <f t="shared" si="15"/>
        <v>6184808.3483710969</v>
      </c>
      <c r="M76">
        <f t="shared" si="16"/>
        <v>139.6876038569676</v>
      </c>
      <c r="N76">
        <f t="shared" si="17"/>
        <v>0</v>
      </c>
      <c r="O76">
        <f t="shared" si="18"/>
        <v>0</v>
      </c>
    </row>
    <row r="77" spans="1:15" x14ac:dyDescent="0.55000000000000004">
      <c r="A77" t="s">
        <v>75</v>
      </c>
      <c r="B77">
        <v>352482859</v>
      </c>
      <c r="C77">
        <v>206999459</v>
      </c>
      <c r="D77">
        <v>145483400</v>
      </c>
      <c r="E77">
        <v>24430188</v>
      </c>
      <c r="F77">
        <v>324087</v>
      </c>
      <c r="G77">
        <f t="shared" si="11"/>
        <v>75.381573466384026</v>
      </c>
      <c r="H77">
        <f t="shared" si="12"/>
        <v>1</v>
      </c>
      <c r="I77" s="5">
        <f t="shared" si="13"/>
        <v>8295330.852</v>
      </c>
      <c r="J77" s="4">
        <f t="shared" si="10"/>
        <v>26798151.067839462</v>
      </c>
      <c r="K77">
        <f t="shared" si="14"/>
        <v>0</v>
      </c>
      <c r="L77" s="5">
        <f t="shared" si="15"/>
        <v>24430281.185522027</v>
      </c>
      <c r="M77">
        <f t="shared" si="16"/>
        <v>75.38186099881213</v>
      </c>
      <c r="N77">
        <f t="shared" si="17"/>
        <v>0</v>
      </c>
      <c r="O77">
        <f t="shared" si="18"/>
        <v>0</v>
      </c>
    </row>
    <row r="78" spans="1:15" x14ac:dyDescent="0.55000000000000004">
      <c r="A78" t="s">
        <v>76</v>
      </c>
      <c r="B78">
        <v>118797442</v>
      </c>
      <c r="C78">
        <v>177246432</v>
      </c>
      <c r="D78">
        <v>-58448991</v>
      </c>
      <c r="E78">
        <v>2494354</v>
      </c>
      <c r="F78">
        <v>97448</v>
      </c>
      <c r="G78">
        <f t="shared" si="11"/>
        <v>25.596769559149497</v>
      </c>
      <c r="H78">
        <f t="shared" si="12"/>
        <v>0</v>
      </c>
      <c r="I78" s="5">
        <f t="shared" si="13"/>
        <v>2494279.0079999999</v>
      </c>
      <c r="J78" s="4">
        <f t="shared" si="10"/>
        <v>0</v>
      </c>
      <c r="K78">
        <f t="shared" si="14"/>
        <v>1</v>
      </c>
      <c r="L78" s="5">
        <f t="shared" si="15"/>
        <v>2494279.0079999999</v>
      </c>
      <c r="M78">
        <f t="shared" si="16"/>
        <v>25.596</v>
      </c>
      <c r="N78">
        <f t="shared" si="17"/>
        <v>0</v>
      </c>
      <c r="O78">
        <f t="shared" si="18"/>
        <v>0</v>
      </c>
    </row>
    <row r="79" spans="1:15" x14ac:dyDescent="0.55000000000000004">
      <c r="A79" t="s">
        <v>77</v>
      </c>
      <c r="B79">
        <v>208326919</v>
      </c>
      <c r="C79">
        <v>127797272</v>
      </c>
      <c r="D79">
        <v>80529647</v>
      </c>
      <c r="E79">
        <v>13522879</v>
      </c>
      <c r="F79">
        <v>158694</v>
      </c>
      <c r="G79">
        <f t="shared" si="11"/>
        <v>85.213549346541143</v>
      </c>
      <c r="H79">
        <f t="shared" si="12"/>
        <v>1</v>
      </c>
      <c r="I79" s="5">
        <f t="shared" si="13"/>
        <v>4061931.6239999998</v>
      </c>
      <c r="J79" s="4">
        <f t="shared" si="10"/>
        <v>14833621.194897734</v>
      </c>
      <c r="K79">
        <f t="shared" si="14"/>
        <v>0</v>
      </c>
      <c r="L79" s="5">
        <f t="shared" si="15"/>
        <v>13522930.588512711</v>
      </c>
      <c r="M79">
        <f t="shared" si="16"/>
        <v>85.213874428224827</v>
      </c>
      <c r="N79">
        <f t="shared" si="17"/>
        <v>0</v>
      </c>
      <c r="O79">
        <f t="shared" si="18"/>
        <v>0</v>
      </c>
    </row>
    <row r="80" spans="1:15" x14ac:dyDescent="0.55000000000000004">
      <c r="A80" t="s">
        <v>78</v>
      </c>
      <c r="B80">
        <v>31328713</v>
      </c>
      <c r="C80">
        <v>5999173</v>
      </c>
      <c r="D80">
        <v>25329540</v>
      </c>
      <c r="E80">
        <v>4253443</v>
      </c>
      <c r="F80">
        <v>6389</v>
      </c>
      <c r="G80">
        <f t="shared" si="11"/>
        <v>665.74471748317421</v>
      </c>
      <c r="H80">
        <f t="shared" si="12"/>
        <v>1</v>
      </c>
      <c r="I80" s="5">
        <f t="shared" si="13"/>
        <v>163532.84400000001</v>
      </c>
      <c r="J80" s="4">
        <f t="shared" si="10"/>
        <v>4665720.208620931</v>
      </c>
      <c r="K80">
        <f t="shared" si="14"/>
        <v>0</v>
      </c>
      <c r="L80" s="5">
        <f t="shared" si="15"/>
        <v>4253459.7383614043</v>
      </c>
      <c r="M80">
        <f t="shared" si="16"/>
        <v>665.74733735504844</v>
      </c>
      <c r="N80">
        <f t="shared" si="17"/>
        <v>0</v>
      </c>
      <c r="O80">
        <f t="shared" si="18"/>
        <v>0</v>
      </c>
    </row>
  </sheetData>
  <customSheetViews>
    <customSheetView guid="{6F58EB3B-97F3-43AA-9269-CE0BCA6518E5}" topLeftCell="C1">
      <selection activeCell="R11" sqref="R11"/>
      <pageMargins left="0.7" right="0.7" top="0.75" bottom="0.75" header="0.3" footer="0.3"/>
    </customSheetView>
  </customSheetViews>
  <conditionalFormatting sqref="N2:O80">
    <cfRule type="cellIs" dxfId="25" priority="1" operator="lessThan">
      <formula>0</formula>
    </cfRule>
    <cfRule type="cellIs" dxfId="24" priority="2" operator="equal">
      <formula>0</formula>
    </cfRule>
    <cfRule type="cellIs" dxfId="23" priority="3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3B70-D262-4570-8087-A4A53E6F7A93}">
  <sheetPr codeName="Sheet5"/>
  <dimension ref="A1:U80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J1" sqref="J1:J1048576"/>
    </sheetView>
  </sheetViews>
  <sheetFormatPr defaultColWidth="8.83984375" defaultRowHeight="14.4" x14ac:dyDescent="0.55000000000000004"/>
  <cols>
    <col min="1" max="1" width="33.47265625" bestFit="1" customWidth="1"/>
    <col min="2" max="2" width="21.15625" bestFit="1" customWidth="1"/>
    <col min="3" max="3" width="13.68359375" bestFit="1" customWidth="1"/>
    <col min="4" max="4" width="15.15625" bestFit="1" customWidth="1"/>
    <col min="5" max="5" width="12.47265625" customWidth="1"/>
    <col min="6" max="6" width="13.3125" bestFit="1" customWidth="1"/>
    <col min="7" max="7" width="13.15625" bestFit="1" customWidth="1"/>
    <col min="8" max="8" width="11.68359375" bestFit="1" customWidth="1"/>
    <col min="9" max="9" width="9.68359375" bestFit="1" customWidth="1"/>
    <col min="10" max="10" width="16.47265625" customWidth="1"/>
    <col min="11" max="11" width="22.47265625" bestFit="1" customWidth="1"/>
    <col min="12" max="12" width="17.68359375" bestFit="1" customWidth="1"/>
    <col min="13" max="13" width="17.68359375" customWidth="1"/>
    <col min="14" max="14" width="26.3125" bestFit="1" customWidth="1"/>
    <col min="15" max="15" width="21.68359375" style="4" bestFit="1" customWidth="1"/>
    <col min="16" max="16" width="15.83984375" bestFit="1" customWidth="1"/>
    <col min="18" max="18" width="31.68359375" bestFit="1" customWidth="1"/>
    <col min="19" max="19" width="21.68359375" bestFit="1" customWidth="1"/>
    <col min="21" max="21" width="14.47265625" bestFit="1" customWidth="1"/>
  </cols>
  <sheetData>
    <row r="1" spans="1:21" x14ac:dyDescent="0.55000000000000004">
      <c r="A1" t="s">
        <v>80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504</v>
      </c>
      <c r="H1" t="s">
        <v>505</v>
      </c>
      <c r="I1" t="s">
        <v>506</v>
      </c>
      <c r="J1" t="s">
        <v>507</v>
      </c>
      <c r="K1" t="s">
        <v>466</v>
      </c>
      <c r="L1" t="s">
        <v>468</v>
      </c>
      <c r="M1" t="s">
        <v>460</v>
      </c>
      <c r="N1" t="s">
        <v>462</v>
      </c>
      <c r="O1" t="s">
        <v>463</v>
      </c>
      <c r="P1" t="s">
        <v>464</v>
      </c>
      <c r="S1" s="4"/>
    </row>
    <row r="2" spans="1:21" x14ac:dyDescent="0.55000000000000004">
      <c r="A2" t="s">
        <v>277</v>
      </c>
      <c r="B2">
        <v>4349270</v>
      </c>
      <c r="C2" t="s">
        <v>278</v>
      </c>
      <c r="D2">
        <v>1154</v>
      </c>
      <c r="E2">
        <v>1.3</v>
      </c>
      <c r="F2">
        <v>3.09</v>
      </c>
      <c r="G2">
        <f t="shared" ref="G2:G33" si="0">B2/D2</f>
        <v>3768.8648180242635</v>
      </c>
      <c r="H2">
        <f t="shared" ref="H2:H33" si="1">MIN(G$2:G$78) * D2</f>
        <v>29540.359586752791</v>
      </c>
      <c r="I2">
        <f t="shared" ref="I2:I33" si="2">B2-H2</f>
        <v>4319729.640413247</v>
      </c>
      <c r="J2" s="16">
        <f>I2/$S$10</f>
        <v>1.3255064245934443E-2</v>
      </c>
      <c r="K2" s="5">
        <f t="shared" ref="K2:K33" si="3" xml:space="preserve"> $S$8 * $S$6 * D2</f>
        <v>29540.359586752791</v>
      </c>
      <c r="L2">
        <f t="shared" ref="L2:L33" si="4">IF(D2&gt;=80000, 1, 0)</f>
        <v>0</v>
      </c>
      <c r="M2" s="5">
        <f t="shared" ref="M2:M33" si="5">K2+J2*$S$9</f>
        <v>4349270</v>
      </c>
      <c r="N2" s="5">
        <f>M2/D2</f>
        <v>3768.8648180242635</v>
      </c>
      <c r="O2">
        <f>ROUND((M2-B2)/B2 * 100, 2)</f>
        <v>0</v>
      </c>
      <c r="P2" s="5">
        <f t="shared" ref="P2:P33" si="6">ROUND(N2-G2, 2)</f>
        <v>0</v>
      </c>
      <c r="S2" s="4"/>
    </row>
    <row r="3" spans="1:21" x14ac:dyDescent="0.55000000000000004">
      <c r="A3" t="s">
        <v>279</v>
      </c>
      <c r="B3">
        <v>9299476</v>
      </c>
      <c r="C3" t="s">
        <v>280</v>
      </c>
      <c r="D3">
        <v>4345</v>
      </c>
      <c r="E3">
        <v>1.9</v>
      </c>
      <c r="F3">
        <v>4.59</v>
      </c>
      <c r="G3">
        <f t="shared" si="0"/>
        <v>2140.270655926352</v>
      </c>
      <c r="H3">
        <f t="shared" si="1"/>
        <v>111224.317508181</v>
      </c>
      <c r="I3">
        <f t="shared" si="2"/>
        <v>9188251.6824918184</v>
      </c>
      <c r="J3" s="16">
        <f t="shared" ref="J3:J66" si="7">I3/$S$10</f>
        <v>2.8194094653477702E-2</v>
      </c>
      <c r="K3" s="5">
        <f t="shared" si="3"/>
        <v>111224.317508181</v>
      </c>
      <c r="L3">
        <f t="shared" si="4"/>
        <v>0</v>
      </c>
      <c r="M3" s="5">
        <f t="shared" si="5"/>
        <v>9299476</v>
      </c>
      <c r="N3" s="5">
        <f t="shared" ref="N3:N66" si="8">M3/D3</f>
        <v>2140.270655926352</v>
      </c>
      <c r="O3">
        <f t="shared" ref="O3:O66" si="9">ROUND((M3-B3)/B3 * 100, 2)</f>
        <v>0</v>
      </c>
      <c r="P3" s="5">
        <f t="shared" si="6"/>
        <v>0</v>
      </c>
      <c r="S3" s="4"/>
    </row>
    <row r="4" spans="1:21" x14ac:dyDescent="0.55000000000000004">
      <c r="A4" t="s">
        <v>281</v>
      </c>
      <c r="B4">
        <v>8641448</v>
      </c>
      <c r="C4" t="s">
        <v>282</v>
      </c>
      <c r="D4">
        <v>14919</v>
      </c>
      <c r="E4">
        <v>1.3</v>
      </c>
      <c r="F4">
        <v>2.63</v>
      </c>
      <c r="G4">
        <f t="shared" si="0"/>
        <v>579.22434479522758</v>
      </c>
      <c r="H4">
        <f t="shared" si="1"/>
        <v>381900.02138194529</v>
      </c>
      <c r="I4">
        <f t="shared" si="2"/>
        <v>8259547.9786180547</v>
      </c>
      <c r="J4" s="16">
        <f t="shared" si="7"/>
        <v>2.5344372961379775E-2</v>
      </c>
      <c r="K4" s="5">
        <f t="shared" si="3"/>
        <v>381900.02138194529</v>
      </c>
      <c r="L4">
        <f t="shared" si="4"/>
        <v>0</v>
      </c>
      <c r="M4" s="5">
        <f t="shared" si="5"/>
        <v>8641448</v>
      </c>
      <c r="N4" s="5">
        <f t="shared" si="8"/>
        <v>579.22434479522758</v>
      </c>
      <c r="O4">
        <f t="shared" si="9"/>
        <v>0</v>
      </c>
      <c r="P4" s="5">
        <f t="shared" si="6"/>
        <v>0</v>
      </c>
      <c r="S4" s="4"/>
    </row>
    <row r="5" spans="1:21" x14ac:dyDescent="0.55000000000000004">
      <c r="A5" t="s">
        <v>283</v>
      </c>
      <c r="B5">
        <v>9355154</v>
      </c>
      <c r="C5" t="s">
        <v>280</v>
      </c>
      <c r="D5">
        <v>2894</v>
      </c>
      <c r="E5">
        <v>1.9</v>
      </c>
      <c r="F5">
        <v>4.7</v>
      </c>
      <c r="G5">
        <f t="shared" si="0"/>
        <v>3232.6033172080165</v>
      </c>
      <c r="H5">
        <f t="shared" si="1"/>
        <v>74081.283053780397</v>
      </c>
      <c r="I5">
        <f t="shared" si="2"/>
        <v>9281072.71694622</v>
      </c>
      <c r="J5" s="16">
        <f t="shared" si="7"/>
        <v>2.8478915435675888E-2</v>
      </c>
      <c r="K5" s="5">
        <f t="shared" si="3"/>
        <v>74081.283053780397</v>
      </c>
      <c r="L5">
        <f t="shared" si="4"/>
        <v>0</v>
      </c>
      <c r="M5" s="5">
        <f t="shared" si="5"/>
        <v>9355154</v>
      </c>
      <c r="N5" s="5">
        <f t="shared" si="8"/>
        <v>3232.6033172080165</v>
      </c>
      <c r="O5">
        <f t="shared" si="9"/>
        <v>0</v>
      </c>
      <c r="P5" s="5">
        <f t="shared" si="6"/>
        <v>0</v>
      </c>
      <c r="R5" t="s">
        <v>456</v>
      </c>
      <c r="S5" s="4">
        <f>SUM(B2:B78)</f>
        <v>465561052</v>
      </c>
    </row>
    <row r="6" spans="1:21" x14ac:dyDescent="0.55000000000000004">
      <c r="A6" t="s">
        <v>284</v>
      </c>
      <c r="B6">
        <v>5926673</v>
      </c>
      <c r="C6" t="s">
        <v>280</v>
      </c>
      <c r="D6">
        <v>317</v>
      </c>
      <c r="E6">
        <v>1.9</v>
      </c>
      <c r="F6">
        <v>4.18</v>
      </c>
      <c r="G6">
        <f t="shared" si="0"/>
        <v>18696.129337539431</v>
      </c>
      <c r="H6">
        <f t="shared" si="1"/>
        <v>8114.639505199857</v>
      </c>
      <c r="I6">
        <f t="shared" si="2"/>
        <v>5918558.3604947999</v>
      </c>
      <c r="J6" s="16">
        <f t="shared" si="7"/>
        <v>1.8161060492703888E-2</v>
      </c>
      <c r="K6" s="5">
        <f t="shared" si="3"/>
        <v>8114.639505199857</v>
      </c>
      <c r="L6">
        <f t="shared" si="4"/>
        <v>0</v>
      </c>
      <c r="M6" s="5">
        <f t="shared" si="5"/>
        <v>5926673</v>
      </c>
      <c r="N6" s="5">
        <f t="shared" si="8"/>
        <v>18696.129337539431</v>
      </c>
      <c r="O6">
        <f t="shared" si="9"/>
        <v>0</v>
      </c>
      <c r="P6" s="5">
        <f t="shared" si="6"/>
        <v>0</v>
      </c>
      <c r="R6" t="s">
        <v>457</v>
      </c>
      <c r="S6" s="4">
        <f>S7 / 30%</f>
        <v>85.327439592006911</v>
      </c>
    </row>
    <row r="7" spans="1:21" x14ac:dyDescent="0.55000000000000004">
      <c r="A7" t="s">
        <v>285</v>
      </c>
      <c r="B7">
        <v>7032073</v>
      </c>
      <c r="C7" t="s">
        <v>280</v>
      </c>
      <c r="D7">
        <v>1953</v>
      </c>
      <c r="E7">
        <v>1.9</v>
      </c>
      <c r="F7">
        <v>4.03</v>
      </c>
      <c r="G7">
        <f t="shared" si="0"/>
        <v>3600.6518177163339</v>
      </c>
      <c r="H7">
        <f t="shared" si="1"/>
        <v>49993.346856956843</v>
      </c>
      <c r="I7">
        <f t="shared" si="2"/>
        <v>6982079.6531430427</v>
      </c>
      <c r="J7" s="16">
        <f t="shared" si="7"/>
        <v>2.1424469139644839E-2</v>
      </c>
      <c r="K7" s="5">
        <f t="shared" si="3"/>
        <v>49993.346856956843</v>
      </c>
      <c r="L7">
        <f t="shared" si="4"/>
        <v>0</v>
      </c>
      <c r="M7" s="5">
        <f t="shared" si="5"/>
        <v>7032073.0000000009</v>
      </c>
      <c r="N7" s="5">
        <f t="shared" si="8"/>
        <v>3600.6518177163343</v>
      </c>
      <c r="O7">
        <f t="shared" si="9"/>
        <v>0</v>
      </c>
      <c r="P7" s="5">
        <f t="shared" si="6"/>
        <v>0</v>
      </c>
      <c r="R7" t="s">
        <v>473</v>
      </c>
      <c r="S7" s="15">
        <f>MIN(G2:G78)</f>
        <v>25.598231877602071</v>
      </c>
    </row>
    <row r="8" spans="1:21" x14ac:dyDescent="0.55000000000000004">
      <c r="A8" t="s">
        <v>286</v>
      </c>
      <c r="B8">
        <v>7005467</v>
      </c>
      <c r="C8" t="s">
        <v>280</v>
      </c>
      <c r="D8">
        <v>478</v>
      </c>
      <c r="E8">
        <v>1.9</v>
      </c>
      <c r="F8">
        <v>4.8899999999999997</v>
      </c>
      <c r="G8">
        <f t="shared" si="0"/>
        <v>14655.78870292887</v>
      </c>
      <c r="H8">
        <f t="shared" si="1"/>
        <v>12235.954837493789</v>
      </c>
      <c r="I8">
        <f t="shared" si="2"/>
        <v>6993231.0451625064</v>
      </c>
      <c r="J8" s="16">
        <f t="shared" si="7"/>
        <v>2.145868711853563E-2</v>
      </c>
      <c r="K8" s="5">
        <f t="shared" si="3"/>
        <v>12235.954837493789</v>
      </c>
      <c r="L8">
        <f t="shared" si="4"/>
        <v>0</v>
      </c>
      <c r="M8" s="5">
        <f t="shared" si="5"/>
        <v>7005467</v>
      </c>
      <c r="N8" s="5">
        <f t="shared" si="8"/>
        <v>14655.78870292887</v>
      </c>
      <c r="O8">
        <f t="shared" si="9"/>
        <v>0</v>
      </c>
      <c r="P8" s="5">
        <f t="shared" si="6"/>
        <v>0</v>
      </c>
      <c r="R8" t="s">
        <v>472</v>
      </c>
      <c r="S8" s="6">
        <f xml:space="preserve"> Control!$C$5</f>
        <v>0.3</v>
      </c>
    </row>
    <row r="9" spans="1:21" x14ac:dyDescent="0.55000000000000004">
      <c r="A9" t="s">
        <v>287</v>
      </c>
      <c r="B9">
        <v>33870617</v>
      </c>
      <c r="C9" t="s">
        <v>260</v>
      </c>
      <c r="D9">
        <v>1323162</v>
      </c>
      <c r="E9">
        <v>0</v>
      </c>
      <c r="F9">
        <v>0</v>
      </c>
      <c r="G9">
        <f t="shared" si="0"/>
        <v>25.598238915567407</v>
      </c>
      <c r="H9">
        <f t="shared" si="1"/>
        <v>33870607.687631711</v>
      </c>
      <c r="I9">
        <f t="shared" si="2"/>
        <v>9.3123682886362076</v>
      </c>
      <c r="J9" s="16">
        <f t="shared" si="7"/>
        <v>2.8574945707914024E-8</v>
      </c>
      <c r="K9" s="5">
        <f t="shared" si="3"/>
        <v>33870607.687631711</v>
      </c>
      <c r="L9">
        <f t="shared" si="4"/>
        <v>1</v>
      </c>
      <c r="M9" s="5">
        <f t="shared" si="5"/>
        <v>33870617</v>
      </c>
      <c r="N9" s="5">
        <f t="shared" si="8"/>
        <v>25.598238915567407</v>
      </c>
      <c r="O9">
        <f t="shared" si="9"/>
        <v>0</v>
      </c>
      <c r="P9" s="5">
        <f t="shared" si="6"/>
        <v>0</v>
      </c>
      <c r="R9" t="s">
        <v>471</v>
      </c>
      <c r="S9" s="4">
        <f>S5 - SUM(K2:K78)</f>
        <v>325892772.77461576</v>
      </c>
      <c r="U9" s="5"/>
    </row>
    <row r="10" spans="1:21" x14ac:dyDescent="0.55000000000000004">
      <c r="A10" t="s">
        <v>288</v>
      </c>
      <c r="B10">
        <v>6864096</v>
      </c>
      <c r="C10" t="s">
        <v>280</v>
      </c>
      <c r="D10">
        <v>346</v>
      </c>
      <c r="E10">
        <v>1.9</v>
      </c>
      <c r="F10">
        <v>4.8</v>
      </c>
      <c r="G10">
        <f t="shared" si="0"/>
        <v>19838.42774566474</v>
      </c>
      <c r="H10">
        <f t="shared" si="1"/>
        <v>8856.9882296503165</v>
      </c>
      <c r="I10">
        <f t="shared" si="2"/>
        <v>6855239.0117703499</v>
      </c>
      <c r="J10" s="16">
        <f t="shared" si="7"/>
        <v>2.1035259399604316E-2</v>
      </c>
      <c r="K10" s="5">
        <f t="shared" si="3"/>
        <v>8856.9882296503165</v>
      </c>
      <c r="L10">
        <f t="shared" si="4"/>
        <v>0</v>
      </c>
      <c r="M10" s="5">
        <f t="shared" si="5"/>
        <v>6864096</v>
      </c>
      <c r="N10" s="5">
        <f t="shared" si="8"/>
        <v>19838.42774566474</v>
      </c>
      <c r="O10">
        <f t="shared" si="9"/>
        <v>0</v>
      </c>
      <c r="P10" s="5">
        <f t="shared" si="6"/>
        <v>0</v>
      </c>
      <c r="R10" t="s">
        <v>508</v>
      </c>
      <c r="S10" s="4">
        <f>S5 - SUM(H2:H78)</f>
        <v>325892772.77461576</v>
      </c>
    </row>
    <row r="11" spans="1:21" x14ac:dyDescent="0.55000000000000004">
      <c r="A11" t="s">
        <v>289</v>
      </c>
      <c r="B11">
        <v>2666466</v>
      </c>
      <c r="C11" t="s">
        <v>260</v>
      </c>
      <c r="D11">
        <v>104166</v>
      </c>
      <c r="E11">
        <v>0</v>
      </c>
      <c r="F11">
        <v>0</v>
      </c>
      <c r="G11">
        <f t="shared" si="0"/>
        <v>25.598237428719543</v>
      </c>
      <c r="H11">
        <f t="shared" si="1"/>
        <v>2666465.4217622974</v>
      </c>
      <c r="I11">
        <f t="shared" si="2"/>
        <v>0.57823770260438323</v>
      </c>
      <c r="J11" s="16">
        <f t="shared" si="7"/>
        <v>1.7743188892509953E-9</v>
      </c>
      <c r="K11" s="5">
        <f t="shared" si="3"/>
        <v>2666465.4217622974</v>
      </c>
      <c r="L11">
        <f t="shared" si="4"/>
        <v>1</v>
      </c>
      <c r="M11" s="5">
        <f t="shared" si="5"/>
        <v>2666466</v>
      </c>
      <c r="N11" s="5">
        <f t="shared" si="8"/>
        <v>25.598237428719543</v>
      </c>
      <c r="O11">
        <f t="shared" si="9"/>
        <v>0</v>
      </c>
      <c r="P11" s="5">
        <f t="shared" si="6"/>
        <v>0</v>
      </c>
      <c r="S11" s="4"/>
    </row>
    <row r="12" spans="1:21" x14ac:dyDescent="0.55000000000000004">
      <c r="A12" t="s">
        <v>290</v>
      </c>
      <c r="B12">
        <v>6941020</v>
      </c>
      <c r="C12" t="s">
        <v>282</v>
      </c>
      <c r="D12">
        <v>17020</v>
      </c>
      <c r="E12">
        <v>1.3</v>
      </c>
      <c r="F12">
        <v>2.2799999999999998</v>
      </c>
      <c r="G12">
        <f t="shared" si="0"/>
        <v>407.81551116333725</v>
      </c>
      <c r="H12">
        <f t="shared" si="1"/>
        <v>435681.90655678726</v>
      </c>
      <c r="I12">
        <f t="shared" si="2"/>
        <v>6505338.093443213</v>
      </c>
      <c r="J12" s="16">
        <f t="shared" si="7"/>
        <v>1.9961590550344119E-2</v>
      </c>
      <c r="K12" s="5">
        <f t="shared" si="3"/>
        <v>435681.90655678726</v>
      </c>
      <c r="L12">
        <f t="shared" si="4"/>
        <v>0</v>
      </c>
      <c r="M12" s="5">
        <f t="shared" si="5"/>
        <v>6941020</v>
      </c>
      <c r="N12" s="5">
        <f t="shared" si="8"/>
        <v>407.81551116333725</v>
      </c>
      <c r="O12">
        <f t="shared" si="9"/>
        <v>0</v>
      </c>
      <c r="P12" s="5">
        <f t="shared" si="6"/>
        <v>0</v>
      </c>
      <c r="R12" t="s">
        <v>469</v>
      </c>
      <c r="S12" s="4">
        <f>SUM(M2:M78)</f>
        <v>465561052</v>
      </c>
    </row>
    <row r="13" spans="1:21" x14ac:dyDescent="0.55000000000000004">
      <c r="A13" t="s">
        <v>291</v>
      </c>
      <c r="B13">
        <v>6733551</v>
      </c>
      <c r="C13" t="s">
        <v>280</v>
      </c>
      <c r="D13">
        <v>438</v>
      </c>
      <c r="E13">
        <v>1.9</v>
      </c>
      <c r="F13">
        <v>4.6100000000000003</v>
      </c>
      <c r="G13">
        <f t="shared" si="0"/>
        <v>15373.404109589041</v>
      </c>
      <c r="H13">
        <f t="shared" si="1"/>
        <v>11212.025562389706</v>
      </c>
      <c r="I13">
        <f t="shared" si="2"/>
        <v>6722338.9744376102</v>
      </c>
      <c r="J13" s="16">
        <f t="shared" si="7"/>
        <v>2.0627456439749628E-2</v>
      </c>
      <c r="K13" s="5">
        <f t="shared" si="3"/>
        <v>11212.025562389706</v>
      </c>
      <c r="L13">
        <f t="shared" si="4"/>
        <v>0</v>
      </c>
      <c r="M13" s="5">
        <f t="shared" si="5"/>
        <v>6733551</v>
      </c>
      <c r="N13" s="5">
        <f t="shared" si="8"/>
        <v>15373.404109589041</v>
      </c>
      <c r="O13">
        <f t="shared" si="9"/>
        <v>0</v>
      </c>
      <c r="P13" s="5">
        <f t="shared" si="6"/>
        <v>0</v>
      </c>
      <c r="S13" s="4"/>
    </row>
    <row r="14" spans="1:21" x14ac:dyDescent="0.55000000000000004">
      <c r="A14" t="s">
        <v>292</v>
      </c>
      <c r="B14">
        <v>4489880</v>
      </c>
      <c r="C14" t="s">
        <v>260</v>
      </c>
      <c r="D14">
        <v>175398</v>
      </c>
      <c r="E14">
        <v>0</v>
      </c>
      <c r="F14">
        <v>0</v>
      </c>
      <c r="G14">
        <f t="shared" si="0"/>
        <v>25.598239432604704</v>
      </c>
      <c r="H14">
        <f t="shared" si="1"/>
        <v>4489878.6748676477</v>
      </c>
      <c r="I14">
        <f t="shared" si="2"/>
        <v>1.3251323522999883</v>
      </c>
      <c r="J14" s="16">
        <f t="shared" si="7"/>
        <v>4.0661605994448879E-9</v>
      </c>
      <c r="K14" s="5">
        <f t="shared" si="3"/>
        <v>4489878.6748676477</v>
      </c>
      <c r="L14">
        <f t="shared" si="4"/>
        <v>1</v>
      </c>
      <c r="M14" s="5">
        <f t="shared" si="5"/>
        <v>4489880</v>
      </c>
      <c r="N14" s="5">
        <f t="shared" si="8"/>
        <v>25.598239432604704</v>
      </c>
      <c r="O14">
        <f t="shared" si="9"/>
        <v>0</v>
      </c>
      <c r="P14" s="5">
        <f t="shared" si="6"/>
        <v>0</v>
      </c>
      <c r="R14" t="s">
        <v>474</v>
      </c>
      <c r="S14" s="4" cm="1">
        <f t="array" ref="S14">IF(S8=30%, 0, SUMPRODUCT(IF(P2:P30 &lt; 0, 1, 0), P2:P30, G2:G30)/SUMPRODUCT(IF(P2:P30 &lt; 0, 1, 0), G2:G30))</f>
        <v>0</v>
      </c>
    </row>
    <row r="15" spans="1:21" x14ac:dyDescent="0.55000000000000004">
      <c r="A15" t="s">
        <v>293</v>
      </c>
      <c r="B15">
        <v>8102081</v>
      </c>
      <c r="C15" t="s">
        <v>280</v>
      </c>
      <c r="D15">
        <v>2212</v>
      </c>
      <c r="E15">
        <v>1.9</v>
      </c>
      <c r="F15">
        <v>4.29</v>
      </c>
      <c r="G15">
        <f t="shared" si="0"/>
        <v>3662.7852622061482</v>
      </c>
      <c r="H15">
        <f t="shared" si="1"/>
        <v>56623.288913255783</v>
      </c>
      <c r="I15">
        <f t="shared" si="2"/>
        <v>8045457.7110867444</v>
      </c>
      <c r="J15" s="16">
        <f t="shared" si="7"/>
        <v>2.4687438271762178E-2</v>
      </c>
      <c r="K15" s="5">
        <f t="shared" si="3"/>
        <v>56623.288913255783</v>
      </c>
      <c r="L15">
        <f t="shared" si="4"/>
        <v>0</v>
      </c>
      <c r="M15" s="5">
        <f t="shared" si="5"/>
        <v>8102081</v>
      </c>
      <c r="N15" s="5">
        <f t="shared" si="8"/>
        <v>3662.7852622061482</v>
      </c>
      <c r="O15">
        <f t="shared" si="9"/>
        <v>0</v>
      </c>
      <c r="P15" s="5">
        <f t="shared" si="6"/>
        <v>0</v>
      </c>
      <c r="S15" s="4"/>
    </row>
    <row r="16" spans="1:21" x14ac:dyDescent="0.55000000000000004">
      <c r="A16" t="s">
        <v>294</v>
      </c>
      <c r="B16">
        <v>3325258</v>
      </c>
      <c r="C16" t="s">
        <v>295</v>
      </c>
      <c r="D16">
        <v>29972</v>
      </c>
      <c r="E16">
        <v>0.5</v>
      </c>
      <c r="F16">
        <v>0.98</v>
      </c>
      <c r="G16">
        <f t="shared" si="0"/>
        <v>110.94548245028693</v>
      </c>
      <c r="H16">
        <f t="shared" si="1"/>
        <v>767230.20583548932</v>
      </c>
      <c r="I16">
        <f t="shared" si="2"/>
        <v>2558027.7941645104</v>
      </c>
      <c r="J16" s="16">
        <f t="shared" si="7"/>
        <v>7.8492927977068614E-3</v>
      </c>
      <c r="K16" s="5">
        <f t="shared" si="3"/>
        <v>767230.20583548932</v>
      </c>
      <c r="L16">
        <f t="shared" si="4"/>
        <v>0</v>
      </c>
      <c r="M16" s="5">
        <f t="shared" si="5"/>
        <v>3325258</v>
      </c>
      <c r="N16" s="5">
        <f t="shared" si="8"/>
        <v>110.94548245028693</v>
      </c>
      <c r="O16">
        <f t="shared" si="9"/>
        <v>0</v>
      </c>
      <c r="P16" s="5">
        <f t="shared" si="6"/>
        <v>0</v>
      </c>
      <c r="S16" s="4"/>
    </row>
    <row r="17" spans="1:19" x14ac:dyDescent="0.55000000000000004">
      <c r="A17" t="s">
        <v>296</v>
      </c>
      <c r="B17">
        <v>2708718</v>
      </c>
      <c r="C17" t="s">
        <v>295</v>
      </c>
      <c r="D17">
        <v>28973</v>
      </c>
      <c r="E17">
        <v>0.5</v>
      </c>
      <c r="F17">
        <v>1.04</v>
      </c>
      <c r="G17">
        <f t="shared" si="0"/>
        <v>93.49111241500708</v>
      </c>
      <c r="H17">
        <f t="shared" si="1"/>
        <v>741657.57218976482</v>
      </c>
      <c r="I17">
        <f t="shared" si="2"/>
        <v>1967060.4278102352</v>
      </c>
      <c r="J17" s="16">
        <f t="shared" si="7"/>
        <v>6.0359130123165839E-3</v>
      </c>
      <c r="K17" s="5">
        <f t="shared" si="3"/>
        <v>741657.57218976482</v>
      </c>
      <c r="L17">
        <f t="shared" si="4"/>
        <v>0</v>
      </c>
      <c r="M17" s="5">
        <f t="shared" si="5"/>
        <v>2708718</v>
      </c>
      <c r="N17" s="5">
        <f t="shared" si="8"/>
        <v>93.49111241500708</v>
      </c>
      <c r="O17">
        <f t="shared" si="9"/>
        <v>0</v>
      </c>
      <c r="P17" s="5">
        <f t="shared" si="6"/>
        <v>0</v>
      </c>
      <c r="S17" s="4"/>
    </row>
    <row r="18" spans="1:19" x14ac:dyDescent="0.55000000000000004">
      <c r="A18" t="s">
        <v>297</v>
      </c>
      <c r="B18">
        <v>7145060</v>
      </c>
      <c r="C18" t="s">
        <v>282</v>
      </c>
      <c r="D18">
        <v>12013</v>
      </c>
      <c r="E18">
        <v>1.3</v>
      </c>
      <c r="F18">
        <v>2.61</v>
      </c>
      <c r="G18">
        <f t="shared" si="0"/>
        <v>594.77732456505453</v>
      </c>
      <c r="H18">
        <f t="shared" si="1"/>
        <v>307511.55954563367</v>
      </c>
      <c r="I18">
        <f t="shared" si="2"/>
        <v>6837548.4404543666</v>
      </c>
      <c r="J18" s="16">
        <f t="shared" si="7"/>
        <v>2.0980975988636446E-2</v>
      </c>
      <c r="K18" s="5">
        <f t="shared" si="3"/>
        <v>307511.55954563367</v>
      </c>
      <c r="L18">
        <f t="shared" si="4"/>
        <v>0</v>
      </c>
      <c r="M18" s="5">
        <f t="shared" si="5"/>
        <v>7145060</v>
      </c>
      <c r="N18" s="5">
        <f t="shared" si="8"/>
        <v>594.77732456505453</v>
      </c>
      <c r="O18">
        <f t="shared" si="9"/>
        <v>0</v>
      </c>
      <c r="P18" s="5">
        <f t="shared" si="6"/>
        <v>0</v>
      </c>
    </row>
    <row r="19" spans="1:19" x14ac:dyDescent="0.55000000000000004">
      <c r="A19" t="s">
        <v>298</v>
      </c>
      <c r="B19">
        <v>2886891</v>
      </c>
      <c r="C19" t="s">
        <v>278</v>
      </c>
      <c r="D19">
        <v>1264</v>
      </c>
      <c r="E19">
        <v>1.3</v>
      </c>
      <c r="F19">
        <v>2.1</v>
      </c>
      <c r="G19">
        <f t="shared" si="0"/>
        <v>2283.9327531645567</v>
      </c>
      <c r="H19">
        <f t="shared" si="1"/>
        <v>32356.165093289019</v>
      </c>
      <c r="I19">
        <f t="shared" si="2"/>
        <v>2854534.8349067108</v>
      </c>
      <c r="J19" s="16">
        <f t="shared" si="7"/>
        <v>8.7591228568940343E-3</v>
      </c>
      <c r="K19" s="5">
        <f t="shared" si="3"/>
        <v>32356.165093289019</v>
      </c>
      <c r="L19">
        <f t="shared" si="4"/>
        <v>0</v>
      </c>
      <c r="M19" s="5">
        <f t="shared" si="5"/>
        <v>2886891</v>
      </c>
      <c r="N19" s="5">
        <f t="shared" si="8"/>
        <v>2283.9327531645567</v>
      </c>
      <c r="O19">
        <f t="shared" si="9"/>
        <v>0</v>
      </c>
      <c r="P19" s="5">
        <f t="shared" si="6"/>
        <v>0</v>
      </c>
    </row>
    <row r="20" spans="1:19" x14ac:dyDescent="0.55000000000000004">
      <c r="A20" t="s">
        <v>299</v>
      </c>
      <c r="B20">
        <v>8391163</v>
      </c>
      <c r="C20" t="s">
        <v>280</v>
      </c>
      <c r="D20">
        <v>3851</v>
      </c>
      <c r="E20">
        <v>1.9</v>
      </c>
      <c r="F20">
        <v>4.46</v>
      </c>
      <c r="G20">
        <f t="shared" si="0"/>
        <v>2178.9568943131653</v>
      </c>
      <c r="H20">
        <f t="shared" si="1"/>
        <v>98578.79096064558</v>
      </c>
      <c r="I20">
        <f t="shared" si="2"/>
        <v>8292584.2090393547</v>
      </c>
      <c r="J20" s="16">
        <f t="shared" si="7"/>
        <v>2.5445744434395373E-2</v>
      </c>
      <c r="K20" s="5">
        <f t="shared" si="3"/>
        <v>98578.79096064558</v>
      </c>
      <c r="L20">
        <f t="shared" si="4"/>
        <v>0</v>
      </c>
      <c r="M20" s="5">
        <f t="shared" si="5"/>
        <v>8391163</v>
      </c>
      <c r="N20" s="5">
        <f t="shared" si="8"/>
        <v>2178.9568943131653</v>
      </c>
      <c r="O20">
        <f t="shared" si="9"/>
        <v>0</v>
      </c>
      <c r="P20" s="5">
        <f t="shared" si="6"/>
        <v>0</v>
      </c>
    </row>
    <row r="21" spans="1:19" x14ac:dyDescent="0.55000000000000004">
      <c r="A21" t="s">
        <v>300</v>
      </c>
      <c r="B21">
        <v>10326212</v>
      </c>
      <c r="C21" t="s">
        <v>280</v>
      </c>
      <c r="D21">
        <v>4761</v>
      </c>
      <c r="E21">
        <v>1.9</v>
      </c>
      <c r="F21">
        <v>5.03</v>
      </c>
      <c r="G21">
        <f t="shared" si="0"/>
        <v>2168.9166141566898</v>
      </c>
      <c r="H21">
        <f t="shared" si="1"/>
        <v>121873.18196926346</v>
      </c>
      <c r="I21">
        <f t="shared" si="2"/>
        <v>10204338.818030737</v>
      </c>
      <c r="J21" s="16">
        <f t="shared" si="7"/>
        <v>3.1311951876539339E-2</v>
      </c>
      <c r="K21" s="5">
        <f t="shared" si="3"/>
        <v>121873.18196926346</v>
      </c>
      <c r="L21">
        <f t="shared" si="4"/>
        <v>0</v>
      </c>
      <c r="M21" s="5">
        <f t="shared" si="5"/>
        <v>10326212.000000002</v>
      </c>
      <c r="N21" s="5">
        <f t="shared" si="8"/>
        <v>2168.9166141566902</v>
      </c>
      <c r="O21">
        <f t="shared" si="9"/>
        <v>0</v>
      </c>
      <c r="P21" s="5">
        <f t="shared" si="6"/>
        <v>0</v>
      </c>
    </row>
    <row r="22" spans="1:19" x14ac:dyDescent="0.55000000000000004">
      <c r="A22" t="s">
        <v>301</v>
      </c>
      <c r="B22">
        <v>5392100</v>
      </c>
      <c r="C22" t="s">
        <v>280</v>
      </c>
      <c r="D22">
        <v>270</v>
      </c>
      <c r="E22">
        <v>1.9</v>
      </c>
      <c r="F22">
        <v>3.71</v>
      </c>
      <c r="G22">
        <f t="shared" si="0"/>
        <v>19970.740740740741</v>
      </c>
      <c r="H22">
        <f t="shared" si="1"/>
        <v>6911.5226069525588</v>
      </c>
      <c r="I22">
        <f t="shared" si="2"/>
        <v>5385188.4773930479</v>
      </c>
      <c r="J22" s="16">
        <f t="shared" si="7"/>
        <v>1.6524418235925077E-2</v>
      </c>
      <c r="K22" s="5">
        <f t="shared" si="3"/>
        <v>6911.5226069525588</v>
      </c>
      <c r="L22">
        <f t="shared" si="4"/>
        <v>0</v>
      </c>
      <c r="M22" s="5">
        <f t="shared" si="5"/>
        <v>5392100</v>
      </c>
      <c r="N22" s="5">
        <f t="shared" si="8"/>
        <v>19970.740740740741</v>
      </c>
      <c r="O22">
        <f t="shared" si="9"/>
        <v>0</v>
      </c>
      <c r="P22" s="5">
        <f t="shared" si="6"/>
        <v>0</v>
      </c>
    </row>
    <row r="23" spans="1:19" x14ac:dyDescent="0.55000000000000004">
      <c r="A23" t="s">
        <v>302</v>
      </c>
      <c r="B23">
        <v>6807939</v>
      </c>
      <c r="C23" t="s">
        <v>280</v>
      </c>
      <c r="D23">
        <v>272</v>
      </c>
      <c r="E23">
        <v>1.9</v>
      </c>
      <c r="F23">
        <v>4.78</v>
      </c>
      <c r="G23">
        <f t="shared" si="0"/>
        <v>25029.1875</v>
      </c>
      <c r="H23">
        <f t="shared" si="1"/>
        <v>6962.7190707077634</v>
      </c>
      <c r="I23">
        <f t="shared" si="2"/>
        <v>6800976.2809292926</v>
      </c>
      <c r="J23" s="16">
        <f t="shared" si="7"/>
        <v>2.0868754538575732E-2</v>
      </c>
      <c r="K23" s="5">
        <f t="shared" si="3"/>
        <v>6962.7190707077634</v>
      </c>
      <c r="L23">
        <f t="shared" si="4"/>
        <v>0</v>
      </c>
      <c r="M23" s="5">
        <f t="shared" si="5"/>
        <v>6807939</v>
      </c>
      <c r="N23" s="5">
        <f t="shared" si="8"/>
        <v>25029.1875</v>
      </c>
      <c r="O23">
        <f t="shared" si="9"/>
        <v>0</v>
      </c>
      <c r="P23" s="5">
        <f t="shared" si="6"/>
        <v>0</v>
      </c>
    </row>
    <row r="24" spans="1:19" x14ac:dyDescent="0.55000000000000004">
      <c r="A24" t="s">
        <v>303</v>
      </c>
      <c r="B24">
        <v>4411022</v>
      </c>
      <c r="C24" t="s">
        <v>278</v>
      </c>
      <c r="D24">
        <v>1461</v>
      </c>
      <c r="E24">
        <v>1.3</v>
      </c>
      <c r="F24">
        <v>3</v>
      </c>
      <c r="G24">
        <f t="shared" si="0"/>
        <v>3019.1800136892539</v>
      </c>
      <c r="H24">
        <f t="shared" si="1"/>
        <v>37399.016773176627</v>
      </c>
      <c r="I24">
        <f t="shared" si="2"/>
        <v>4373622.9832268236</v>
      </c>
      <c r="J24" s="16">
        <f t="shared" si="7"/>
        <v>1.3420435642037322E-2</v>
      </c>
      <c r="K24" s="5">
        <f t="shared" si="3"/>
        <v>37399.016773176627</v>
      </c>
      <c r="L24">
        <f t="shared" si="4"/>
        <v>0</v>
      </c>
      <c r="M24" s="5">
        <f t="shared" si="5"/>
        <v>4411022</v>
      </c>
      <c r="N24" s="5">
        <f t="shared" si="8"/>
        <v>3019.1800136892539</v>
      </c>
      <c r="O24">
        <f t="shared" si="9"/>
        <v>0</v>
      </c>
      <c r="P24" s="5">
        <f t="shared" si="6"/>
        <v>0</v>
      </c>
    </row>
    <row r="25" spans="1:19" x14ac:dyDescent="0.55000000000000004">
      <c r="A25" t="s">
        <v>304</v>
      </c>
      <c r="B25">
        <v>4602147</v>
      </c>
      <c r="C25" t="s">
        <v>282</v>
      </c>
      <c r="D25">
        <v>12828</v>
      </c>
      <c r="E25">
        <v>1.3</v>
      </c>
      <c r="F25">
        <v>1.99</v>
      </c>
      <c r="G25">
        <f t="shared" si="0"/>
        <v>358.75795135640783</v>
      </c>
      <c r="H25">
        <f t="shared" si="1"/>
        <v>328374.11852587934</v>
      </c>
      <c r="I25">
        <f t="shared" si="2"/>
        <v>4273772.8814741205</v>
      </c>
      <c r="J25" s="16">
        <f t="shared" si="7"/>
        <v>1.311404620939483E-2</v>
      </c>
      <c r="K25" s="5">
        <f t="shared" si="3"/>
        <v>328374.11852587934</v>
      </c>
      <c r="L25">
        <f t="shared" si="4"/>
        <v>0</v>
      </c>
      <c r="M25" s="5">
        <f t="shared" si="5"/>
        <v>4602147</v>
      </c>
      <c r="N25" s="5">
        <f t="shared" si="8"/>
        <v>358.75795135640783</v>
      </c>
      <c r="O25">
        <f t="shared" si="9"/>
        <v>0</v>
      </c>
      <c r="P25" s="5">
        <f t="shared" si="6"/>
        <v>0</v>
      </c>
    </row>
    <row r="26" spans="1:19" x14ac:dyDescent="0.55000000000000004">
      <c r="A26" t="s">
        <v>305</v>
      </c>
      <c r="B26">
        <v>6044616</v>
      </c>
      <c r="C26" t="s">
        <v>280</v>
      </c>
      <c r="D26">
        <v>726</v>
      </c>
      <c r="E26">
        <v>1.9</v>
      </c>
      <c r="F26">
        <v>4.07</v>
      </c>
      <c r="G26">
        <f t="shared" si="0"/>
        <v>8325.9173553719011</v>
      </c>
      <c r="H26">
        <f t="shared" si="1"/>
        <v>18584.316343139104</v>
      </c>
      <c r="I26">
        <f t="shared" si="2"/>
        <v>6026031.6836568611</v>
      </c>
      <c r="J26" s="16">
        <f t="shared" si="7"/>
        <v>1.84908417340829E-2</v>
      </c>
      <c r="K26" s="5">
        <f t="shared" si="3"/>
        <v>18584.316343139104</v>
      </c>
      <c r="L26">
        <f t="shared" si="4"/>
        <v>0</v>
      </c>
      <c r="M26" s="5">
        <f t="shared" si="5"/>
        <v>6044615.9999999991</v>
      </c>
      <c r="N26" s="5">
        <f t="shared" si="8"/>
        <v>8325.9173553718992</v>
      </c>
      <c r="O26">
        <f t="shared" si="9"/>
        <v>0</v>
      </c>
      <c r="P26" s="5">
        <f t="shared" si="6"/>
        <v>0</v>
      </c>
    </row>
    <row r="27" spans="1:19" x14ac:dyDescent="0.55000000000000004">
      <c r="A27" t="s">
        <v>306</v>
      </c>
      <c r="B27">
        <v>7164757</v>
      </c>
      <c r="C27" t="s">
        <v>280</v>
      </c>
      <c r="D27">
        <v>1544</v>
      </c>
      <c r="E27">
        <v>1.9</v>
      </c>
      <c r="F27">
        <v>4.05</v>
      </c>
      <c r="G27">
        <f t="shared" si="0"/>
        <v>4640.3866580310878</v>
      </c>
      <c r="H27">
        <f t="shared" si="1"/>
        <v>39523.670019017598</v>
      </c>
      <c r="I27">
        <f t="shared" si="2"/>
        <v>7125233.3299809825</v>
      </c>
      <c r="J27" s="16">
        <f t="shared" si="7"/>
        <v>2.1863735330236132E-2</v>
      </c>
      <c r="K27" s="5">
        <f t="shared" si="3"/>
        <v>39523.670019017598</v>
      </c>
      <c r="L27">
        <f t="shared" si="4"/>
        <v>0</v>
      </c>
      <c r="M27" s="5">
        <f t="shared" si="5"/>
        <v>7164757</v>
      </c>
      <c r="N27" s="5">
        <f t="shared" si="8"/>
        <v>4640.3866580310878</v>
      </c>
      <c r="O27">
        <f t="shared" si="9"/>
        <v>0</v>
      </c>
      <c r="P27" s="5">
        <f t="shared" si="6"/>
        <v>0</v>
      </c>
    </row>
    <row r="28" spans="1:19" x14ac:dyDescent="0.55000000000000004">
      <c r="A28" t="s">
        <v>307</v>
      </c>
      <c r="B28">
        <v>3019056</v>
      </c>
      <c r="C28" t="s">
        <v>260</v>
      </c>
      <c r="D28">
        <v>117940</v>
      </c>
      <c r="E28">
        <v>0</v>
      </c>
      <c r="F28">
        <v>0</v>
      </c>
      <c r="G28">
        <f t="shared" si="0"/>
        <v>25.598236391385448</v>
      </c>
      <c r="H28">
        <f t="shared" si="1"/>
        <v>3019055.4676443883</v>
      </c>
      <c r="I28">
        <f t="shared" si="2"/>
        <v>0.53235561167821288</v>
      </c>
      <c r="J28" s="16">
        <f t="shared" si="7"/>
        <v>1.6335299710570286E-9</v>
      </c>
      <c r="K28" s="5">
        <f t="shared" si="3"/>
        <v>3019055.4676443883</v>
      </c>
      <c r="L28">
        <f t="shared" si="4"/>
        <v>1</v>
      </c>
      <c r="M28" s="5">
        <f t="shared" si="5"/>
        <v>3019056</v>
      </c>
      <c r="N28" s="5">
        <f t="shared" si="8"/>
        <v>25.598236391385448</v>
      </c>
      <c r="O28">
        <f t="shared" si="9"/>
        <v>0</v>
      </c>
      <c r="P28" s="5">
        <f t="shared" si="6"/>
        <v>0</v>
      </c>
    </row>
    <row r="29" spans="1:19" x14ac:dyDescent="0.55000000000000004">
      <c r="A29" t="s">
        <v>308</v>
      </c>
      <c r="B29">
        <v>3455847</v>
      </c>
      <c r="C29" t="s">
        <v>295</v>
      </c>
      <c r="D29">
        <v>66835</v>
      </c>
      <c r="E29">
        <v>0.5</v>
      </c>
      <c r="F29">
        <v>0.84</v>
      </c>
      <c r="G29">
        <f t="shared" si="0"/>
        <v>51.707144460237899</v>
      </c>
      <c r="H29">
        <f t="shared" si="1"/>
        <v>1710857.8275395345</v>
      </c>
      <c r="I29">
        <f t="shared" si="2"/>
        <v>1744989.1724604655</v>
      </c>
      <c r="J29" s="16">
        <f t="shared" si="7"/>
        <v>5.3544887099023913E-3</v>
      </c>
      <c r="K29" s="5">
        <f t="shared" si="3"/>
        <v>1710857.8275395345</v>
      </c>
      <c r="L29">
        <f t="shared" si="4"/>
        <v>0</v>
      </c>
      <c r="M29" s="5">
        <f t="shared" si="5"/>
        <v>3455847</v>
      </c>
      <c r="N29" s="5">
        <f t="shared" si="8"/>
        <v>51.707144460237899</v>
      </c>
      <c r="O29">
        <f t="shared" si="9"/>
        <v>0</v>
      </c>
      <c r="P29" s="5">
        <f t="shared" si="6"/>
        <v>0</v>
      </c>
    </row>
    <row r="30" spans="1:19" x14ac:dyDescent="0.55000000000000004">
      <c r="A30" t="s">
        <v>309</v>
      </c>
      <c r="B30">
        <v>17050654</v>
      </c>
      <c r="C30" t="s">
        <v>260</v>
      </c>
      <c r="D30">
        <v>666087</v>
      </c>
      <c r="E30">
        <v>0</v>
      </c>
      <c r="F30">
        <v>0</v>
      </c>
      <c r="G30">
        <f t="shared" si="0"/>
        <v>25.598238668522281</v>
      </c>
      <c r="H30">
        <f t="shared" si="1"/>
        <v>17050649.476656333</v>
      </c>
      <c r="I30">
        <f t="shared" si="2"/>
        <v>4.5233436673879623</v>
      </c>
      <c r="J30" s="16">
        <f t="shared" si="7"/>
        <v>1.3879852654837064E-8</v>
      </c>
      <c r="K30" s="5">
        <f t="shared" si="3"/>
        <v>17050649.476656333</v>
      </c>
      <c r="L30">
        <f t="shared" si="4"/>
        <v>1</v>
      </c>
      <c r="M30" s="5">
        <f t="shared" si="5"/>
        <v>17050654</v>
      </c>
      <c r="N30" s="5">
        <f t="shared" si="8"/>
        <v>25.598238668522281</v>
      </c>
      <c r="O30">
        <f t="shared" si="9"/>
        <v>0</v>
      </c>
      <c r="P30" s="5">
        <f t="shared" si="6"/>
        <v>0</v>
      </c>
    </row>
    <row r="31" spans="1:19" x14ac:dyDescent="0.55000000000000004">
      <c r="A31" t="s">
        <v>310</v>
      </c>
      <c r="B31">
        <v>5790807</v>
      </c>
      <c r="C31" t="s">
        <v>282</v>
      </c>
      <c r="D31">
        <v>10452</v>
      </c>
      <c r="E31">
        <v>1.3</v>
      </c>
      <c r="F31">
        <v>2.2200000000000002</v>
      </c>
      <c r="G31">
        <f t="shared" si="0"/>
        <v>554.03817451205509</v>
      </c>
      <c r="H31">
        <f t="shared" si="1"/>
        <v>267552.71958469687</v>
      </c>
      <c r="I31">
        <f t="shared" si="2"/>
        <v>5523254.2804153031</v>
      </c>
      <c r="J31" s="16">
        <f t="shared" si="7"/>
        <v>1.6948072316519677E-2</v>
      </c>
      <c r="K31" s="5">
        <f t="shared" si="3"/>
        <v>267552.71958469687</v>
      </c>
      <c r="L31">
        <f t="shared" si="4"/>
        <v>0</v>
      </c>
      <c r="M31" s="5">
        <f t="shared" si="5"/>
        <v>5790807</v>
      </c>
      <c r="N31" s="5">
        <f t="shared" si="8"/>
        <v>554.03817451205509</v>
      </c>
      <c r="O31">
        <f t="shared" si="9"/>
        <v>0</v>
      </c>
      <c r="P31" s="5">
        <f t="shared" si="6"/>
        <v>0</v>
      </c>
    </row>
    <row r="32" spans="1:19" x14ac:dyDescent="0.55000000000000004">
      <c r="A32" t="s">
        <v>311</v>
      </c>
      <c r="B32">
        <v>2320583</v>
      </c>
      <c r="C32" t="s">
        <v>295</v>
      </c>
      <c r="D32">
        <v>56166</v>
      </c>
      <c r="E32">
        <v>0.5</v>
      </c>
      <c r="F32">
        <v>0.8</v>
      </c>
      <c r="G32">
        <f t="shared" si="0"/>
        <v>41.316508207812554</v>
      </c>
      <c r="H32">
        <f t="shared" si="1"/>
        <v>1437750.2916373978</v>
      </c>
      <c r="I32">
        <f t="shared" si="2"/>
        <v>882832.70836260216</v>
      </c>
      <c r="J32" s="16">
        <f t="shared" si="7"/>
        <v>2.7089668201177343E-3</v>
      </c>
      <c r="K32" s="5">
        <f t="shared" si="3"/>
        <v>1437750.2916373978</v>
      </c>
      <c r="L32">
        <f t="shared" si="4"/>
        <v>0</v>
      </c>
      <c r="M32" s="5">
        <f t="shared" si="5"/>
        <v>2320583</v>
      </c>
      <c r="N32" s="5">
        <f t="shared" si="8"/>
        <v>41.316508207812554</v>
      </c>
      <c r="O32">
        <f t="shared" si="9"/>
        <v>0</v>
      </c>
      <c r="P32" s="5">
        <f t="shared" si="6"/>
        <v>0</v>
      </c>
    </row>
    <row r="33" spans="1:16" x14ac:dyDescent="0.55000000000000004">
      <c r="A33" t="s">
        <v>312</v>
      </c>
      <c r="B33">
        <v>5232689</v>
      </c>
      <c r="C33" t="s">
        <v>282</v>
      </c>
      <c r="D33">
        <v>11118</v>
      </c>
      <c r="E33">
        <v>1.3</v>
      </c>
      <c r="F33">
        <v>2.06</v>
      </c>
      <c r="G33">
        <f t="shared" si="0"/>
        <v>470.6502068717395</v>
      </c>
      <c r="H33">
        <f t="shared" si="1"/>
        <v>284601.14201517985</v>
      </c>
      <c r="I33">
        <f t="shared" si="2"/>
        <v>4948087.8579848204</v>
      </c>
      <c r="J33" s="16">
        <f t="shared" si="7"/>
        <v>1.51831776318859E-2</v>
      </c>
      <c r="K33" s="5">
        <f t="shared" si="3"/>
        <v>284601.14201517985</v>
      </c>
      <c r="L33">
        <f t="shared" si="4"/>
        <v>0</v>
      </c>
      <c r="M33" s="5">
        <f t="shared" si="5"/>
        <v>5232689</v>
      </c>
      <c r="N33" s="5">
        <f t="shared" si="8"/>
        <v>470.6502068717395</v>
      </c>
      <c r="O33">
        <f t="shared" si="9"/>
        <v>0</v>
      </c>
      <c r="P33" s="5">
        <f t="shared" si="6"/>
        <v>0</v>
      </c>
    </row>
    <row r="34" spans="1:16" x14ac:dyDescent="0.55000000000000004">
      <c r="A34" t="s">
        <v>313</v>
      </c>
      <c r="B34">
        <v>3839860</v>
      </c>
      <c r="C34" t="s">
        <v>278</v>
      </c>
      <c r="D34">
        <v>1026</v>
      </c>
      <c r="E34">
        <v>1.3</v>
      </c>
      <c r="F34">
        <v>2.71</v>
      </c>
      <c r="G34">
        <f t="shared" ref="G34:G65" si="10">B34/D34</f>
        <v>3742.5536062378169</v>
      </c>
      <c r="H34">
        <f t="shared" ref="H34:H65" si="11">MIN(G$2:G$78) * D34</f>
        <v>26263.785906419726</v>
      </c>
      <c r="I34">
        <f t="shared" ref="I34:I65" si="12">B34-H34</f>
        <v>3813596.2140935804</v>
      </c>
      <c r="J34" s="16">
        <f t="shared" si="7"/>
        <v>1.1701996891876537E-2</v>
      </c>
      <c r="K34" s="5">
        <f t="shared" ref="K34:K65" si="13" xml:space="preserve"> $S$8 * $S$6 * D34</f>
        <v>26263.785906419726</v>
      </c>
      <c r="L34">
        <f t="shared" ref="L34:L65" si="14">IF(D34&gt;=80000, 1, 0)</f>
        <v>0</v>
      </c>
      <c r="M34" s="5">
        <f t="shared" ref="M34:M65" si="15">K34+J34*$S$9</f>
        <v>3839860</v>
      </c>
      <c r="N34" s="5">
        <f t="shared" si="8"/>
        <v>3742.5536062378169</v>
      </c>
      <c r="O34">
        <f t="shared" si="9"/>
        <v>0</v>
      </c>
      <c r="P34" s="5">
        <f t="shared" ref="P34:P65" si="16">ROUND(N34-G34, 2)</f>
        <v>0</v>
      </c>
    </row>
    <row r="35" spans="1:16" x14ac:dyDescent="0.55000000000000004">
      <c r="A35" t="s">
        <v>314</v>
      </c>
      <c r="B35">
        <v>6428946</v>
      </c>
      <c r="C35" t="s">
        <v>260</v>
      </c>
      <c r="D35">
        <v>251148</v>
      </c>
      <c r="E35">
        <v>0</v>
      </c>
      <c r="F35">
        <v>0</v>
      </c>
      <c r="G35">
        <f t="shared" si="10"/>
        <v>25.598236896172775</v>
      </c>
      <c r="H35">
        <f t="shared" si="11"/>
        <v>6428944.7395960046</v>
      </c>
      <c r="I35">
        <f t="shared" si="12"/>
        <v>1.2604039954021573</v>
      </c>
      <c r="J35" s="16">
        <f t="shared" si="7"/>
        <v>3.8675420282297584E-9</v>
      </c>
      <c r="K35" s="5">
        <f t="shared" si="13"/>
        <v>6428944.7395960046</v>
      </c>
      <c r="L35">
        <f t="shared" si="14"/>
        <v>1</v>
      </c>
      <c r="M35" s="5">
        <f t="shared" si="15"/>
        <v>6428946</v>
      </c>
      <c r="N35" s="5">
        <f t="shared" si="8"/>
        <v>25.598236896172775</v>
      </c>
      <c r="O35">
        <f t="shared" si="9"/>
        <v>0</v>
      </c>
      <c r="P35" s="5">
        <f t="shared" si="16"/>
        <v>0</v>
      </c>
    </row>
    <row r="36" spans="1:16" x14ac:dyDescent="0.55000000000000004">
      <c r="A36" t="s">
        <v>315</v>
      </c>
      <c r="B36">
        <v>7354462</v>
      </c>
      <c r="C36" t="s">
        <v>282</v>
      </c>
      <c r="D36">
        <v>23024</v>
      </c>
      <c r="E36">
        <v>1.3</v>
      </c>
      <c r="F36">
        <v>2.52</v>
      </c>
      <c r="G36">
        <f t="shared" si="10"/>
        <v>319.42590340514244</v>
      </c>
      <c r="H36">
        <f t="shared" si="11"/>
        <v>589373.69074991008</v>
      </c>
      <c r="I36">
        <f t="shared" si="12"/>
        <v>6765088.3092500903</v>
      </c>
      <c r="J36" s="16">
        <f t="shared" si="7"/>
        <v>2.0758632514777366E-2</v>
      </c>
      <c r="K36" s="5">
        <f t="shared" si="13"/>
        <v>589373.69074991008</v>
      </c>
      <c r="L36">
        <f t="shared" si="14"/>
        <v>0</v>
      </c>
      <c r="M36" s="5">
        <f t="shared" si="15"/>
        <v>7354462</v>
      </c>
      <c r="N36" s="5">
        <f t="shared" si="8"/>
        <v>319.42590340514244</v>
      </c>
      <c r="O36">
        <f t="shared" si="9"/>
        <v>0</v>
      </c>
      <c r="P36" s="5">
        <f t="shared" si="16"/>
        <v>0</v>
      </c>
    </row>
    <row r="37" spans="1:16" x14ac:dyDescent="0.55000000000000004">
      <c r="A37" t="s">
        <v>316</v>
      </c>
      <c r="B37">
        <v>4299122</v>
      </c>
      <c r="C37" t="s">
        <v>278</v>
      </c>
      <c r="D37">
        <v>1147</v>
      </c>
      <c r="E37">
        <v>1.3</v>
      </c>
      <c r="F37">
        <v>3.15</v>
      </c>
      <c r="G37">
        <f t="shared" si="10"/>
        <v>3748.1447253705319</v>
      </c>
      <c r="H37">
        <f t="shared" si="11"/>
        <v>29361.171963609577</v>
      </c>
      <c r="I37">
        <f t="shared" si="12"/>
        <v>4269760.8280363902</v>
      </c>
      <c r="J37" s="16">
        <f t="shared" si="7"/>
        <v>1.310173524771387E-2</v>
      </c>
      <c r="K37" s="5">
        <f t="shared" si="13"/>
        <v>29361.171963609577</v>
      </c>
      <c r="L37">
        <f t="shared" si="14"/>
        <v>0</v>
      </c>
      <c r="M37" s="5">
        <f t="shared" si="15"/>
        <v>4299122</v>
      </c>
      <c r="N37" s="5">
        <f t="shared" si="8"/>
        <v>3748.1447253705319</v>
      </c>
      <c r="O37">
        <f t="shared" si="9"/>
        <v>0</v>
      </c>
      <c r="P37" s="5">
        <f t="shared" si="16"/>
        <v>0</v>
      </c>
    </row>
    <row r="38" spans="1:16" x14ac:dyDescent="0.55000000000000004">
      <c r="A38" t="s">
        <v>317</v>
      </c>
      <c r="B38">
        <v>1603365</v>
      </c>
      <c r="C38" t="s">
        <v>295</v>
      </c>
      <c r="D38">
        <v>41906</v>
      </c>
      <c r="E38">
        <v>0.5</v>
      </c>
      <c r="F38">
        <v>0.68</v>
      </c>
      <c r="G38">
        <f t="shared" si="10"/>
        <v>38.260988879874006</v>
      </c>
      <c r="H38">
        <f t="shared" si="11"/>
        <v>1072719.5050627925</v>
      </c>
      <c r="I38">
        <f t="shared" si="12"/>
        <v>530645.49493720755</v>
      </c>
      <c r="J38" s="16">
        <f t="shared" si="7"/>
        <v>1.628282488191896E-3</v>
      </c>
      <c r="K38" s="5">
        <f t="shared" si="13"/>
        <v>1072719.5050627925</v>
      </c>
      <c r="L38">
        <f t="shared" si="14"/>
        <v>0</v>
      </c>
      <c r="M38" s="5">
        <f t="shared" si="15"/>
        <v>1603365</v>
      </c>
      <c r="N38" s="5">
        <f t="shared" si="8"/>
        <v>38.260988879874006</v>
      </c>
      <c r="O38">
        <f t="shared" si="9"/>
        <v>0</v>
      </c>
      <c r="P38" s="5">
        <f t="shared" si="16"/>
        <v>0</v>
      </c>
    </row>
    <row r="39" spans="1:16" x14ac:dyDescent="0.55000000000000004">
      <c r="A39" t="s">
        <v>318</v>
      </c>
      <c r="B39">
        <v>4811074</v>
      </c>
      <c r="C39" t="s">
        <v>278</v>
      </c>
      <c r="D39">
        <v>673</v>
      </c>
      <c r="E39">
        <v>1.3</v>
      </c>
      <c r="F39">
        <v>3.5</v>
      </c>
      <c r="G39">
        <f t="shared" si="10"/>
        <v>7148.6983655274889</v>
      </c>
      <c r="H39">
        <f t="shared" si="11"/>
        <v>17227.610053626195</v>
      </c>
      <c r="I39">
        <f t="shared" si="12"/>
        <v>4793846.3899463741</v>
      </c>
      <c r="J39" s="16">
        <f t="shared" si="7"/>
        <v>1.4709888621131685E-2</v>
      </c>
      <c r="K39" s="5">
        <f t="shared" si="13"/>
        <v>17227.610053626195</v>
      </c>
      <c r="L39">
        <f t="shared" si="14"/>
        <v>0</v>
      </c>
      <c r="M39" s="5">
        <f t="shared" si="15"/>
        <v>4811074</v>
      </c>
      <c r="N39" s="5">
        <f t="shared" si="8"/>
        <v>7148.6983655274889</v>
      </c>
      <c r="O39">
        <f t="shared" si="9"/>
        <v>0</v>
      </c>
      <c r="P39" s="5">
        <f t="shared" si="16"/>
        <v>0</v>
      </c>
    </row>
    <row r="40" spans="1:16" x14ac:dyDescent="0.55000000000000004">
      <c r="A40" t="s">
        <v>319</v>
      </c>
      <c r="B40">
        <v>1322177</v>
      </c>
      <c r="C40" t="s">
        <v>295</v>
      </c>
      <c r="D40">
        <v>43847</v>
      </c>
      <c r="E40">
        <v>0.5</v>
      </c>
      <c r="F40">
        <v>0.66</v>
      </c>
      <c r="G40">
        <f t="shared" si="10"/>
        <v>30.154332109380345</v>
      </c>
      <c r="H40">
        <f t="shared" si="11"/>
        <v>1122405.673137218</v>
      </c>
      <c r="I40">
        <f t="shared" si="12"/>
        <v>199771.32686278201</v>
      </c>
      <c r="J40" s="16">
        <f t="shared" si="7"/>
        <v>6.1299710687644454E-4</v>
      </c>
      <c r="K40" s="5">
        <f t="shared" si="13"/>
        <v>1122405.673137218</v>
      </c>
      <c r="L40">
        <f t="shared" si="14"/>
        <v>0</v>
      </c>
      <c r="M40" s="5">
        <f t="shared" si="15"/>
        <v>1322177</v>
      </c>
      <c r="N40" s="5">
        <f t="shared" si="8"/>
        <v>30.154332109380345</v>
      </c>
      <c r="O40">
        <f t="shared" si="9"/>
        <v>0</v>
      </c>
      <c r="P40" s="5">
        <f t="shared" si="16"/>
        <v>0</v>
      </c>
    </row>
    <row r="41" spans="1:16" x14ac:dyDescent="0.55000000000000004">
      <c r="A41" t="s">
        <v>320</v>
      </c>
      <c r="B41">
        <v>9670323</v>
      </c>
      <c r="C41" t="s">
        <v>260</v>
      </c>
      <c r="D41">
        <v>377773</v>
      </c>
      <c r="E41">
        <v>0</v>
      </c>
      <c r="F41">
        <v>0</v>
      </c>
      <c r="G41">
        <f t="shared" si="10"/>
        <v>25.598237565945688</v>
      </c>
      <c r="H41">
        <f t="shared" si="11"/>
        <v>9670320.8510973677</v>
      </c>
      <c r="I41">
        <f t="shared" si="12"/>
        <v>2.1489026322960854</v>
      </c>
      <c r="J41" s="16">
        <f t="shared" si="7"/>
        <v>6.5938947157390489E-9</v>
      </c>
      <c r="K41" s="5">
        <f t="shared" si="13"/>
        <v>9670320.8510973677</v>
      </c>
      <c r="L41">
        <f t="shared" si="14"/>
        <v>1</v>
      </c>
      <c r="M41" s="5">
        <f t="shared" si="15"/>
        <v>9670323</v>
      </c>
      <c r="N41" s="5">
        <f t="shared" si="8"/>
        <v>25.598237565945688</v>
      </c>
      <c r="O41">
        <f t="shared" si="9"/>
        <v>0</v>
      </c>
      <c r="P41" s="5">
        <f t="shared" si="16"/>
        <v>0</v>
      </c>
    </row>
    <row r="42" spans="1:16" x14ac:dyDescent="0.55000000000000004">
      <c r="A42" t="s">
        <v>321</v>
      </c>
      <c r="B42">
        <v>10296182</v>
      </c>
      <c r="C42" t="s">
        <v>280</v>
      </c>
      <c r="D42">
        <v>3737</v>
      </c>
      <c r="E42">
        <v>1.9</v>
      </c>
      <c r="F42">
        <v>4.49</v>
      </c>
      <c r="G42">
        <f t="shared" si="10"/>
        <v>2755.1998929622691</v>
      </c>
      <c r="H42">
        <f t="shared" si="11"/>
        <v>95660.592526598935</v>
      </c>
      <c r="I42">
        <f t="shared" si="12"/>
        <v>10200521.4074734</v>
      </c>
      <c r="J42" s="16">
        <f t="shared" si="7"/>
        <v>3.1300238175358312E-2</v>
      </c>
      <c r="K42" s="5">
        <f t="shared" si="13"/>
        <v>95660.592526598935</v>
      </c>
      <c r="L42">
        <f t="shared" si="14"/>
        <v>0</v>
      </c>
      <c r="M42" s="5">
        <f t="shared" si="15"/>
        <v>10296182</v>
      </c>
      <c r="N42" s="5">
        <f t="shared" si="8"/>
        <v>2755.1998929622691</v>
      </c>
      <c r="O42">
        <f t="shared" si="9"/>
        <v>0</v>
      </c>
      <c r="P42" s="5">
        <f t="shared" si="16"/>
        <v>0</v>
      </c>
    </row>
    <row r="43" spans="1:16" x14ac:dyDescent="0.55000000000000004">
      <c r="A43" t="s">
        <v>322</v>
      </c>
      <c r="B43">
        <v>3248596</v>
      </c>
      <c r="C43" t="s">
        <v>260</v>
      </c>
      <c r="D43">
        <v>126907</v>
      </c>
      <c r="E43">
        <v>0</v>
      </c>
      <c r="F43">
        <v>0</v>
      </c>
      <c r="G43">
        <f t="shared" si="10"/>
        <v>25.598241231768146</v>
      </c>
      <c r="H43">
        <f t="shared" si="11"/>
        <v>3248594.8128908458</v>
      </c>
      <c r="I43">
        <f t="shared" si="12"/>
        <v>1.1871091541834176</v>
      </c>
      <c r="J43" s="16">
        <f t="shared" si="7"/>
        <v>3.6426372517454095E-9</v>
      </c>
      <c r="K43" s="5">
        <f t="shared" si="13"/>
        <v>3248594.8128908458</v>
      </c>
      <c r="L43">
        <f t="shared" si="14"/>
        <v>1</v>
      </c>
      <c r="M43" s="5">
        <f t="shared" si="15"/>
        <v>3248596</v>
      </c>
      <c r="N43" s="5">
        <f t="shared" si="8"/>
        <v>25.598241231768146</v>
      </c>
      <c r="O43">
        <f t="shared" si="9"/>
        <v>0</v>
      </c>
      <c r="P43" s="5">
        <f t="shared" si="16"/>
        <v>0</v>
      </c>
    </row>
    <row r="44" spans="1:16" x14ac:dyDescent="0.55000000000000004">
      <c r="A44" t="s">
        <v>323</v>
      </c>
      <c r="B44">
        <v>3968472</v>
      </c>
      <c r="C44" t="s">
        <v>278</v>
      </c>
      <c r="D44">
        <v>465</v>
      </c>
      <c r="E44">
        <v>1.3</v>
      </c>
      <c r="F44">
        <v>2.95</v>
      </c>
      <c r="G44">
        <f t="shared" si="10"/>
        <v>8534.3483870967739</v>
      </c>
      <c r="H44">
        <f t="shared" si="11"/>
        <v>11903.177823084963</v>
      </c>
      <c r="I44">
        <f t="shared" si="12"/>
        <v>3956568.8221769151</v>
      </c>
      <c r="J44" s="16">
        <f t="shared" si="7"/>
        <v>1.2140707474090686E-2</v>
      </c>
      <c r="K44" s="5">
        <f t="shared" si="13"/>
        <v>11903.177823084963</v>
      </c>
      <c r="L44">
        <f t="shared" si="14"/>
        <v>0</v>
      </c>
      <c r="M44" s="5">
        <f t="shared" si="15"/>
        <v>3968472</v>
      </c>
      <c r="N44" s="5">
        <f t="shared" si="8"/>
        <v>8534.3483870967739</v>
      </c>
      <c r="O44">
        <f t="shared" si="9"/>
        <v>0</v>
      </c>
      <c r="P44" s="5">
        <f t="shared" si="16"/>
        <v>0</v>
      </c>
    </row>
    <row r="45" spans="1:16" x14ac:dyDescent="0.55000000000000004">
      <c r="A45" t="s">
        <v>324</v>
      </c>
      <c r="B45">
        <v>7290182</v>
      </c>
      <c r="C45" t="s">
        <v>282</v>
      </c>
      <c r="D45">
        <v>13255</v>
      </c>
      <c r="E45">
        <v>1.3</v>
      </c>
      <c r="F45">
        <v>2.44</v>
      </c>
      <c r="G45">
        <f t="shared" si="10"/>
        <v>549.99486986043007</v>
      </c>
      <c r="H45">
        <f t="shared" si="11"/>
        <v>339304.56353761547</v>
      </c>
      <c r="I45">
        <f t="shared" si="12"/>
        <v>6950877.4364623846</v>
      </c>
      <c r="J45" s="16">
        <f t="shared" si="7"/>
        <v>2.1328725326687569E-2</v>
      </c>
      <c r="K45" s="5">
        <f t="shared" si="13"/>
        <v>339304.56353761547</v>
      </c>
      <c r="L45">
        <f t="shared" si="14"/>
        <v>0</v>
      </c>
      <c r="M45" s="5">
        <f t="shared" si="15"/>
        <v>7290182</v>
      </c>
      <c r="N45" s="5">
        <f t="shared" si="8"/>
        <v>549.99486986043007</v>
      </c>
      <c r="O45">
        <f t="shared" si="9"/>
        <v>0</v>
      </c>
      <c r="P45" s="5">
        <f t="shared" si="16"/>
        <v>0</v>
      </c>
    </row>
    <row r="46" spans="1:16" x14ac:dyDescent="0.55000000000000004">
      <c r="A46" t="s">
        <v>325</v>
      </c>
      <c r="B46">
        <v>5629820</v>
      </c>
      <c r="C46" t="s">
        <v>282</v>
      </c>
      <c r="D46">
        <v>23702</v>
      </c>
      <c r="E46">
        <v>1.3</v>
      </c>
      <c r="F46">
        <v>2.02</v>
      </c>
      <c r="G46">
        <f t="shared" si="10"/>
        <v>237.5251033668045</v>
      </c>
      <c r="H46">
        <f t="shared" si="11"/>
        <v>606729.2919629243</v>
      </c>
      <c r="I46">
        <f t="shared" si="12"/>
        <v>5023090.7080370756</v>
      </c>
      <c r="J46" s="16">
        <f t="shared" si="7"/>
        <v>1.5413323423134012E-2</v>
      </c>
      <c r="K46" s="5">
        <f t="shared" si="13"/>
        <v>606729.2919629243</v>
      </c>
      <c r="L46">
        <f t="shared" si="14"/>
        <v>0</v>
      </c>
      <c r="M46" s="5">
        <f t="shared" si="15"/>
        <v>5629820</v>
      </c>
      <c r="N46" s="5">
        <f t="shared" si="8"/>
        <v>237.5251033668045</v>
      </c>
      <c r="O46">
        <f t="shared" si="9"/>
        <v>0</v>
      </c>
      <c r="P46" s="5">
        <f t="shared" si="16"/>
        <v>0</v>
      </c>
    </row>
    <row r="47" spans="1:16" x14ac:dyDescent="0.55000000000000004">
      <c r="A47" t="s">
        <v>326</v>
      </c>
      <c r="B47">
        <v>6210091</v>
      </c>
      <c r="C47" t="s">
        <v>280</v>
      </c>
      <c r="D47">
        <v>849</v>
      </c>
      <c r="E47">
        <v>1.9</v>
      </c>
      <c r="F47">
        <v>4.17</v>
      </c>
      <c r="G47">
        <f t="shared" si="10"/>
        <v>7314.594817432273</v>
      </c>
      <c r="H47">
        <f t="shared" si="11"/>
        <v>21732.89886408416</v>
      </c>
      <c r="I47">
        <f t="shared" si="12"/>
        <v>6188358.1011359161</v>
      </c>
      <c r="J47" s="16">
        <f t="shared" si="7"/>
        <v>1.8988939363241798E-2</v>
      </c>
      <c r="K47" s="5">
        <f t="shared" si="13"/>
        <v>21732.89886408416</v>
      </c>
      <c r="L47">
        <f t="shared" si="14"/>
        <v>0</v>
      </c>
      <c r="M47" s="5">
        <f t="shared" si="15"/>
        <v>6210091</v>
      </c>
      <c r="N47" s="5">
        <f t="shared" si="8"/>
        <v>7314.594817432273</v>
      </c>
      <c r="O47">
        <f t="shared" si="9"/>
        <v>0</v>
      </c>
      <c r="P47" s="5">
        <f t="shared" si="16"/>
        <v>0</v>
      </c>
    </row>
    <row r="48" spans="1:16" x14ac:dyDescent="0.55000000000000004">
      <c r="A48" t="s">
        <v>327</v>
      </c>
      <c r="B48">
        <v>13057764</v>
      </c>
      <c r="C48" t="s">
        <v>260</v>
      </c>
      <c r="D48">
        <v>510104</v>
      </c>
      <c r="E48">
        <v>0</v>
      </c>
      <c r="F48">
        <v>0</v>
      </c>
      <c r="G48">
        <f t="shared" si="10"/>
        <v>25.598238790521147</v>
      </c>
      <c r="H48">
        <f t="shared" si="11"/>
        <v>13057760.473692328</v>
      </c>
      <c r="I48">
        <f t="shared" si="12"/>
        <v>3.5263076722621918</v>
      </c>
      <c r="J48" s="16">
        <f t="shared" si="7"/>
        <v>1.0820453740779798E-8</v>
      </c>
      <c r="K48" s="5">
        <f t="shared" si="13"/>
        <v>13057760.473692328</v>
      </c>
      <c r="L48">
        <f t="shared" si="14"/>
        <v>1</v>
      </c>
      <c r="M48" s="5">
        <f t="shared" si="15"/>
        <v>13057764</v>
      </c>
      <c r="N48" s="5">
        <f t="shared" si="8"/>
        <v>25.598238790521147</v>
      </c>
      <c r="O48">
        <f t="shared" si="9"/>
        <v>0</v>
      </c>
      <c r="P48" s="5">
        <f t="shared" si="16"/>
        <v>0</v>
      </c>
    </row>
    <row r="49" spans="1:16" x14ac:dyDescent="0.55000000000000004">
      <c r="A49" t="s">
        <v>328</v>
      </c>
      <c r="B49">
        <v>4704657</v>
      </c>
      <c r="C49" t="s">
        <v>278</v>
      </c>
      <c r="D49">
        <v>1079</v>
      </c>
      <c r="E49">
        <v>1.3</v>
      </c>
      <c r="F49">
        <v>3.19</v>
      </c>
      <c r="G49">
        <f t="shared" si="10"/>
        <v>4360.2011121408714</v>
      </c>
      <c r="H49">
        <f t="shared" si="11"/>
        <v>27620.492195932635</v>
      </c>
      <c r="I49">
        <f t="shared" si="12"/>
        <v>4677036.5078040678</v>
      </c>
      <c r="J49" s="16">
        <f t="shared" si="7"/>
        <v>1.4351458205054029E-2</v>
      </c>
      <c r="K49" s="5">
        <f t="shared" si="13"/>
        <v>27620.492195932635</v>
      </c>
      <c r="L49">
        <f t="shared" si="14"/>
        <v>0</v>
      </c>
      <c r="M49" s="5">
        <f t="shared" si="15"/>
        <v>4704657</v>
      </c>
      <c r="N49" s="5">
        <f t="shared" si="8"/>
        <v>4360.2011121408714</v>
      </c>
      <c r="O49">
        <f t="shared" si="9"/>
        <v>0</v>
      </c>
      <c r="P49" s="5">
        <f t="shared" si="16"/>
        <v>0</v>
      </c>
    </row>
    <row r="50" spans="1:16" x14ac:dyDescent="0.55000000000000004">
      <c r="A50" t="s">
        <v>329</v>
      </c>
      <c r="B50">
        <v>6912441</v>
      </c>
      <c r="C50" t="s">
        <v>282</v>
      </c>
      <c r="D50">
        <v>18945</v>
      </c>
      <c r="E50">
        <v>1.3</v>
      </c>
      <c r="F50">
        <v>2.58</v>
      </c>
      <c r="G50">
        <f t="shared" si="10"/>
        <v>364.86888361045129</v>
      </c>
      <c r="H50">
        <f t="shared" si="11"/>
        <v>484958.50292117125</v>
      </c>
      <c r="I50">
        <f t="shared" si="12"/>
        <v>6427482.4970788285</v>
      </c>
      <c r="J50" s="16">
        <f t="shared" si="7"/>
        <v>1.9722691124310424E-2</v>
      </c>
      <c r="K50" s="5">
        <f t="shared" si="13"/>
        <v>484958.50292117125</v>
      </c>
      <c r="L50">
        <f t="shared" si="14"/>
        <v>0</v>
      </c>
      <c r="M50" s="5">
        <f t="shared" si="15"/>
        <v>6912440.9999999991</v>
      </c>
      <c r="N50" s="5">
        <f t="shared" si="8"/>
        <v>364.86888361045123</v>
      </c>
      <c r="O50">
        <f t="shared" si="9"/>
        <v>0</v>
      </c>
      <c r="P50" s="5">
        <f t="shared" si="16"/>
        <v>0</v>
      </c>
    </row>
    <row r="51" spans="1:16" x14ac:dyDescent="0.55000000000000004">
      <c r="A51" t="s">
        <v>330</v>
      </c>
      <c r="B51">
        <v>7743133</v>
      </c>
      <c r="C51" t="s">
        <v>280</v>
      </c>
      <c r="D51">
        <v>3966</v>
      </c>
      <c r="E51">
        <v>1.9</v>
      </c>
      <c r="F51">
        <v>3.93</v>
      </c>
      <c r="G51">
        <f t="shared" si="10"/>
        <v>1952.3784669692386</v>
      </c>
      <c r="H51">
        <f t="shared" si="11"/>
        <v>101522.58762656982</v>
      </c>
      <c r="I51">
        <f t="shared" si="12"/>
        <v>7641610.4123734301</v>
      </c>
      <c r="J51" s="16">
        <f t="shared" si="7"/>
        <v>2.3448235280928716E-2</v>
      </c>
      <c r="K51" s="5">
        <f t="shared" si="13"/>
        <v>101522.58762656982</v>
      </c>
      <c r="L51">
        <f t="shared" si="14"/>
        <v>0</v>
      </c>
      <c r="M51" s="5">
        <f t="shared" si="15"/>
        <v>7743133.0000000009</v>
      </c>
      <c r="N51" s="5">
        <f t="shared" si="8"/>
        <v>1952.3784669692388</v>
      </c>
      <c r="O51">
        <f t="shared" si="9"/>
        <v>0</v>
      </c>
      <c r="P51" s="5">
        <f t="shared" si="16"/>
        <v>0</v>
      </c>
    </row>
    <row r="52" spans="1:16" x14ac:dyDescent="0.55000000000000004">
      <c r="A52" t="s">
        <v>331</v>
      </c>
      <c r="B52">
        <v>4138992</v>
      </c>
      <c r="C52" t="s">
        <v>278</v>
      </c>
      <c r="D52">
        <v>924</v>
      </c>
      <c r="E52">
        <v>1.3</v>
      </c>
      <c r="F52">
        <v>2.99</v>
      </c>
      <c r="G52">
        <f t="shared" si="10"/>
        <v>4479.4285714285716</v>
      </c>
      <c r="H52">
        <f t="shared" si="11"/>
        <v>23652.766254904313</v>
      </c>
      <c r="I52">
        <f t="shared" si="12"/>
        <v>4115339.2337450958</v>
      </c>
      <c r="J52" s="16">
        <f t="shared" si="7"/>
        <v>1.2627893520643441E-2</v>
      </c>
      <c r="K52" s="5">
        <f t="shared" si="13"/>
        <v>23652.766254904313</v>
      </c>
      <c r="L52">
        <f t="shared" si="14"/>
        <v>0</v>
      </c>
      <c r="M52" s="5">
        <f t="shared" si="15"/>
        <v>4138992</v>
      </c>
      <c r="N52" s="5">
        <f t="shared" si="8"/>
        <v>4479.4285714285716</v>
      </c>
      <c r="O52">
        <f t="shared" si="9"/>
        <v>0</v>
      </c>
      <c r="P52" s="5">
        <f t="shared" si="16"/>
        <v>0</v>
      </c>
    </row>
    <row r="53" spans="1:16" x14ac:dyDescent="0.55000000000000004">
      <c r="A53" t="s">
        <v>332</v>
      </c>
      <c r="B53">
        <v>1494092</v>
      </c>
      <c r="C53" t="s">
        <v>260</v>
      </c>
      <c r="D53">
        <v>58367</v>
      </c>
      <c r="E53">
        <v>0</v>
      </c>
      <c r="F53">
        <v>0</v>
      </c>
      <c r="G53">
        <f t="shared" si="10"/>
        <v>25.598231877602071</v>
      </c>
      <c r="H53">
        <f t="shared" si="11"/>
        <v>1494092</v>
      </c>
      <c r="I53">
        <f t="shared" si="12"/>
        <v>0</v>
      </c>
      <c r="J53" s="16">
        <f t="shared" si="7"/>
        <v>0</v>
      </c>
      <c r="K53" s="5">
        <f t="shared" si="13"/>
        <v>1494092</v>
      </c>
      <c r="L53">
        <f t="shared" si="14"/>
        <v>0</v>
      </c>
      <c r="M53" s="5">
        <f t="shared" si="15"/>
        <v>1494092</v>
      </c>
      <c r="N53" s="5">
        <f t="shared" si="8"/>
        <v>25.598231877602071</v>
      </c>
      <c r="O53">
        <f t="shared" si="9"/>
        <v>0</v>
      </c>
      <c r="P53" s="5">
        <f t="shared" si="16"/>
        <v>0</v>
      </c>
    </row>
    <row r="54" spans="1:16" x14ac:dyDescent="0.55000000000000004">
      <c r="A54" t="s">
        <v>333</v>
      </c>
      <c r="B54">
        <v>6689770</v>
      </c>
      <c r="C54" t="s">
        <v>282</v>
      </c>
      <c r="D54">
        <v>10352</v>
      </c>
      <c r="E54">
        <v>1.3</v>
      </c>
      <c r="F54">
        <v>2.3199999999999998</v>
      </c>
      <c r="G54">
        <f t="shared" si="10"/>
        <v>646.22971406491502</v>
      </c>
      <c r="H54">
        <f t="shared" si="11"/>
        <v>264992.89639693662</v>
      </c>
      <c r="I54">
        <f t="shared" si="12"/>
        <v>6424777.1036030632</v>
      </c>
      <c r="J54" s="16">
        <f t="shared" si="7"/>
        <v>1.9714389640811014E-2</v>
      </c>
      <c r="K54" s="5">
        <f t="shared" si="13"/>
        <v>264992.89639693662</v>
      </c>
      <c r="L54">
        <f t="shared" si="14"/>
        <v>0</v>
      </c>
      <c r="M54" s="5">
        <f t="shared" si="15"/>
        <v>6689770</v>
      </c>
      <c r="N54" s="5">
        <f t="shared" si="8"/>
        <v>646.22971406491502</v>
      </c>
      <c r="O54">
        <f t="shared" si="9"/>
        <v>0</v>
      </c>
      <c r="P54" s="5">
        <f t="shared" si="16"/>
        <v>0</v>
      </c>
    </row>
    <row r="55" spans="1:16" x14ac:dyDescent="0.55000000000000004">
      <c r="A55" t="s">
        <v>334</v>
      </c>
      <c r="B55">
        <v>5811301</v>
      </c>
      <c r="C55" t="s">
        <v>278</v>
      </c>
      <c r="D55">
        <v>2908</v>
      </c>
      <c r="E55">
        <v>1.3</v>
      </c>
      <c r="F55">
        <v>3.48</v>
      </c>
      <c r="G55">
        <f t="shared" si="10"/>
        <v>1998.3841127922972</v>
      </c>
      <c r="H55">
        <f t="shared" si="11"/>
        <v>74439.658300066818</v>
      </c>
      <c r="I55">
        <f t="shared" si="12"/>
        <v>5736861.3416999336</v>
      </c>
      <c r="J55" s="16">
        <f t="shared" si="7"/>
        <v>1.760352429069512E-2</v>
      </c>
      <c r="K55" s="5">
        <f t="shared" si="13"/>
        <v>74439.658300066818</v>
      </c>
      <c r="L55">
        <f t="shared" si="14"/>
        <v>0</v>
      </c>
      <c r="M55" s="5">
        <f t="shared" si="15"/>
        <v>5811301</v>
      </c>
      <c r="N55" s="5">
        <f t="shared" si="8"/>
        <v>1998.3841127922972</v>
      </c>
      <c r="O55">
        <f t="shared" si="9"/>
        <v>0</v>
      </c>
      <c r="P55" s="5">
        <f t="shared" si="16"/>
        <v>0</v>
      </c>
    </row>
    <row r="56" spans="1:16" x14ac:dyDescent="0.55000000000000004">
      <c r="A56" t="s">
        <v>335</v>
      </c>
      <c r="B56">
        <v>4988631</v>
      </c>
      <c r="C56" t="s">
        <v>278</v>
      </c>
      <c r="D56">
        <v>2214</v>
      </c>
      <c r="E56">
        <v>1.3</v>
      </c>
      <c r="F56">
        <v>2.78</v>
      </c>
      <c r="G56">
        <f t="shared" si="10"/>
        <v>2253.2208672086722</v>
      </c>
      <c r="H56">
        <f t="shared" si="11"/>
        <v>56674.485377010984</v>
      </c>
      <c r="I56">
        <f t="shared" si="12"/>
        <v>4931956.5146229891</v>
      </c>
      <c r="J56" s="16">
        <f t="shared" si="7"/>
        <v>1.5133678702454325E-2</v>
      </c>
      <c r="K56" s="5">
        <f t="shared" si="13"/>
        <v>56674.485377010984</v>
      </c>
      <c r="L56">
        <f t="shared" si="14"/>
        <v>0</v>
      </c>
      <c r="M56" s="5">
        <f t="shared" si="15"/>
        <v>4988631</v>
      </c>
      <c r="N56" s="5">
        <f t="shared" si="8"/>
        <v>2253.2208672086722</v>
      </c>
      <c r="O56">
        <f t="shared" si="9"/>
        <v>0</v>
      </c>
      <c r="P56" s="5">
        <f t="shared" si="16"/>
        <v>0</v>
      </c>
    </row>
    <row r="57" spans="1:16" x14ac:dyDescent="0.55000000000000004">
      <c r="A57" t="s">
        <v>336</v>
      </c>
      <c r="B57">
        <v>7767270</v>
      </c>
      <c r="C57" t="s">
        <v>280</v>
      </c>
      <c r="D57">
        <v>1725</v>
      </c>
      <c r="E57">
        <v>1.9</v>
      </c>
      <c r="F57">
        <v>4.7</v>
      </c>
      <c r="G57">
        <f t="shared" si="10"/>
        <v>4502.7652173913048</v>
      </c>
      <c r="H57">
        <f t="shared" si="11"/>
        <v>44156.949988863576</v>
      </c>
      <c r="I57">
        <f t="shared" si="12"/>
        <v>7723113.0500111366</v>
      </c>
      <c r="J57" s="16">
        <f t="shared" si="7"/>
        <v>2.3698325631027004E-2</v>
      </c>
      <c r="K57" s="5">
        <f t="shared" si="13"/>
        <v>44156.949988863576</v>
      </c>
      <c r="L57">
        <f t="shared" si="14"/>
        <v>0</v>
      </c>
      <c r="M57" s="5">
        <f t="shared" si="15"/>
        <v>7767270</v>
      </c>
      <c r="N57" s="5">
        <f t="shared" si="8"/>
        <v>4502.7652173913048</v>
      </c>
      <c r="O57">
        <f t="shared" si="9"/>
        <v>0</v>
      </c>
      <c r="P57" s="5">
        <f t="shared" si="16"/>
        <v>0</v>
      </c>
    </row>
    <row r="58" spans="1:16" x14ac:dyDescent="0.55000000000000004">
      <c r="A58" t="s">
        <v>337</v>
      </c>
      <c r="B58">
        <v>4616151</v>
      </c>
      <c r="C58" t="s">
        <v>278</v>
      </c>
      <c r="D58">
        <v>644</v>
      </c>
      <c r="E58">
        <v>1.3</v>
      </c>
      <c r="F58">
        <v>3.22</v>
      </c>
      <c r="G58">
        <f t="shared" si="10"/>
        <v>7167.9363354037268</v>
      </c>
      <c r="H58">
        <f t="shared" si="11"/>
        <v>16485.261329175733</v>
      </c>
      <c r="I58">
        <f t="shared" si="12"/>
        <v>4599665.7386708241</v>
      </c>
      <c r="J58" s="16">
        <f t="shared" si="7"/>
        <v>1.4114046468443496E-2</v>
      </c>
      <c r="K58" s="5">
        <f t="shared" si="13"/>
        <v>16485.261329175733</v>
      </c>
      <c r="L58">
        <f t="shared" si="14"/>
        <v>0</v>
      </c>
      <c r="M58" s="5">
        <f t="shared" si="15"/>
        <v>4616151</v>
      </c>
      <c r="N58" s="5">
        <f t="shared" si="8"/>
        <v>7167.9363354037268</v>
      </c>
      <c r="O58">
        <f t="shared" si="9"/>
        <v>0</v>
      </c>
      <c r="P58" s="5">
        <f t="shared" si="16"/>
        <v>0</v>
      </c>
    </row>
    <row r="59" spans="1:16" x14ac:dyDescent="0.55000000000000004">
      <c r="A59" t="s">
        <v>338</v>
      </c>
      <c r="B59">
        <v>7096295</v>
      </c>
      <c r="C59" t="s">
        <v>280</v>
      </c>
      <c r="D59">
        <v>709</v>
      </c>
      <c r="E59">
        <v>1.9</v>
      </c>
      <c r="F59">
        <v>4.6100000000000003</v>
      </c>
      <c r="G59">
        <f t="shared" si="10"/>
        <v>10008.878702397744</v>
      </c>
      <c r="H59">
        <f t="shared" si="11"/>
        <v>18149.146401219867</v>
      </c>
      <c r="I59">
        <f t="shared" si="12"/>
        <v>7078145.85359878</v>
      </c>
      <c r="J59" s="16">
        <f t="shared" si="7"/>
        <v>2.1719247694068858E-2</v>
      </c>
      <c r="K59" s="5">
        <f t="shared" si="13"/>
        <v>18149.146401219867</v>
      </c>
      <c r="L59">
        <f t="shared" si="14"/>
        <v>0</v>
      </c>
      <c r="M59" s="5">
        <f t="shared" si="15"/>
        <v>7096295</v>
      </c>
      <c r="N59" s="5">
        <f t="shared" si="8"/>
        <v>10008.878702397744</v>
      </c>
      <c r="O59">
        <f t="shared" si="9"/>
        <v>0</v>
      </c>
      <c r="P59" s="5">
        <f t="shared" si="16"/>
        <v>0</v>
      </c>
    </row>
    <row r="60" spans="1:16" x14ac:dyDescent="0.55000000000000004">
      <c r="A60" t="s">
        <v>339</v>
      </c>
      <c r="B60">
        <v>4270017</v>
      </c>
      <c r="C60" t="s">
        <v>260</v>
      </c>
      <c r="D60">
        <v>166809</v>
      </c>
      <c r="E60">
        <v>0</v>
      </c>
      <c r="F60">
        <v>0</v>
      </c>
      <c r="G60">
        <f t="shared" si="10"/>
        <v>25.598241102098807</v>
      </c>
      <c r="H60">
        <f t="shared" si="11"/>
        <v>4270015.4612709237</v>
      </c>
      <c r="I60">
        <f t="shared" si="12"/>
        <v>1.5387290762737393</v>
      </c>
      <c r="J60" s="16">
        <f t="shared" si="7"/>
        <v>4.7215808536444879E-9</v>
      </c>
      <c r="K60" s="5">
        <f t="shared" si="13"/>
        <v>4270015.4612709237</v>
      </c>
      <c r="L60">
        <f t="shared" si="14"/>
        <v>1</v>
      </c>
      <c r="M60" s="5">
        <f t="shared" si="15"/>
        <v>4270017</v>
      </c>
      <c r="N60" s="5">
        <f t="shared" si="8"/>
        <v>25.598241102098807</v>
      </c>
      <c r="O60">
        <f t="shared" si="9"/>
        <v>0</v>
      </c>
      <c r="P60" s="5">
        <f t="shared" si="16"/>
        <v>0</v>
      </c>
    </row>
    <row r="61" spans="1:16" x14ac:dyDescent="0.55000000000000004">
      <c r="A61" t="s">
        <v>340</v>
      </c>
      <c r="B61">
        <v>6118609</v>
      </c>
      <c r="C61" t="s">
        <v>280</v>
      </c>
      <c r="D61">
        <v>781</v>
      </c>
      <c r="E61">
        <v>1.9</v>
      </c>
      <c r="F61">
        <v>3.92</v>
      </c>
      <c r="G61">
        <f t="shared" si="10"/>
        <v>7834.3265044814343</v>
      </c>
      <c r="H61">
        <f t="shared" si="11"/>
        <v>19992.219096407218</v>
      </c>
      <c r="I61">
        <f t="shared" si="12"/>
        <v>6098616.7809035927</v>
      </c>
      <c r="J61" s="16">
        <f t="shared" si="7"/>
        <v>1.8713568665486596E-2</v>
      </c>
      <c r="K61" s="5">
        <f t="shared" si="13"/>
        <v>19992.219096407218</v>
      </c>
      <c r="L61">
        <f t="shared" si="14"/>
        <v>0</v>
      </c>
      <c r="M61" s="5">
        <f t="shared" si="15"/>
        <v>6118609</v>
      </c>
      <c r="N61" s="5">
        <f t="shared" si="8"/>
        <v>7834.3265044814343</v>
      </c>
      <c r="O61">
        <f t="shared" si="9"/>
        <v>0</v>
      </c>
      <c r="P61" s="5">
        <f t="shared" si="16"/>
        <v>0</v>
      </c>
    </row>
    <row r="62" spans="1:16" x14ac:dyDescent="0.55000000000000004">
      <c r="A62" t="s">
        <v>341</v>
      </c>
      <c r="B62">
        <v>2163486</v>
      </c>
      <c r="C62" t="s">
        <v>260</v>
      </c>
      <c r="D62">
        <v>84517</v>
      </c>
      <c r="E62">
        <v>0</v>
      </c>
      <c r="F62">
        <v>0</v>
      </c>
      <c r="G62">
        <f t="shared" si="10"/>
        <v>25.598234674680832</v>
      </c>
      <c r="H62">
        <f t="shared" si="11"/>
        <v>2163485.7635992942</v>
      </c>
      <c r="I62">
        <f t="shared" si="12"/>
        <v>0.23640070576220751</v>
      </c>
      <c r="J62" s="16">
        <f t="shared" si="7"/>
        <v>7.2539413424089618E-10</v>
      </c>
      <c r="K62" s="5">
        <f t="shared" si="13"/>
        <v>2163485.7635992942</v>
      </c>
      <c r="L62">
        <f t="shared" si="14"/>
        <v>1</v>
      </c>
      <c r="M62" s="5">
        <f t="shared" si="15"/>
        <v>2163486</v>
      </c>
      <c r="N62" s="5">
        <f t="shared" si="8"/>
        <v>25.598234674680832</v>
      </c>
      <c r="O62">
        <f t="shared" si="9"/>
        <v>0</v>
      </c>
      <c r="P62" s="5">
        <f t="shared" si="16"/>
        <v>0</v>
      </c>
    </row>
    <row r="63" spans="1:16" x14ac:dyDescent="0.55000000000000004">
      <c r="A63" t="s">
        <v>342</v>
      </c>
      <c r="B63">
        <v>1188157</v>
      </c>
      <c r="C63" t="s">
        <v>295</v>
      </c>
      <c r="D63">
        <v>45248</v>
      </c>
      <c r="E63">
        <v>0.5</v>
      </c>
      <c r="F63">
        <v>0.7</v>
      </c>
      <c r="G63">
        <f t="shared" si="10"/>
        <v>26.258773868458274</v>
      </c>
      <c r="H63">
        <f t="shared" si="11"/>
        <v>1158268.7959977386</v>
      </c>
      <c r="I63">
        <f t="shared" si="12"/>
        <v>29888.204002261395</v>
      </c>
      <c r="J63" s="16">
        <f t="shared" si="7"/>
        <v>9.1711773009865987E-5</v>
      </c>
      <c r="K63" s="5">
        <f t="shared" si="13"/>
        <v>1158268.7959977386</v>
      </c>
      <c r="L63">
        <f t="shared" si="14"/>
        <v>0</v>
      </c>
      <c r="M63" s="5">
        <f t="shared" si="15"/>
        <v>1188157</v>
      </c>
      <c r="N63" s="5">
        <f t="shared" si="8"/>
        <v>26.258773868458274</v>
      </c>
      <c r="O63">
        <f t="shared" si="9"/>
        <v>0</v>
      </c>
      <c r="P63" s="5">
        <f t="shared" si="16"/>
        <v>0</v>
      </c>
    </row>
    <row r="64" spans="1:16" x14ac:dyDescent="0.55000000000000004">
      <c r="A64" t="s">
        <v>343</v>
      </c>
      <c r="B64">
        <v>1184887</v>
      </c>
      <c r="C64" t="s">
        <v>295</v>
      </c>
      <c r="D64">
        <v>26251</v>
      </c>
      <c r="E64">
        <v>0.5</v>
      </c>
      <c r="F64">
        <v>0.7</v>
      </c>
      <c r="G64">
        <f t="shared" si="10"/>
        <v>45.136832882556853</v>
      </c>
      <c r="H64">
        <f t="shared" si="11"/>
        <v>671979.18501893198</v>
      </c>
      <c r="I64">
        <f t="shared" si="12"/>
        <v>512907.81498106802</v>
      </c>
      <c r="J64" s="16">
        <f t="shared" si="7"/>
        <v>1.5738545246469459E-3</v>
      </c>
      <c r="K64" s="5">
        <f t="shared" si="13"/>
        <v>671979.18501893198</v>
      </c>
      <c r="L64">
        <f t="shared" si="14"/>
        <v>0</v>
      </c>
      <c r="M64" s="5">
        <f t="shared" si="15"/>
        <v>1184887</v>
      </c>
      <c r="N64" s="5">
        <f t="shared" si="8"/>
        <v>45.136832882556853</v>
      </c>
      <c r="O64">
        <f t="shared" si="9"/>
        <v>0</v>
      </c>
      <c r="P64" s="5">
        <f t="shared" si="16"/>
        <v>0</v>
      </c>
    </row>
    <row r="65" spans="1:16" x14ac:dyDescent="0.55000000000000004">
      <c r="A65" t="s">
        <v>344</v>
      </c>
      <c r="B65">
        <v>2532218</v>
      </c>
      <c r="C65" t="s">
        <v>295</v>
      </c>
      <c r="D65">
        <v>34290</v>
      </c>
      <c r="E65">
        <v>0.5</v>
      </c>
      <c r="F65">
        <v>0.75</v>
      </c>
      <c r="G65">
        <f t="shared" si="10"/>
        <v>73.847127442403036</v>
      </c>
      <c r="H65">
        <f t="shared" si="11"/>
        <v>877763.37108297506</v>
      </c>
      <c r="I65">
        <f t="shared" si="12"/>
        <v>1654454.6289170249</v>
      </c>
      <c r="J65" s="16">
        <f t="shared" si="7"/>
        <v>5.0766840112199405E-3</v>
      </c>
      <c r="K65" s="5">
        <f t="shared" si="13"/>
        <v>877763.37108297506</v>
      </c>
      <c r="L65">
        <f t="shared" si="14"/>
        <v>0</v>
      </c>
      <c r="M65" s="5">
        <f t="shared" si="15"/>
        <v>2532218</v>
      </c>
      <c r="N65" s="5">
        <f t="shared" si="8"/>
        <v>73.847127442403036</v>
      </c>
      <c r="O65">
        <f t="shared" si="9"/>
        <v>0</v>
      </c>
      <c r="P65" s="5">
        <f t="shared" si="16"/>
        <v>0</v>
      </c>
    </row>
    <row r="66" spans="1:16" x14ac:dyDescent="0.55000000000000004">
      <c r="A66" t="s">
        <v>345</v>
      </c>
      <c r="B66">
        <v>2090028</v>
      </c>
      <c r="C66" t="s">
        <v>295</v>
      </c>
      <c r="D66">
        <v>37444</v>
      </c>
      <c r="E66">
        <v>0.5</v>
      </c>
      <c r="F66">
        <v>0.75</v>
      </c>
      <c r="G66">
        <f t="shared" ref="G66:G78" si="17">B66/D66</f>
        <v>55.817434034825339</v>
      </c>
      <c r="H66">
        <f t="shared" ref="H66:H78" si="18">MIN(G$2:G$78) * D66</f>
        <v>958500.19442493201</v>
      </c>
      <c r="I66">
        <f t="shared" ref="I66:I78" si="19">B66-H66</f>
        <v>1131527.8055750681</v>
      </c>
      <c r="J66" s="16">
        <f t="shared" si="7"/>
        <v>3.4720862200820317E-3</v>
      </c>
      <c r="K66" s="5">
        <f t="shared" ref="K66:K78" si="20" xml:space="preserve"> $S$8 * $S$6 * D66</f>
        <v>958500.19442493201</v>
      </c>
      <c r="L66">
        <f t="shared" ref="L66:L78" si="21">IF(D66&gt;=80000, 1, 0)</f>
        <v>0</v>
      </c>
      <c r="M66" s="5">
        <f t="shared" ref="M66:M78" si="22">K66+J66*$S$9</f>
        <v>2090028</v>
      </c>
      <c r="N66" s="5">
        <f t="shared" si="8"/>
        <v>55.817434034825339</v>
      </c>
      <c r="O66">
        <f t="shared" si="9"/>
        <v>0</v>
      </c>
      <c r="P66" s="5">
        <f t="shared" ref="P66:P78" si="23">ROUND(N66-G66, 2)</f>
        <v>0</v>
      </c>
    </row>
    <row r="67" spans="1:16" x14ac:dyDescent="0.55000000000000004">
      <c r="A67" t="s">
        <v>346</v>
      </c>
      <c r="B67">
        <v>9367471</v>
      </c>
      <c r="C67" t="s">
        <v>260</v>
      </c>
      <c r="D67">
        <v>365942</v>
      </c>
      <c r="E67">
        <v>0</v>
      </c>
      <c r="F67">
        <v>0</v>
      </c>
      <c r="G67">
        <f t="shared" si="17"/>
        <v>25.59823961174175</v>
      </c>
      <c r="H67">
        <f t="shared" si="18"/>
        <v>9367468.1697534565</v>
      </c>
      <c r="I67">
        <f t="shared" si="19"/>
        <v>2.8302465435117483</v>
      </c>
      <c r="J67" s="16">
        <f t="shared" ref="J67:J78" si="24">I67/$S$10</f>
        <v>8.6845943818125692E-9</v>
      </c>
      <c r="K67" s="5">
        <f t="shared" si="20"/>
        <v>9367468.1697534565</v>
      </c>
      <c r="L67">
        <f t="shared" si="21"/>
        <v>1</v>
      </c>
      <c r="M67" s="5">
        <f t="shared" si="22"/>
        <v>9367471</v>
      </c>
      <c r="N67" s="5">
        <f t="shared" ref="N67:N78" si="25">M67/D67</f>
        <v>25.59823961174175</v>
      </c>
      <c r="O67">
        <f t="shared" ref="O67:O78" si="26">ROUND((M67-B67)/B67 * 100, 2)</f>
        <v>0</v>
      </c>
      <c r="P67" s="5">
        <f t="shared" si="23"/>
        <v>0</v>
      </c>
    </row>
    <row r="68" spans="1:16" x14ac:dyDescent="0.55000000000000004">
      <c r="A68" t="s">
        <v>347</v>
      </c>
      <c r="B68">
        <v>1715223</v>
      </c>
      <c r="C68" t="s">
        <v>295</v>
      </c>
      <c r="D68">
        <v>27259</v>
      </c>
      <c r="E68">
        <v>0.5</v>
      </c>
      <c r="F68">
        <v>0.82</v>
      </c>
      <c r="G68">
        <f t="shared" si="17"/>
        <v>62.923181334605083</v>
      </c>
      <c r="H68">
        <f t="shared" si="18"/>
        <v>697782.2027515549</v>
      </c>
      <c r="I68">
        <f t="shared" si="19"/>
        <v>1017440.7972484451</v>
      </c>
      <c r="J68" s="16">
        <f t="shared" si="24"/>
        <v>3.1220109258209821E-3</v>
      </c>
      <c r="K68" s="5">
        <f t="shared" si="20"/>
        <v>697782.2027515549</v>
      </c>
      <c r="L68">
        <f t="shared" si="21"/>
        <v>0</v>
      </c>
      <c r="M68" s="5">
        <f t="shared" si="22"/>
        <v>1715223</v>
      </c>
      <c r="N68" s="5">
        <f t="shared" si="25"/>
        <v>62.923181334605083</v>
      </c>
      <c r="O68">
        <f t="shared" si="26"/>
        <v>0</v>
      </c>
      <c r="P68" s="5">
        <f t="shared" si="23"/>
        <v>0</v>
      </c>
    </row>
    <row r="69" spans="1:16" x14ac:dyDescent="0.55000000000000004">
      <c r="A69" t="s">
        <v>348</v>
      </c>
      <c r="B69">
        <v>4654297</v>
      </c>
      <c r="C69" t="s">
        <v>260</v>
      </c>
      <c r="D69">
        <v>181821</v>
      </c>
      <c r="E69">
        <v>0</v>
      </c>
      <c r="F69">
        <v>0</v>
      </c>
      <c r="G69">
        <f t="shared" si="17"/>
        <v>25.598236727330725</v>
      </c>
      <c r="H69">
        <f t="shared" si="18"/>
        <v>4654296.118217486</v>
      </c>
      <c r="I69">
        <f t="shared" si="19"/>
        <v>0.88178251404315233</v>
      </c>
      <c r="J69" s="16">
        <f t="shared" si="24"/>
        <v>2.7057443052073587E-9</v>
      </c>
      <c r="K69" s="5">
        <f t="shared" si="20"/>
        <v>4654296.118217486</v>
      </c>
      <c r="L69">
        <f t="shared" si="21"/>
        <v>1</v>
      </c>
      <c r="M69" s="5">
        <f t="shared" si="22"/>
        <v>4654297</v>
      </c>
      <c r="N69" s="5">
        <f t="shared" si="25"/>
        <v>25.598236727330725</v>
      </c>
      <c r="O69">
        <f t="shared" si="26"/>
        <v>0</v>
      </c>
      <c r="P69" s="5">
        <f t="shared" si="23"/>
        <v>0</v>
      </c>
    </row>
    <row r="70" spans="1:16" x14ac:dyDescent="0.55000000000000004">
      <c r="A70" t="s">
        <v>349</v>
      </c>
      <c r="B70">
        <v>8232749</v>
      </c>
      <c r="C70" t="s">
        <v>280</v>
      </c>
      <c r="D70">
        <v>3502</v>
      </c>
      <c r="E70">
        <v>1.9</v>
      </c>
      <c r="F70">
        <v>4.53</v>
      </c>
      <c r="G70">
        <f t="shared" si="17"/>
        <v>2350.870645345517</v>
      </c>
      <c r="H70">
        <f t="shared" si="18"/>
        <v>89645.008035362451</v>
      </c>
      <c r="I70">
        <f t="shared" si="19"/>
        <v>8143103.9919646373</v>
      </c>
      <c r="J70" s="16">
        <f t="shared" si="24"/>
        <v>2.4987065293394301E-2</v>
      </c>
      <c r="K70" s="5">
        <f t="shared" si="20"/>
        <v>89645.008035362451</v>
      </c>
      <c r="L70">
        <f t="shared" si="21"/>
        <v>0</v>
      </c>
      <c r="M70" s="5">
        <f t="shared" si="22"/>
        <v>8232748.9999999991</v>
      </c>
      <c r="N70" s="5">
        <f t="shared" si="25"/>
        <v>2350.8706453455166</v>
      </c>
      <c r="O70">
        <f t="shared" si="26"/>
        <v>0</v>
      </c>
      <c r="P70" s="5">
        <f t="shared" si="23"/>
        <v>0</v>
      </c>
    </row>
    <row r="71" spans="1:16" x14ac:dyDescent="0.55000000000000004">
      <c r="A71" t="s">
        <v>350</v>
      </c>
      <c r="B71">
        <v>15547470</v>
      </c>
      <c r="C71" t="s">
        <v>278</v>
      </c>
      <c r="D71">
        <v>4286</v>
      </c>
      <c r="E71">
        <v>1.3</v>
      </c>
      <c r="F71">
        <v>4.8499999999999996</v>
      </c>
      <c r="G71">
        <f t="shared" si="17"/>
        <v>3627.5011665888942</v>
      </c>
      <c r="H71">
        <f t="shared" si="18"/>
        <v>109714.02182740248</v>
      </c>
      <c r="I71">
        <f t="shared" si="19"/>
        <v>15437755.978172598</v>
      </c>
      <c r="J71" s="16">
        <f t="shared" si="24"/>
        <v>4.7370660744444307E-2</v>
      </c>
      <c r="K71" s="5">
        <f t="shared" si="20"/>
        <v>109714.02182740248</v>
      </c>
      <c r="L71">
        <f t="shared" si="21"/>
        <v>0</v>
      </c>
      <c r="M71" s="5">
        <f t="shared" si="22"/>
        <v>15547470</v>
      </c>
      <c r="N71" s="5">
        <f t="shared" si="25"/>
        <v>3627.5011665888942</v>
      </c>
      <c r="O71">
        <f t="shared" si="26"/>
        <v>0</v>
      </c>
      <c r="P71" s="5">
        <f t="shared" si="23"/>
        <v>0</v>
      </c>
    </row>
    <row r="72" spans="1:16" x14ac:dyDescent="0.55000000000000004">
      <c r="A72" t="s">
        <v>351</v>
      </c>
      <c r="B72">
        <v>5156330</v>
      </c>
      <c r="C72" t="s">
        <v>260</v>
      </c>
      <c r="D72">
        <v>201433</v>
      </c>
      <c r="E72">
        <v>0</v>
      </c>
      <c r="F72">
        <v>0</v>
      </c>
      <c r="G72">
        <f t="shared" si="17"/>
        <v>25.598238620285652</v>
      </c>
      <c r="H72">
        <f t="shared" si="18"/>
        <v>5156328.6418010183</v>
      </c>
      <c r="I72">
        <f t="shared" si="19"/>
        <v>1.3581989817321301</v>
      </c>
      <c r="J72" s="16">
        <f t="shared" si="24"/>
        <v>4.1676253516411886E-9</v>
      </c>
      <c r="K72" s="5">
        <f t="shared" si="20"/>
        <v>5156328.6418010183</v>
      </c>
      <c r="L72">
        <f t="shared" si="21"/>
        <v>1</v>
      </c>
      <c r="M72" s="5">
        <f t="shared" si="22"/>
        <v>5156330</v>
      </c>
      <c r="N72" s="5">
        <f t="shared" si="25"/>
        <v>25.598238620285652</v>
      </c>
      <c r="O72">
        <f t="shared" si="26"/>
        <v>0</v>
      </c>
      <c r="P72" s="5">
        <f t="shared" si="23"/>
        <v>0</v>
      </c>
    </row>
    <row r="73" spans="1:16" x14ac:dyDescent="0.55000000000000004">
      <c r="A73" t="s">
        <v>352</v>
      </c>
      <c r="B73">
        <v>3864084</v>
      </c>
      <c r="C73" t="s">
        <v>295</v>
      </c>
      <c r="D73">
        <v>34991</v>
      </c>
      <c r="E73">
        <v>0.5</v>
      </c>
      <c r="F73">
        <v>0.97</v>
      </c>
      <c r="G73">
        <f t="shared" si="17"/>
        <v>110.43079649052613</v>
      </c>
      <c r="H73">
        <f t="shared" si="18"/>
        <v>895707.73162917409</v>
      </c>
      <c r="I73">
        <f t="shared" si="19"/>
        <v>2968376.2683708258</v>
      </c>
      <c r="J73" s="16">
        <f t="shared" si="24"/>
        <v>9.1084446061764166E-3</v>
      </c>
      <c r="K73" s="5">
        <f t="shared" si="20"/>
        <v>895707.73162917409</v>
      </c>
      <c r="L73">
        <f t="shared" si="21"/>
        <v>0</v>
      </c>
      <c r="M73" s="5">
        <f t="shared" si="22"/>
        <v>3864083.9999999995</v>
      </c>
      <c r="N73" s="5">
        <f t="shared" si="25"/>
        <v>110.43079649052612</v>
      </c>
      <c r="O73">
        <f t="shared" si="26"/>
        <v>0</v>
      </c>
      <c r="P73" s="5">
        <f t="shared" si="23"/>
        <v>0</v>
      </c>
    </row>
    <row r="74" spans="1:16" x14ac:dyDescent="0.55000000000000004">
      <c r="A74" t="s">
        <v>353</v>
      </c>
      <c r="B74">
        <v>2646761</v>
      </c>
      <c r="C74" t="s">
        <v>295</v>
      </c>
      <c r="D74">
        <v>39712</v>
      </c>
      <c r="E74">
        <v>0.5</v>
      </c>
      <c r="F74">
        <v>0.97</v>
      </c>
      <c r="G74">
        <f t="shared" si="17"/>
        <v>66.648897058823536</v>
      </c>
      <c r="H74">
        <f t="shared" si="18"/>
        <v>1016556.9843233335</v>
      </c>
      <c r="I74">
        <f t="shared" si="19"/>
        <v>1630204.0156766665</v>
      </c>
      <c r="J74" s="16">
        <f t="shared" si="24"/>
        <v>5.0022711513277394E-3</v>
      </c>
      <c r="K74" s="5">
        <f t="shared" si="20"/>
        <v>1016556.9843233335</v>
      </c>
      <c r="L74">
        <f t="shared" si="21"/>
        <v>0</v>
      </c>
      <c r="M74" s="5">
        <f t="shared" si="22"/>
        <v>2646761</v>
      </c>
      <c r="N74" s="5">
        <f t="shared" si="25"/>
        <v>66.648897058823536</v>
      </c>
      <c r="O74">
        <f t="shared" si="26"/>
        <v>0</v>
      </c>
      <c r="P74" s="5">
        <f t="shared" si="23"/>
        <v>0</v>
      </c>
    </row>
    <row r="75" spans="1:16" x14ac:dyDescent="0.55000000000000004">
      <c r="A75" t="s">
        <v>354</v>
      </c>
      <c r="B75">
        <v>6339589</v>
      </c>
      <c r="C75" t="s">
        <v>280</v>
      </c>
      <c r="D75">
        <v>1138</v>
      </c>
      <c r="E75">
        <v>1.9</v>
      </c>
      <c r="F75">
        <v>4</v>
      </c>
      <c r="G75">
        <f t="shared" si="17"/>
        <v>5570.8163444639722</v>
      </c>
      <c r="H75">
        <f t="shared" si="18"/>
        <v>29130.787876711158</v>
      </c>
      <c r="I75">
        <f t="shared" si="19"/>
        <v>6310458.2121232888</v>
      </c>
      <c r="J75" s="16">
        <f t="shared" si="24"/>
        <v>1.9363602814498559E-2</v>
      </c>
      <c r="K75" s="5">
        <f t="shared" si="20"/>
        <v>29130.787876711158</v>
      </c>
      <c r="L75">
        <f t="shared" si="21"/>
        <v>0</v>
      </c>
      <c r="M75" s="5">
        <f t="shared" si="22"/>
        <v>6339589.0000000009</v>
      </c>
      <c r="N75" s="5">
        <f t="shared" si="25"/>
        <v>5570.8163444639731</v>
      </c>
      <c r="O75">
        <f t="shared" si="26"/>
        <v>0</v>
      </c>
      <c r="P75" s="5">
        <f t="shared" si="23"/>
        <v>0</v>
      </c>
    </row>
    <row r="76" spans="1:16" x14ac:dyDescent="0.55000000000000004">
      <c r="A76" t="s">
        <v>355</v>
      </c>
      <c r="B76">
        <v>3591560</v>
      </c>
      <c r="C76" t="s">
        <v>278</v>
      </c>
      <c r="D76">
        <v>1081</v>
      </c>
      <c r="E76">
        <v>1.3</v>
      </c>
      <c r="F76">
        <v>2.46</v>
      </c>
      <c r="G76">
        <f t="shared" si="17"/>
        <v>3322.4421831637374</v>
      </c>
      <c r="H76">
        <f t="shared" si="18"/>
        <v>27671.688659687839</v>
      </c>
      <c r="I76">
        <f t="shared" si="19"/>
        <v>3563888.311340312</v>
      </c>
      <c r="J76" s="16">
        <f t="shared" si="24"/>
        <v>1.0935769704242758E-2</v>
      </c>
      <c r="K76" s="5">
        <f t="shared" si="20"/>
        <v>27671.688659687839</v>
      </c>
      <c r="L76">
        <f t="shared" si="21"/>
        <v>0</v>
      </c>
      <c r="M76" s="5">
        <f t="shared" si="22"/>
        <v>3591560</v>
      </c>
      <c r="N76" s="5">
        <f t="shared" si="25"/>
        <v>3322.4421831637374</v>
      </c>
      <c r="O76">
        <f t="shared" si="26"/>
        <v>0</v>
      </c>
      <c r="P76" s="5">
        <f t="shared" si="23"/>
        <v>0</v>
      </c>
    </row>
    <row r="77" spans="1:16" x14ac:dyDescent="0.55000000000000004">
      <c r="A77" t="s">
        <v>356</v>
      </c>
      <c r="B77">
        <v>3482027</v>
      </c>
      <c r="C77" t="s">
        <v>278</v>
      </c>
      <c r="D77">
        <v>293</v>
      </c>
      <c r="E77">
        <v>1.3</v>
      </c>
      <c r="F77">
        <v>2.52</v>
      </c>
      <c r="G77">
        <f t="shared" si="17"/>
        <v>11884.05119453925</v>
      </c>
      <c r="H77">
        <f t="shared" si="18"/>
        <v>7500.2819401374072</v>
      </c>
      <c r="I77">
        <f t="shared" si="19"/>
        <v>3474526.7180598625</v>
      </c>
      <c r="J77" s="16">
        <f t="shared" si="24"/>
        <v>1.066156419634016E-2</v>
      </c>
      <c r="K77" s="5">
        <f t="shared" si="20"/>
        <v>7500.2819401374072</v>
      </c>
      <c r="L77">
        <f t="shared" si="21"/>
        <v>0</v>
      </c>
      <c r="M77" s="5">
        <f t="shared" si="22"/>
        <v>3482027</v>
      </c>
      <c r="N77" s="5">
        <f t="shared" si="25"/>
        <v>11884.05119453925</v>
      </c>
      <c r="O77">
        <f t="shared" si="26"/>
        <v>0</v>
      </c>
      <c r="P77" s="5">
        <f t="shared" si="23"/>
        <v>0</v>
      </c>
    </row>
    <row r="78" spans="1:16" x14ac:dyDescent="0.55000000000000004">
      <c r="A78" t="s">
        <v>357</v>
      </c>
      <c r="B78">
        <v>3070129</v>
      </c>
      <c r="C78" t="s">
        <v>278</v>
      </c>
      <c r="D78">
        <v>2640</v>
      </c>
      <c r="E78">
        <v>1.3</v>
      </c>
      <c r="F78">
        <v>2.2000000000000002</v>
      </c>
      <c r="G78">
        <f t="shared" si="17"/>
        <v>1162.9276515151514</v>
      </c>
      <c r="H78">
        <f t="shared" si="18"/>
        <v>67579.332156869466</v>
      </c>
      <c r="I78">
        <f t="shared" si="19"/>
        <v>3002549.6678431304</v>
      </c>
      <c r="J78" s="16">
        <f t="shared" si="24"/>
        <v>9.2133054755395398E-3</v>
      </c>
      <c r="K78" s="5">
        <f t="shared" si="20"/>
        <v>67579.332156869466</v>
      </c>
      <c r="L78">
        <f t="shared" si="21"/>
        <v>0</v>
      </c>
      <c r="M78" s="5">
        <f t="shared" si="22"/>
        <v>3070129</v>
      </c>
      <c r="N78" s="5">
        <f t="shared" si="25"/>
        <v>1162.9276515151514</v>
      </c>
      <c r="O78">
        <f t="shared" si="26"/>
        <v>0</v>
      </c>
      <c r="P78" s="5">
        <f t="shared" si="23"/>
        <v>0</v>
      </c>
    </row>
    <row r="80" spans="1:16" x14ac:dyDescent="0.55000000000000004">
      <c r="J80" s="16"/>
    </row>
  </sheetData>
  <customSheetViews>
    <customSheetView guid="{6F58EB3B-97F3-43AA-9269-CE0BCA6518E5}">
      <pane xSplit="3" ySplit="1" topLeftCell="N2" activePane="bottomRight" state="frozen"/>
      <selection pane="bottomRight" activeCell="S9" sqref="S9"/>
      <pageMargins left="0.7" right="0.7" top="0.75" bottom="0.75" header="0.3" footer="0.3"/>
    </customSheetView>
  </customSheetViews>
  <conditionalFormatting sqref="L79:L1048576">
    <cfRule type="cellIs" dxfId="21" priority="5" operator="lessThan">
      <formula>0</formula>
    </cfRule>
    <cfRule type="cellIs" dxfId="20" priority="6" operator="greaterThan">
      <formula>0</formula>
    </cfRule>
  </conditionalFormatting>
  <conditionalFormatting sqref="O2:P78">
    <cfRule type="cellIs" dxfId="19" priority="2" operator="lessThan">
      <formula>0</formula>
    </cfRule>
    <cfRule type="cellIs" dxfId="18" priority="3" operator="equal">
      <formula>0</formula>
    </cfRule>
    <cfRule type="cellIs" dxfId="17" priority="4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F2FA6AE-CB20-433E-B2AF-FE6F1C351D12}">
            <xm:f>NOT(ISERROR(SEARCH($C$14,C1)))</xm:f>
            <xm:f>$C$14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C1:C1048576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CF3A-8E39-4266-922C-88215283A59C}">
  <sheetPr codeName="Sheet9"/>
  <dimension ref="A1:T34"/>
  <sheetViews>
    <sheetView topLeftCell="C1" workbookViewId="0">
      <selection activeCell="I2" sqref="I2"/>
    </sheetView>
  </sheetViews>
  <sheetFormatPr defaultColWidth="8.83984375" defaultRowHeight="14.4" x14ac:dyDescent="0.55000000000000004"/>
  <cols>
    <col min="1" max="1" width="30.3125" bestFit="1" customWidth="1"/>
    <col min="2" max="2" width="14.68359375" bestFit="1" customWidth="1"/>
    <col min="3" max="3" width="20.47265625" bestFit="1" customWidth="1"/>
    <col min="4" max="4" width="14.15625" bestFit="1" customWidth="1"/>
    <col min="5" max="5" width="23.68359375" bestFit="1" customWidth="1"/>
    <col min="6" max="6" width="23.47265625" bestFit="1" customWidth="1"/>
    <col min="7" max="7" width="23.47265625" customWidth="1"/>
    <col min="8" max="8" width="30.68359375" bestFit="1" customWidth="1"/>
    <col min="9" max="9" width="30.68359375" customWidth="1"/>
    <col min="10" max="10" width="10.68359375" bestFit="1" customWidth="1"/>
    <col min="11" max="11" width="22.47265625" bestFit="1" customWidth="1"/>
    <col min="12" max="12" width="14.47265625" bestFit="1" customWidth="1"/>
    <col min="13" max="13" width="17.68359375" bestFit="1" customWidth="1"/>
    <col min="14" max="14" width="17.68359375" customWidth="1"/>
    <col min="15" max="15" width="26.3125" bestFit="1" customWidth="1"/>
    <col min="16" max="16" width="21.68359375" style="4" bestFit="1" customWidth="1"/>
    <col min="17" max="17" width="15.83984375" bestFit="1" customWidth="1"/>
    <col min="19" max="19" width="26.3125" bestFit="1" customWidth="1"/>
    <col min="20" max="20" width="21.68359375" bestFit="1" customWidth="1"/>
  </cols>
  <sheetData>
    <row r="1" spans="1:20" x14ac:dyDescent="0.55000000000000004">
      <c r="A1" t="s">
        <v>80</v>
      </c>
      <c r="B1" t="s">
        <v>261</v>
      </c>
      <c r="C1" t="s">
        <v>262</v>
      </c>
      <c r="D1" t="s">
        <v>263</v>
      </c>
      <c r="E1" t="s">
        <v>264</v>
      </c>
      <c r="F1" t="s">
        <v>514</v>
      </c>
      <c r="G1" t="s">
        <v>266</v>
      </c>
      <c r="H1" t="s">
        <v>265</v>
      </c>
      <c r="I1" t="s">
        <v>457</v>
      </c>
      <c r="J1" t="s">
        <v>458</v>
      </c>
      <c r="K1" t="s">
        <v>466</v>
      </c>
      <c r="L1" s="4" t="s">
        <v>467</v>
      </c>
      <c r="M1" t="s">
        <v>468</v>
      </c>
      <c r="N1" t="s">
        <v>460</v>
      </c>
      <c r="O1" t="s">
        <v>462</v>
      </c>
      <c r="P1" t="s">
        <v>463</v>
      </c>
      <c r="Q1" t="s">
        <v>464</v>
      </c>
      <c r="T1" s="4"/>
    </row>
    <row r="2" spans="1:20" x14ac:dyDescent="0.55000000000000004">
      <c r="A2" t="s">
        <v>236</v>
      </c>
      <c r="B2">
        <v>12878577</v>
      </c>
      <c r="C2">
        <v>17893968</v>
      </c>
      <c r="D2">
        <v>5015391</v>
      </c>
      <c r="E2">
        <v>5015391</v>
      </c>
      <c r="F2">
        <f>G2*575000/$G$34</f>
        <v>9736.2486637933143</v>
      </c>
      <c r="G2">
        <v>10407</v>
      </c>
      <c r="H2">
        <v>1644592</v>
      </c>
      <c r="I2">
        <f>H2/F2</f>
        <v>168.91433824156817</v>
      </c>
      <c r="J2">
        <f>IF(D2&lt;0, 0, 1)</f>
        <v>1</v>
      </c>
      <c r="K2" s="5">
        <f xml:space="preserve"> $T$8 * $T$6 * F2</f>
        <v>249598.3076445426</v>
      </c>
      <c r="L2" s="4">
        <f xml:space="preserve"> (E2)/$T$11 * $T$5</f>
        <v>1931037.460533977</v>
      </c>
      <c r="M2">
        <f>IF($T$8=0%, IF(L2&gt;0, 0, 1), IF(L2&lt;K2, 1, 0))</f>
        <v>0</v>
      </c>
      <c r="N2" s="5">
        <f>IF(M2=1, K2*M2, E2*($T$9)/$T$12)</f>
        <v>1655542.1594803487</v>
      </c>
      <c r="O2" s="5">
        <f>N2/F2</f>
        <v>170.03901776224123</v>
      </c>
      <c r="P2">
        <f>ROUND((N2-H2)/H2 * 100, 2)</f>
        <v>0.67</v>
      </c>
      <c r="Q2">
        <f>ROUND(O2-I2, 2)</f>
        <v>1.1200000000000001</v>
      </c>
      <c r="T2" s="4"/>
    </row>
    <row r="3" spans="1:20" x14ac:dyDescent="0.55000000000000004">
      <c r="A3" t="s">
        <v>237</v>
      </c>
      <c r="B3">
        <v>17771031</v>
      </c>
      <c r="C3">
        <v>22850408</v>
      </c>
      <c r="D3">
        <v>5079377</v>
      </c>
      <c r="E3">
        <v>5079377</v>
      </c>
      <c r="F3">
        <f t="shared" ref="F3:F30" si="0">G3*575000/$G$34</f>
        <v>18996.303364881642</v>
      </c>
      <c r="G3">
        <v>20305</v>
      </c>
      <c r="H3">
        <v>1665573</v>
      </c>
      <c r="I3">
        <f t="shared" ref="I3:I30" si="1">H3/F3</f>
        <v>87.678795606051196</v>
      </c>
      <c r="J3">
        <f t="shared" ref="J3:J30" si="2">IF(D3&lt;0, 0, 1)</f>
        <v>1</v>
      </c>
      <c r="K3" s="5">
        <f t="shared" ref="K3:K30" si="3" xml:space="preserve"> $T$8 * $T$6 * F3</f>
        <v>486988.91483832395</v>
      </c>
      <c r="L3" s="4">
        <f t="shared" ref="L3:L30" si="4" xml:space="preserve"> (E3)/$T$11 * $T$5</f>
        <v>1955673.4984719416</v>
      </c>
      <c r="M3">
        <f t="shared" ref="M3:M30" si="5">IF($T$8=0%, IF(L3&gt;0, 0, 1), IF(L3&lt;K3, 1, 0))</f>
        <v>0</v>
      </c>
      <c r="N3" s="5">
        <f t="shared" ref="N3:N30" si="6">IF(M3=1, K3*M3, E3*($T$9)/$T$12)</f>
        <v>1676663.4480531658</v>
      </c>
      <c r="O3" s="5">
        <f t="shared" ref="O3:O30" si="7">N3/F3</f>
        <v>88.262616986460856</v>
      </c>
      <c r="P3">
        <f t="shared" ref="P3:P30" si="8">ROUND((N3-H3)/H3 * 100, 2)</f>
        <v>0.67</v>
      </c>
      <c r="Q3">
        <f t="shared" ref="Q3:Q30" si="9">ROUND(O3-I3, 2)</f>
        <v>0.57999999999999996</v>
      </c>
      <c r="T3" s="4"/>
    </row>
    <row r="4" spans="1:20" x14ac:dyDescent="0.55000000000000004">
      <c r="A4" t="s">
        <v>238</v>
      </c>
      <c r="B4">
        <v>22690950</v>
      </c>
      <c r="C4">
        <v>29188038</v>
      </c>
      <c r="D4">
        <v>6497088</v>
      </c>
      <c r="E4">
        <v>6497088</v>
      </c>
      <c r="F4">
        <f t="shared" si="0"/>
        <v>19928.109232964482</v>
      </c>
      <c r="G4">
        <v>21301</v>
      </c>
      <c r="H4">
        <v>2130454</v>
      </c>
      <c r="I4">
        <f t="shared" si="1"/>
        <v>106.90698124415471</v>
      </c>
      <c r="J4">
        <f t="shared" si="2"/>
        <v>1</v>
      </c>
      <c r="K4" s="5">
        <f t="shared" si="3"/>
        <v>510876.67446299619</v>
      </c>
      <c r="L4" s="4">
        <f t="shared" si="4"/>
        <v>2501523.8716953024</v>
      </c>
      <c r="M4">
        <f t="shared" si="5"/>
        <v>0</v>
      </c>
      <c r="N4" s="5">
        <f t="shared" si="6"/>
        <v>2144638.9918261329</v>
      </c>
      <c r="O4" s="5">
        <f t="shared" si="7"/>
        <v>107.6187894573829</v>
      </c>
      <c r="P4">
        <f t="shared" si="8"/>
        <v>0.67</v>
      </c>
      <c r="Q4">
        <f t="shared" si="9"/>
        <v>0.71</v>
      </c>
      <c r="T4" s="4"/>
    </row>
    <row r="5" spans="1:20" x14ac:dyDescent="0.55000000000000004">
      <c r="A5" t="s">
        <v>239</v>
      </c>
      <c r="B5">
        <v>24040252</v>
      </c>
      <c r="C5">
        <v>34105977</v>
      </c>
      <c r="D5">
        <v>10065725</v>
      </c>
      <c r="E5">
        <v>10065725</v>
      </c>
      <c r="F5">
        <f t="shared" si="0"/>
        <v>22464.380024503225</v>
      </c>
      <c r="G5">
        <v>24012</v>
      </c>
      <c r="H5">
        <v>3300641</v>
      </c>
      <c r="I5">
        <f t="shared" si="1"/>
        <v>146.92775836234057</v>
      </c>
      <c r="J5">
        <f t="shared" si="2"/>
        <v>1</v>
      </c>
      <c r="K5" s="5">
        <f t="shared" si="3"/>
        <v>575896.46998758113</v>
      </c>
      <c r="L5" s="4">
        <f t="shared" si="4"/>
        <v>3875528.7558703525</v>
      </c>
      <c r="M5">
        <f t="shared" si="5"/>
        <v>0</v>
      </c>
      <c r="N5" s="5">
        <f t="shared" si="6"/>
        <v>3322618.7356549734</v>
      </c>
      <c r="O5" s="5">
        <f t="shared" si="7"/>
        <v>147.90609542888774</v>
      </c>
      <c r="P5">
        <f t="shared" si="8"/>
        <v>0.67</v>
      </c>
      <c r="Q5">
        <f t="shared" si="9"/>
        <v>0.98</v>
      </c>
      <c r="S5" t="s">
        <v>456</v>
      </c>
      <c r="T5" s="4">
        <f>SUM(H2:H30)</f>
        <v>48383968</v>
      </c>
    </row>
    <row r="6" spans="1:20" x14ac:dyDescent="0.55000000000000004">
      <c r="A6" t="s">
        <v>267</v>
      </c>
      <c r="B6">
        <v>7942745</v>
      </c>
      <c r="C6">
        <v>12153637</v>
      </c>
      <c r="D6">
        <v>4210892</v>
      </c>
      <c r="E6">
        <v>4210892</v>
      </c>
      <c r="F6">
        <f t="shared" si="0"/>
        <v>5836.8843483623032</v>
      </c>
      <c r="G6">
        <v>6239</v>
      </c>
      <c r="H6">
        <v>1380789</v>
      </c>
      <c r="I6">
        <f t="shared" si="1"/>
        <v>236.5626792635386</v>
      </c>
      <c r="J6">
        <f t="shared" si="2"/>
        <v>1</v>
      </c>
      <c r="K6" s="5">
        <f t="shared" si="3"/>
        <v>149634.26937583368</v>
      </c>
      <c r="L6" s="4">
        <f t="shared" si="4"/>
        <v>1621287.3920025057</v>
      </c>
      <c r="M6">
        <f t="shared" si="5"/>
        <v>0</v>
      </c>
      <c r="N6" s="5">
        <f t="shared" si="6"/>
        <v>1389983.2007152631</v>
      </c>
      <c r="O6" s="5">
        <f t="shared" si="7"/>
        <v>238.1378690679833</v>
      </c>
      <c r="P6">
        <f t="shared" si="8"/>
        <v>0.67</v>
      </c>
      <c r="Q6">
        <f t="shared" si="9"/>
        <v>1.58</v>
      </c>
      <c r="S6" t="s">
        <v>457</v>
      </c>
      <c r="T6" s="4">
        <f>T7 / 30%</f>
        <v>85.453277493735541</v>
      </c>
    </row>
    <row r="7" spans="1:20" x14ac:dyDescent="0.55000000000000004">
      <c r="A7" t="s">
        <v>240</v>
      </c>
      <c r="B7">
        <v>15727715</v>
      </c>
      <c r="C7">
        <v>20615393</v>
      </c>
      <c r="D7">
        <v>4887678</v>
      </c>
      <c r="E7">
        <v>4887678</v>
      </c>
      <c r="F7">
        <f t="shared" si="0"/>
        <v>9083.2361176870654</v>
      </c>
      <c r="G7">
        <v>9709</v>
      </c>
      <c r="H7">
        <v>1602714</v>
      </c>
      <c r="I7">
        <f t="shared" si="1"/>
        <v>176.44746643535581</v>
      </c>
      <c r="J7">
        <f t="shared" si="2"/>
        <v>1</v>
      </c>
      <c r="K7" s="5">
        <f t="shared" si="3"/>
        <v>232857.68895175017</v>
      </c>
      <c r="L7" s="4">
        <f t="shared" si="4"/>
        <v>1881865.1054379982</v>
      </c>
      <c r="M7">
        <f t="shared" si="5"/>
        <v>0</v>
      </c>
      <c r="N7" s="5">
        <f t="shared" si="6"/>
        <v>1613385.0762512018</v>
      </c>
      <c r="O7" s="5">
        <f t="shared" si="7"/>
        <v>177.62227639437722</v>
      </c>
      <c r="P7">
        <f t="shared" si="8"/>
        <v>0.67</v>
      </c>
      <c r="Q7">
        <f t="shared" si="9"/>
        <v>1.17</v>
      </c>
      <c r="S7" t="s">
        <v>473</v>
      </c>
      <c r="T7" s="4">
        <f>MIN(I2:I30)</f>
        <v>25.63598324812066</v>
      </c>
    </row>
    <row r="8" spans="1:20" x14ac:dyDescent="0.55000000000000004">
      <c r="A8" t="s">
        <v>241</v>
      </c>
      <c r="B8">
        <v>79647477</v>
      </c>
      <c r="C8">
        <v>65897731</v>
      </c>
      <c r="D8">
        <v>-13749746</v>
      </c>
      <c r="E8">
        <v>0</v>
      </c>
      <c r="F8">
        <f t="shared" si="0"/>
        <v>59559.79616441566</v>
      </c>
      <c r="G8">
        <v>63663</v>
      </c>
      <c r="H8">
        <v>1612267</v>
      </c>
      <c r="I8">
        <f t="shared" si="1"/>
        <v>27.069719908867956</v>
      </c>
      <c r="J8">
        <f t="shared" si="2"/>
        <v>0</v>
      </c>
      <c r="K8" s="5">
        <f t="shared" si="3"/>
        <v>1526873.9367324412</v>
      </c>
      <c r="L8" s="4">
        <f t="shared" si="4"/>
        <v>0</v>
      </c>
      <c r="M8">
        <f t="shared" si="5"/>
        <v>1</v>
      </c>
      <c r="N8" s="5">
        <f t="shared" si="6"/>
        <v>1526873.9367324412</v>
      </c>
      <c r="O8" s="5">
        <f t="shared" si="7"/>
        <v>25.635983248120663</v>
      </c>
      <c r="P8">
        <f t="shared" si="8"/>
        <v>-5.3</v>
      </c>
      <c r="Q8">
        <f t="shared" si="9"/>
        <v>-1.43</v>
      </c>
      <c r="S8" t="s">
        <v>472</v>
      </c>
      <c r="T8" s="6">
        <f xml:space="preserve"> Control!$C$5</f>
        <v>0.3</v>
      </c>
    </row>
    <row r="9" spans="1:20" x14ac:dyDescent="0.55000000000000004">
      <c r="A9" t="s">
        <v>268</v>
      </c>
      <c r="B9">
        <v>11589315</v>
      </c>
      <c r="C9">
        <v>16997510</v>
      </c>
      <c r="D9">
        <v>5408195</v>
      </c>
      <c r="E9">
        <v>5408195</v>
      </c>
      <c r="F9">
        <f t="shared" si="0"/>
        <v>11259.320906001012</v>
      </c>
      <c r="G9">
        <v>12035</v>
      </c>
      <c r="H9">
        <v>1773396</v>
      </c>
      <c r="I9">
        <f t="shared" si="1"/>
        <v>157.50470341908564</v>
      </c>
      <c r="J9">
        <f t="shared" si="2"/>
        <v>1</v>
      </c>
      <c r="K9" s="5">
        <f t="shared" si="3"/>
        <v>288643.76213145669</v>
      </c>
      <c r="L9" s="4">
        <f t="shared" si="4"/>
        <v>2082275.7665100389</v>
      </c>
      <c r="M9">
        <f t="shared" si="5"/>
        <v>0</v>
      </c>
      <c r="N9" s="5">
        <f t="shared" si="6"/>
        <v>1785203.7516498363</v>
      </c>
      <c r="O9" s="5">
        <f t="shared" si="7"/>
        <v>158.55341246187905</v>
      </c>
      <c r="P9">
        <f t="shared" si="8"/>
        <v>0.67</v>
      </c>
      <c r="Q9">
        <f t="shared" si="9"/>
        <v>1.05</v>
      </c>
      <c r="S9" t="s">
        <v>471</v>
      </c>
      <c r="T9" s="4">
        <f>$T$5-SUMPRODUCT($K$2:$K$80,$M$2:$M$80)</f>
        <v>41481172.946690582</v>
      </c>
    </row>
    <row r="10" spans="1:20" x14ac:dyDescent="0.55000000000000004">
      <c r="A10" t="s">
        <v>242</v>
      </c>
      <c r="B10">
        <v>28571892</v>
      </c>
      <c r="C10">
        <v>33794734</v>
      </c>
      <c r="D10">
        <v>5222842</v>
      </c>
      <c r="E10">
        <v>5222842</v>
      </c>
      <c r="F10">
        <f t="shared" si="0"/>
        <v>26007.300528950738</v>
      </c>
      <c r="G10">
        <v>27799</v>
      </c>
      <c r="H10">
        <v>1712618</v>
      </c>
      <c r="I10">
        <f t="shared" si="1"/>
        <v>65.85143268112553</v>
      </c>
      <c r="J10">
        <f t="shared" si="2"/>
        <v>1</v>
      </c>
      <c r="K10" s="5">
        <f t="shared" si="3"/>
        <v>666722.72068902082</v>
      </c>
      <c r="L10" s="4">
        <f t="shared" si="4"/>
        <v>2010910.7250960486</v>
      </c>
      <c r="M10">
        <f t="shared" si="5"/>
        <v>0</v>
      </c>
      <c r="N10" s="5">
        <f t="shared" si="6"/>
        <v>1724020.1458479834</v>
      </c>
      <c r="O10" s="5">
        <f t="shared" si="7"/>
        <v>66.289853648164794</v>
      </c>
      <c r="P10">
        <f t="shared" si="8"/>
        <v>0.67</v>
      </c>
      <c r="Q10">
        <f t="shared" si="9"/>
        <v>0.44</v>
      </c>
      <c r="T10" s="4"/>
    </row>
    <row r="11" spans="1:20" x14ac:dyDescent="0.55000000000000004">
      <c r="A11" t="s">
        <v>243</v>
      </c>
      <c r="B11">
        <v>13910204</v>
      </c>
      <c r="C11">
        <v>18796080</v>
      </c>
      <c r="D11">
        <v>4885876</v>
      </c>
      <c r="E11">
        <v>4885876</v>
      </c>
      <c r="F11">
        <f t="shared" si="0"/>
        <v>8252.4694401192301</v>
      </c>
      <c r="G11">
        <v>8821</v>
      </c>
      <c r="H11">
        <v>1602122</v>
      </c>
      <c r="I11">
        <f t="shared" si="1"/>
        <v>194.13849534677621</v>
      </c>
      <c r="J11">
        <f t="shared" si="2"/>
        <v>1</v>
      </c>
      <c r="K11" s="5">
        <f t="shared" si="3"/>
        <v>211560.16832252429</v>
      </c>
      <c r="L11" s="4">
        <f t="shared" si="4"/>
        <v>1881171.2952238233</v>
      </c>
      <c r="M11">
        <f t="shared" si="5"/>
        <v>0</v>
      </c>
      <c r="N11" s="5">
        <f t="shared" si="6"/>
        <v>1612790.2498515483</v>
      </c>
      <c r="O11" s="5">
        <f t="shared" si="7"/>
        <v>195.4312295918356</v>
      </c>
      <c r="P11">
        <f t="shared" si="8"/>
        <v>0.67</v>
      </c>
      <c r="Q11">
        <f t="shared" si="9"/>
        <v>1.29</v>
      </c>
      <c r="S11" t="s">
        <v>461</v>
      </c>
      <c r="T11" s="4">
        <f>SUM(E2:E30)</f>
        <v>125665360</v>
      </c>
    </row>
    <row r="12" spans="1:20" x14ac:dyDescent="0.55000000000000004">
      <c r="A12" t="s">
        <v>244</v>
      </c>
      <c r="B12">
        <v>2000495</v>
      </c>
      <c r="C12">
        <v>6012665</v>
      </c>
      <c r="D12">
        <v>4012170</v>
      </c>
      <c r="E12">
        <v>4012170</v>
      </c>
      <c r="F12">
        <f t="shared" si="0"/>
        <v>1350.9313991080567</v>
      </c>
      <c r="G12">
        <v>1444</v>
      </c>
      <c r="H12">
        <v>1315626</v>
      </c>
      <c r="I12">
        <f t="shared" si="1"/>
        <v>973.86588310008426</v>
      </c>
      <c r="J12">
        <f t="shared" si="2"/>
        <v>1</v>
      </c>
      <c r="K12" s="5">
        <f t="shared" si="3"/>
        <v>34632.454716894354</v>
      </c>
      <c r="L12" s="4">
        <f t="shared" si="4"/>
        <v>1544774.9872403978</v>
      </c>
      <c r="M12">
        <f t="shared" si="5"/>
        <v>0</v>
      </c>
      <c r="N12" s="5">
        <f t="shared" si="6"/>
        <v>1324386.5903978914</v>
      </c>
      <c r="O12" s="5">
        <f t="shared" si="7"/>
        <v>980.35073525739995</v>
      </c>
      <c r="P12">
        <f t="shared" si="8"/>
        <v>0.67</v>
      </c>
      <c r="Q12">
        <f t="shared" si="9"/>
        <v>6.48</v>
      </c>
      <c r="S12" t="s">
        <v>470</v>
      </c>
      <c r="T12" s="4" cm="1">
        <f t="array" ref="T12">SUMPRODUCT($E$2:$E$30,1-$M2:$M30)</f>
        <v>125665360</v>
      </c>
    </row>
    <row r="13" spans="1:20" x14ac:dyDescent="0.55000000000000004">
      <c r="A13" t="s">
        <v>245</v>
      </c>
      <c r="B13">
        <v>9149797</v>
      </c>
      <c r="C13">
        <v>13635883</v>
      </c>
      <c r="D13">
        <v>4486087</v>
      </c>
      <c r="E13">
        <v>4486087</v>
      </c>
      <c r="F13">
        <f t="shared" si="0"/>
        <v>7759.4356123284078</v>
      </c>
      <c r="G13">
        <v>8294</v>
      </c>
      <c r="H13">
        <v>1471028</v>
      </c>
      <c r="I13">
        <f t="shared" si="1"/>
        <v>189.57925208668394</v>
      </c>
      <c r="J13">
        <f t="shared" si="2"/>
        <v>1</v>
      </c>
      <c r="K13" s="5">
        <f t="shared" si="3"/>
        <v>198920.76137252196</v>
      </c>
      <c r="L13" s="4">
        <f t="shared" si="4"/>
        <v>1727243.6083676203</v>
      </c>
      <c r="M13">
        <f t="shared" si="5"/>
        <v>0</v>
      </c>
      <c r="N13" s="5">
        <f t="shared" si="6"/>
        <v>1480822.9626756357</v>
      </c>
      <c r="O13" s="5">
        <f t="shared" si="7"/>
        <v>190.8415813545592</v>
      </c>
      <c r="P13">
        <f t="shared" si="8"/>
        <v>0.67</v>
      </c>
      <c r="Q13">
        <f t="shared" si="9"/>
        <v>1.26</v>
      </c>
      <c r="T13" s="4"/>
    </row>
    <row r="14" spans="1:20" x14ac:dyDescent="0.55000000000000004">
      <c r="A14" t="s">
        <v>246</v>
      </c>
      <c r="B14">
        <v>13351115</v>
      </c>
      <c r="C14">
        <v>14371903</v>
      </c>
      <c r="D14">
        <v>1020788</v>
      </c>
      <c r="E14">
        <v>1020788</v>
      </c>
      <c r="F14">
        <f t="shared" si="0"/>
        <v>10148.82535839626</v>
      </c>
      <c r="G14">
        <v>10848</v>
      </c>
      <c r="H14">
        <v>334726</v>
      </c>
      <c r="I14">
        <f t="shared" si="1"/>
        <v>32.981747954020776</v>
      </c>
      <c r="J14">
        <f t="shared" si="2"/>
        <v>1</v>
      </c>
      <c r="K14" s="5">
        <f t="shared" si="3"/>
        <v>260175.1168759487</v>
      </c>
      <c r="L14" s="4">
        <f t="shared" si="4"/>
        <v>393026.160325996</v>
      </c>
      <c r="M14">
        <f t="shared" si="5"/>
        <v>0</v>
      </c>
      <c r="N14" s="5">
        <f t="shared" si="6"/>
        <v>336954.30124822294</v>
      </c>
      <c r="O14" s="5">
        <f t="shared" si="7"/>
        <v>33.201310432389704</v>
      </c>
      <c r="P14">
        <f t="shared" si="8"/>
        <v>0.67</v>
      </c>
      <c r="Q14">
        <f t="shared" si="9"/>
        <v>0.22</v>
      </c>
      <c r="T14" s="4"/>
    </row>
    <row r="15" spans="1:20" x14ac:dyDescent="0.55000000000000004">
      <c r="A15" t="s">
        <v>247</v>
      </c>
      <c r="B15">
        <v>57175708</v>
      </c>
      <c r="C15">
        <v>54075820</v>
      </c>
      <c r="D15">
        <v>-3099888</v>
      </c>
      <c r="E15">
        <v>0</v>
      </c>
      <c r="F15">
        <f t="shared" si="0"/>
        <v>48666.274550001384</v>
      </c>
      <c r="G15">
        <v>52019</v>
      </c>
      <c r="H15">
        <v>1286714</v>
      </c>
      <c r="I15">
        <f t="shared" si="1"/>
        <v>26.439541795581381</v>
      </c>
      <c r="J15">
        <f t="shared" si="2"/>
        <v>0</v>
      </c>
      <c r="K15" s="5">
        <f t="shared" si="3"/>
        <v>1247607.7991122764</v>
      </c>
      <c r="L15" s="4">
        <f t="shared" si="4"/>
        <v>0</v>
      </c>
      <c r="M15">
        <f t="shared" si="5"/>
        <v>1</v>
      </c>
      <c r="N15" s="5">
        <f t="shared" si="6"/>
        <v>1247607.7991122764</v>
      </c>
      <c r="O15" s="5">
        <f t="shared" si="7"/>
        <v>25.635983248120663</v>
      </c>
      <c r="P15">
        <f t="shared" si="8"/>
        <v>-3.04</v>
      </c>
      <c r="Q15">
        <f t="shared" si="9"/>
        <v>-0.8</v>
      </c>
      <c r="S15" t="s">
        <v>469</v>
      </c>
      <c r="T15" s="4">
        <f>SUM(J2:J80)</f>
        <v>24</v>
      </c>
    </row>
    <row r="16" spans="1:20" x14ac:dyDescent="0.55000000000000004">
      <c r="A16" t="s">
        <v>248</v>
      </c>
      <c r="B16">
        <v>127369838</v>
      </c>
      <c r="C16">
        <v>64102477</v>
      </c>
      <c r="D16">
        <v>-63267361</v>
      </c>
      <c r="E16">
        <v>0</v>
      </c>
      <c r="F16">
        <f t="shared" si="0"/>
        <v>53171.874008522434</v>
      </c>
      <c r="G16">
        <v>56835</v>
      </c>
      <c r="H16">
        <v>1417290</v>
      </c>
      <c r="I16">
        <f t="shared" si="1"/>
        <v>26.654881484388447</v>
      </c>
      <c r="J16">
        <f t="shared" si="2"/>
        <v>0</v>
      </c>
      <c r="K16" s="5">
        <f t="shared" si="3"/>
        <v>1363113.2713536636</v>
      </c>
      <c r="L16" s="4">
        <f t="shared" si="4"/>
        <v>0</v>
      </c>
      <c r="M16">
        <f t="shared" si="5"/>
        <v>1</v>
      </c>
      <c r="N16" s="5">
        <f t="shared" si="6"/>
        <v>1363113.2713536636</v>
      </c>
      <c r="O16" s="5">
        <f t="shared" si="7"/>
        <v>25.635983248120663</v>
      </c>
      <c r="P16">
        <f t="shared" si="8"/>
        <v>-3.82</v>
      </c>
      <c r="Q16">
        <f t="shared" si="9"/>
        <v>-1.02</v>
      </c>
      <c r="T16" s="4"/>
    </row>
    <row r="17" spans="1:20" x14ac:dyDescent="0.55000000000000004">
      <c r="A17" t="s">
        <v>249</v>
      </c>
      <c r="B17">
        <v>23354759</v>
      </c>
      <c r="C17">
        <v>29831408</v>
      </c>
      <c r="D17">
        <v>6476649</v>
      </c>
      <c r="E17">
        <v>6476648</v>
      </c>
      <c r="F17">
        <f t="shared" si="0"/>
        <v>20296.715168732193</v>
      </c>
      <c r="G17">
        <v>21695</v>
      </c>
      <c r="H17">
        <v>2123752</v>
      </c>
      <c r="I17">
        <f t="shared" si="1"/>
        <v>104.63525660899627</v>
      </c>
      <c r="J17">
        <f t="shared" si="2"/>
        <v>1</v>
      </c>
      <c r="K17" s="5">
        <f t="shared" si="3"/>
        <v>520326.25005749508</v>
      </c>
      <c r="L17" s="4">
        <f t="shared" si="4"/>
        <v>2493654.0155478329</v>
      </c>
      <c r="M17">
        <f t="shared" si="5"/>
        <v>0</v>
      </c>
      <c r="N17" s="5">
        <f t="shared" si="6"/>
        <v>2137891.9043628066</v>
      </c>
      <c r="O17" s="5">
        <f t="shared" si="7"/>
        <v>105.33191635148454</v>
      </c>
      <c r="P17">
        <f t="shared" si="8"/>
        <v>0.67</v>
      </c>
      <c r="Q17">
        <f t="shared" si="9"/>
        <v>0.7</v>
      </c>
      <c r="S17" t="s">
        <v>474</v>
      </c>
      <c r="T17" s="4" cm="1">
        <f t="array" ref="T17">IF(T8=30%, 0, SUMPRODUCT(IF(Q2:Q30 &lt; 0, 1, 0), Q2:Q30, F2:F30)/SUMPRODUCT(IF(Q2:Q30 &lt; 0, 1, 0), F2:F30))</f>
        <v>0</v>
      </c>
    </row>
    <row r="18" spans="1:20" x14ac:dyDescent="0.55000000000000004">
      <c r="A18" t="s">
        <v>250</v>
      </c>
      <c r="B18">
        <v>8408949</v>
      </c>
      <c r="C18">
        <v>14433687</v>
      </c>
      <c r="D18">
        <v>6024738</v>
      </c>
      <c r="E18">
        <v>6024738</v>
      </c>
      <c r="F18">
        <f t="shared" si="0"/>
        <v>6546.0297780880001</v>
      </c>
      <c r="G18">
        <v>6997</v>
      </c>
      <c r="H18">
        <v>1975566</v>
      </c>
      <c r="I18">
        <f t="shared" si="1"/>
        <v>301.79606066152576</v>
      </c>
      <c r="J18">
        <f t="shared" si="2"/>
        <v>1</v>
      </c>
      <c r="K18" s="5">
        <f t="shared" si="3"/>
        <v>167813.90973276299</v>
      </c>
      <c r="L18" s="4">
        <f t="shared" si="4"/>
        <v>2319658.5805378985</v>
      </c>
      <c r="M18">
        <f t="shared" si="5"/>
        <v>0</v>
      </c>
      <c r="N18" s="5">
        <f t="shared" si="6"/>
        <v>1988719.8742477538</v>
      </c>
      <c r="O18" s="5">
        <f t="shared" si="7"/>
        <v>303.80550374285491</v>
      </c>
      <c r="P18">
        <f t="shared" si="8"/>
        <v>0.67</v>
      </c>
      <c r="Q18">
        <f t="shared" si="9"/>
        <v>2.0099999999999998</v>
      </c>
      <c r="T18" s="4"/>
    </row>
    <row r="19" spans="1:20" x14ac:dyDescent="0.55000000000000004">
      <c r="A19" t="s">
        <v>251</v>
      </c>
      <c r="B19">
        <v>5167858</v>
      </c>
      <c r="C19">
        <v>8300552</v>
      </c>
      <c r="D19">
        <v>3132694</v>
      </c>
      <c r="E19">
        <v>3132693</v>
      </c>
      <c r="F19">
        <f t="shared" si="0"/>
        <v>1766.3147378919743</v>
      </c>
      <c r="G19">
        <v>1888</v>
      </c>
      <c r="H19">
        <v>1027238</v>
      </c>
      <c r="I19">
        <f t="shared" si="1"/>
        <v>581.57132359432569</v>
      </c>
      <c r="J19">
        <f t="shared" si="2"/>
        <v>1</v>
      </c>
      <c r="K19" s="5">
        <f t="shared" si="3"/>
        <v>45281.215031507294</v>
      </c>
      <c r="L19" s="4">
        <f t="shared" si="4"/>
        <v>1206156.7154689566</v>
      </c>
      <c r="M19">
        <f t="shared" si="5"/>
        <v>0</v>
      </c>
      <c r="N19" s="5">
        <f t="shared" si="6"/>
        <v>1034077.9680405718</v>
      </c>
      <c r="O19" s="5">
        <f t="shared" si="7"/>
        <v>585.44377502885038</v>
      </c>
      <c r="P19">
        <f t="shared" si="8"/>
        <v>0.67</v>
      </c>
      <c r="Q19">
        <f t="shared" si="9"/>
        <v>3.87</v>
      </c>
      <c r="T19" s="4"/>
    </row>
    <row r="20" spans="1:20" x14ac:dyDescent="0.55000000000000004">
      <c r="A20" t="s">
        <v>252</v>
      </c>
      <c r="B20">
        <v>52239143</v>
      </c>
      <c r="C20">
        <v>47015444</v>
      </c>
      <c r="D20">
        <v>-5223699</v>
      </c>
      <c r="E20">
        <v>0</v>
      </c>
      <c r="F20">
        <f t="shared" si="0"/>
        <v>40679.500759014212</v>
      </c>
      <c r="G20">
        <v>43482</v>
      </c>
      <c r="H20">
        <v>1042859</v>
      </c>
      <c r="I20">
        <f t="shared" si="1"/>
        <v>25.63598324812066</v>
      </c>
      <c r="J20">
        <f t="shared" si="2"/>
        <v>0</v>
      </c>
      <c r="K20" s="5">
        <f t="shared" si="3"/>
        <v>1042859.0000000001</v>
      </c>
      <c r="L20" s="4">
        <f t="shared" si="4"/>
        <v>0</v>
      </c>
      <c r="M20">
        <f t="shared" si="5"/>
        <v>1</v>
      </c>
      <c r="N20" s="5">
        <f t="shared" si="6"/>
        <v>1042859.0000000001</v>
      </c>
      <c r="O20" s="5">
        <f t="shared" si="7"/>
        <v>25.635983248120663</v>
      </c>
      <c r="P20">
        <f t="shared" si="8"/>
        <v>0</v>
      </c>
      <c r="Q20">
        <f t="shared" si="9"/>
        <v>0</v>
      </c>
      <c r="T20" s="4"/>
    </row>
    <row r="21" spans="1:20" x14ac:dyDescent="0.55000000000000004">
      <c r="A21" t="s">
        <v>253</v>
      </c>
      <c r="B21">
        <v>15248227</v>
      </c>
      <c r="C21">
        <v>19152205</v>
      </c>
      <c r="D21">
        <v>3903979</v>
      </c>
      <c r="E21">
        <v>3903979</v>
      </c>
      <c r="F21">
        <f t="shared" si="0"/>
        <v>12852.559252733021</v>
      </c>
      <c r="G21">
        <v>13738</v>
      </c>
      <c r="H21">
        <v>1280150</v>
      </c>
      <c r="I21">
        <f t="shared" si="1"/>
        <v>99.602730851272568</v>
      </c>
      <c r="J21">
        <f t="shared" si="2"/>
        <v>1</v>
      </c>
      <c r="K21" s="5">
        <f t="shared" si="3"/>
        <v>329487.99369854195</v>
      </c>
      <c r="L21" s="4">
        <f t="shared" si="4"/>
        <v>1503119.0378054222</v>
      </c>
      <c r="M21">
        <f t="shared" si="5"/>
        <v>0</v>
      </c>
      <c r="N21" s="5">
        <f t="shared" si="6"/>
        <v>1288673.5698624358</v>
      </c>
      <c r="O21" s="5">
        <f t="shared" si="7"/>
        <v>100.26591159954442</v>
      </c>
      <c r="P21">
        <f t="shared" si="8"/>
        <v>0.67</v>
      </c>
      <c r="Q21">
        <f t="shared" si="9"/>
        <v>0.66</v>
      </c>
    </row>
    <row r="22" spans="1:20" x14ac:dyDescent="0.55000000000000004">
      <c r="A22" t="s">
        <v>254</v>
      </c>
      <c r="B22">
        <v>85266211</v>
      </c>
      <c r="C22">
        <v>83648715</v>
      </c>
      <c r="D22">
        <v>-1617495</v>
      </c>
      <c r="E22">
        <v>0</v>
      </c>
      <c r="F22">
        <f t="shared" si="0"/>
        <v>67184.512856057394</v>
      </c>
      <c r="G22">
        <v>71813</v>
      </c>
      <c r="H22">
        <v>1818033</v>
      </c>
      <c r="I22">
        <f t="shared" si="1"/>
        <v>27.060298909886122</v>
      </c>
      <c r="J22">
        <f t="shared" si="2"/>
        <v>0</v>
      </c>
      <c r="K22" s="5">
        <f t="shared" si="3"/>
        <v>1722341.0461110347</v>
      </c>
      <c r="L22" s="4">
        <f t="shared" si="4"/>
        <v>0</v>
      </c>
      <c r="M22">
        <f t="shared" si="5"/>
        <v>1</v>
      </c>
      <c r="N22" s="5">
        <f t="shared" si="6"/>
        <v>1722341.0461110347</v>
      </c>
      <c r="O22" s="5">
        <f t="shared" si="7"/>
        <v>25.635983248120663</v>
      </c>
      <c r="P22">
        <f t="shared" si="8"/>
        <v>-5.26</v>
      </c>
      <c r="Q22">
        <f t="shared" si="9"/>
        <v>-1.42</v>
      </c>
    </row>
    <row r="23" spans="1:20" x14ac:dyDescent="0.55000000000000004">
      <c r="A23" t="s">
        <v>269</v>
      </c>
      <c r="B23">
        <v>26203450</v>
      </c>
      <c r="C23">
        <v>34112717</v>
      </c>
      <c r="D23">
        <v>7909268</v>
      </c>
      <c r="E23">
        <v>7909267</v>
      </c>
      <c r="F23">
        <f t="shared" si="0"/>
        <v>21080.704443283823</v>
      </c>
      <c r="G23">
        <v>22533</v>
      </c>
      <c r="H23">
        <v>2593520</v>
      </c>
      <c r="I23">
        <f t="shared" si="1"/>
        <v>123.02814675750928</v>
      </c>
      <c r="J23">
        <f t="shared" si="2"/>
        <v>1</v>
      </c>
      <c r="K23" s="5">
        <f t="shared" si="3"/>
        <v>540424.58596660686</v>
      </c>
      <c r="L23" s="4">
        <f t="shared" si="4"/>
        <v>3045244.3014642699</v>
      </c>
      <c r="M23">
        <f t="shared" si="5"/>
        <v>0</v>
      </c>
      <c r="N23" s="5">
        <f t="shared" si="6"/>
        <v>2610788.4647650919</v>
      </c>
      <c r="O23" s="5">
        <f t="shared" si="7"/>
        <v>123.84730651621427</v>
      </c>
      <c r="P23">
        <f t="shared" si="8"/>
        <v>0.67</v>
      </c>
      <c r="Q23">
        <f t="shared" si="9"/>
        <v>0.82</v>
      </c>
    </row>
    <row r="24" spans="1:20" x14ac:dyDescent="0.55000000000000004">
      <c r="A24" t="s">
        <v>270</v>
      </c>
      <c r="B24">
        <v>23893333</v>
      </c>
      <c r="C24">
        <v>27895437</v>
      </c>
      <c r="D24">
        <v>4002104</v>
      </c>
      <c r="E24">
        <v>4002103</v>
      </c>
      <c r="F24">
        <f t="shared" si="0"/>
        <v>14098.709269084773</v>
      </c>
      <c r="G24">
        <v>15070</v>
      </c>
      <c r="H24">
        <v>1312326</v>
      </c>
      <c r="I24">
        <f t="shared" si="1"/>
        <v>93.081286730100118</v>
      </c>
      <c r="J24">
        <f t="shared" si="2"/>
        <v>1</v>
      </c>
      <c r="K24" s="5">
        <f t="shared" si="3"/>
        <v>361434.27464238077</v>
      </c>
      <c r="L24" s="4">
        <f t="shared" si="4"/>
        <v>1540898.967581074</v>
      </c>
      <c r="M24">
        <f t="shared" si="5"/>
        <v>0</v>
      </c>
      <c r="N24" s="5">
        <f t="shared" si="6"/>
        <v>1321063.5507945006</v>
      </c>
      <c r="O24" s="5">
        <f t="shared" si="7"/>
        <v>93.70102791546239</v>
      </c>
      <c r="P24">
        <f t="shared" si="8"/>
        <v>0.67</v>
      </c>
      <c r="Q24">
        <f t="shared" si="9"/>
        <v>0.62</v>
      </c>
    </row>
    <row r="25" spans="1:20" x14ac:dyDescent="0.55000000000000004">
      <c r="A25" t="s">
        <v>255</v>
      </c>
      <c r="B25">
        <v>19810358</v>
      </c>
      <c r="C25">
        <v>23997486</v>
      </c>
      <c r="D25">
        <v>4187127</v>
      </c>
      <c r="E25">
        <v>4187127</v>
      </c>
      <c r="F25">
        <f t="shared" si="0"/>
        <v>18961.688086649647</v>
      </c>
      <c r="G25">
        <v>20268</v>
      </c>
      <c r="H25">
        <v>1372997</v>
      </c>
      <c r="I25">
        <f t="shared" si="1"/>
        <v>72.40900671531908</v>
      </c>
      <c r="J25">
        <f t="shared" si="2"/>
        <v>1</v>
      </c>
      <c r="K25" s="5">
        <f t="shared" si="3"/>
        <v>486101.51814543951</v>
      </c>
      <c r="L25" s="4">
        <f t="shared" si="4"/>
        <v>1612137.3366529646</v>
      </c>
      <c r="M25">
        <f t="shared" si="5"/>
        <v>0</v>
      </c>
      <c r="N25" s="5">
        <f t="shared" si="6"/>
        <v>1382138.5562159508</v>
      </c>
      <c r="O25" s="5">
        <f t="shared" si="7"/>
        <v>72.891113380831996</v>
      </c>
      <c r="P25">
        <f t="shared" si="8"/>
        <v>0.67</v>
      </c>
      <c r="Q25">
        <f t="shared" si="9"/>
        <v>0.48</v>
      </c>
    </row>
    <row r="26" spans="1:20" x14ac:dyDescent="0.55000000000000004">
      <c r="A26" t="s">
        <v>271</v>
      </c>
      <c r="B26">
        <v>10256971</v>
      </c>
      <c r="C26">
        <v>17212347</v>
      </c>
      <c r="D26">
        <v>6955376</v>
      </c>
      <c r="E26">
        <v>6955376</v>
      </c>
      <c r="F26">
        <f t="shared" si="0"/>
        <v>7012.8682601897453</v>
      </c>
      <c r="G26">
        <v>7496</v>
      </c>
      <c r="H26">
        <v>2280731</v>
      </c>
      <c r="I26">
        <f t="shared" si="1"/>
        <v>325.22085334856854</v>
      </c>
      <c r="J26">
        <f t="shared" si="2"/>
        <v>1</v>
      </c>
      <c r="K26" s="5">
        <f t="shared" si="3"/>
        <v>179781.7732395014</v>
      </c>
      <c r="L26" s="4">
        <f t="shared" si="4"/>
        <v>2677974.9790393151</v>
      </c>
      <c r="M26">
        <f t="shared" si="5"/>
        <v>0</v>
      </c>
      <c r="N26" s="5">
        <f t="shared" si="6"/>
        <v>2295916.350896229</v>
      </c>
      <c r="O26" s="5">
        <f t="shared" si="7"/>
        <v>327.38620856883301</v>
      </c>
      <c r="P26">
        <f t="shared" si="8"/>
        <v>0.67</v>
      </c>
      <c r="Q26">
        <f t="shared" si="9"/>
        <v>2.17</v>
      </c>
    </row>
    <row r="27" spans="1:20" x14ac:dyDescent="0.55000000000000004">
      <c r="A27" t="s">
        <v>256</v>
      </c>
      <c r="B27">
        <v>5521141</v>
      </c>
      <c r="C27">
        <v>7824582</v>
      </c>
      <c r="D27">
        <v>2303441</v>
      </c>
      <c r="E27">
        <v>2303441</v>
      </c>
      <c r="F27">
        <f t="shared" si="0"/>
        <v>5510.3780753091787</v>
      </c>
      <c r="G27">
        <v>5890</v>
      </c>
      <c r="H27">
        <v>755319</v>
      </c>
      <c r="I27">
        <f t="shared" si="1"/>
        <v>137.07208283664278</v>
      </c>
      <c r="J27">
        <f t="shared" si="2"/>
        <v>1</v>
      </c>
      <c r="K27" s="5">
        <f t="shared" si="3"/>
        <v>141263.9600294375</v>
      </c>
      <c r="L27" s="4">
        <f t="shared" si="4"/>
        <v>886876.18953932892</v>
      </c>
      <c r="M27">
        <f t="shared" si="5"/>
        <v>0</v>
      </c>
      <c r="N27" s="5">
        <f t="shared" si="6"/>
        <v>760348.23354262393</v>
      </c>
      <c r="O27" s="5">
        <f t="shared" si="7"/>
        <v>137.98476677119146</v>
      </c>
      <c r="P27">
        <f t="shared" si="8"/>
        <v>0.67</v>
      </c>
      <c r="Q27">
        <f t="shared" si="9"/>
        <v>0.91</v>
      </c>
    </row>
    <row r="28" spans="1:20" x14ac:dyDescent="0.55000000000000004">
      <c r="A28" t="s">
        <v>257</v>
      </c>
      <c r="B28">
        <v>16885329</v>
      </c>
      <c r="C28">
        <v>23821630</v>
      </c>
      <c r="D28">
        <v>6936301</v>
      </c>
      <c r="E28">
        <v>6936301</v>
      </c>
      <c r="F28">
        <f t="shared" si="0"/>
        <v>15013.675272081782</v>
      </c>
      <c r="G28">
        <v>16048</v>
      </c>
      <c r="H28">
        <v>2274475</v>
      </c>
      <c r="I28">
        <f t="shared" si="1"/>
        <v>151.49355229691361</v>
      </c>
      <c r="J28">
        <f t="shared" si="2"/>
        <v>1</v>
      </c>
      <c r="K28" s="5">
        <f t="shared" si="3"/>
        <v>384890.32776781201</v>
      </c>
      <c r="L28" s="4">
        <f t="shared" si="4"/>
        <v>2670630.6783537483</v>
      </c>
      <c r="M28">
        <f t="shared" si="5"/>
        <v>0</v>
      </c>
      <c r="N28" s="5">
        <f t="shared" si="6"/>
        <v>2289619.839479255</v>
      </c>
      <c r="O28" s="5">
        <f t="shared" si="7"/>
        <v>152.50228861262553</v>
      </c>
      <c r="P28">
        <f t="shared" si="8"/>
        <v>0.67</v>
      </c>
      <c r="Q28">
        <f t="shared" si="9"/>
        <v>1.01</v>
      </c>
    </row>
    <row r="29" spans="1:20" x14ac:dyDescent="0.55000000000000004">
      <c r="A29" t="s">
        <v>258</v>
      </c>
      <c r="B29">
        <v>5378576</v>
      </c>
      <c r="C29">
        <v>11068241</v>
      </c>
      <c r="D29">
        <v>5689665</v>
      </c>
      <c r="E29">
        <v>5689664</v>
      </c>
      <c r="F29">
        <f t="shared" si="0"/>
        <v>6133.4530834850548</v>
      </c>
      <c r="G29">
        <v>6556</v>
      </c>
      <c r="H29">
        <v>1865693</v>
      </c>
      <c r="I29">
        <f t="shared" si="1"/>
        <v>304.18313706899755</v>
      </c>
      <c r="J29">
        <f t="shared" si="2"/>
        <v>1</v>
      </c>
      <c r="K29" s="5">
        <f t="shared" si="3"/>
        <v>157237.10050135688</v>
      </c>
      <c r="L29" s="4">
        <f t="shared" si="4"/>
        <v>2190647.612888325</v>
      </c>
      <c r="M29">
        <f t="shared" si="5"/>
        <v>0</v>
      </c>
      <c r="N29" s="5">
        <f t="shared" si="6"/>
        <v>1878114.5129617208</v>
      </c>
      <c r="O29" s="5">
        <f t="shared" si="7"/>
        <v>306.20834420642018</v>
      </c>
      <c r="P29">
        <f t="shared" si="8"/>
        <v>0.67</v>
      </c>
      <c r="Q29">
        <f t="shared" si="9"/>
        <v>2.0299999999999998</v>
      </c>
    </row>
    <row r="30" spans="1:20" x14ac:dyDescent="0.55000000000000004">
      <c r="A30" t="s">
        <v>259</v>
      </c>
      <c r="B30">
        <v>26142167</v>
      </c>
      <c r="C30">
        <v>33494081</v>
      </c>
      <c r="D30">
        <v>7351914</v>
      </c>
      <c r="E30">
        <v>7351914</v>
      </c>
      <c r="F30">
        <f t="shared" si="0"/>
        <v>25641.501237363998</v>
      </c>
      <c r="G30">
        <v>27408</v>
      </c>
      <c r="H30">
        <v>2410759</v>
      </c>
      <c r="I30">
        <f t="shared" si="1"/>
        <v>94.017857132604888</v>
      </c>
      <c r="J30">
        <f t="shared" si="2"/>
        <v>1</v>
      </c>
      <c r="K30" s="5">
        <f t="shared" si="3"/>
        <v>657345.09617772873</v>
      </c>
      <c r="L30" s="4">
        <f t="shared" si="4"/>
        <v>2830650.9583448614</v>
      </c>
      <c r="M30">
        <f t="shared" si="5"/>
        <v>0</v>
      </c>
      <c r="N30" s="5">
        <f t="shared" si="6"/>
        <v>2426810.5078694378</v>
      </c>
      <c r="O30" s="5">
        <f t="shared" si="7"/>
        <v>94.643854328355971</v>
      </c>
      <c r="P30">
        <f t="shared" si="8"/>
        <v>0.67</v>
      </c>
      <c r="Q30">
        <f t="shared" si="9"/>
        <v>0.63</v>
      </c>
    </row>
    <row r="34" spans="7:7" x14ac:dyDescent="0.55000000000000004">
      <c r="G34">
        <f>SUM(G2:G30)</f>
        <v>614613</v>
      </c>
    </row>
  </sheetData>
  <customSheetViews>
    <customSheetView guid="{6F58EB3B-97F3-43AA-9269-CE0BCA6518E5}" topLeftCell="H1">
      <selection activeCell="P15" sqref="P15"/>
      <pageMargins left="0.7" right="0.7" top="0.75" bottom="0.75" header="0.3" footer="0.3"/>
    </customSheetView>
  </customSheetViews>
  <conditionalFormatting sqref="L31:M1048576">
    <cfRule type="cellIs" dxfId="16" priority="8" operator="lessThan">
      <formula>0</formula>
    </cfRule>
    <cfRule type="cellIs" dxfId="15" priority="9" operator="greaterThan">
      <formula>0</formula>
    </cfRule>
  </conditionalFormatting>
  <conditionalFormatting sqref="P2:Q30">
    <cfRule type="cellIs" dxfId="14" priority="1" operator="lessThan">
      <formula>0</formula>
    </cfRule>
    <cfRule type="cellIs" dxfId="13" priority="2" operator="equal">
      <formula>0</formula>
    </cfRule>
    <cfRule type="cellIs" dxfId="12" priority="3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DB2E-0A78-43FD-BCD9-DC2A75E20C83}">
  <sheetPr codeName="Sheet6"/>
  <dimension ref="A1:AA138"/>
  <sheetViews>
    <sheetView topLeftCell="F1" zoomScale="142" workbookViewId="0">
      <selection activeCell="K26" sqref="K26:K32"/>
    </sheetView>
  </sheetViews>
  <sheetFormatPr defaultColWidth="8.83984375" defaultRowHeight="14.4" x14ac:dyDescent="0.55000000000000004"/>
  <cols>
    <col min="1" max="1" width="22.3125" bestFit="1" customWidth="1"/>
    <col min="2" max="2" width="14" customWidth="1"/>
    <col min="3" max="3" width="12" bestFit="1" customWidth="1"/>
    <col min="4" max="4" width="10.15625" customWidth="1"/>
    <col min="5" max="5" width="10.3125" customWidth="1"/>
    <col min="6" max="6" width="26.83984375" bestFit="1" customWidth="1"/>
    <col min="7" max="7" width="12.68359375" bestFit="1" customWidth="1"/>
    <col min="8" max="13" width="18" bestFit="1" customWidth="1"/>
    <col min="14" max="14" width="18.15625" bestFit="1" customWidth="1"/>
    <col min="15" max="15" width="12" bestFit="1" customWidth="1"/>
    <col min="16" max="16" width="14.15625" bestFit="1" customWidth="1"/>
    <col min="18" max="18" width="22.47265625" bestFit="1" customWidth="1"/>
    <col min="19" max="19" width="14.47265625" bestFit="1" customWidth="1"/>
    <col min="21" max="21" width="12.47265625" bestFit="1" customWidth="1"/>
    <col min="22" max="22" width="18.15625" bestFit="1" customWidth="1"/>
    <col min="24" max="24" width="16.3125" bestFit="1" customWidth="1"/>
    <col min="25" max="25" width="9.68359375" bestFit="1" customWidth="1"/>
    <col min="26" max="26" width="26.3125" bestFit="1" customWidth="1"/>
    <col min="27" max="27" width="23.15625" bestFit="1" customWidth="1"/>
  </cols>
  <sheetData>
    <row r="1" spans="1:27" x14ac:dyDescent="0.55000000000000004">
      <c r="A1" t="s">
        <v>81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483</v>
      </c>
      <c r="Q1" t="s">
        <v>458</v>
      </c>
      <c r="R1" t="s">
        <v>466</v>
      </c>
      <c r="S1" s="4" t="s">
        <v>467</v>
      </c>
      <c r="T1" t="s">
        <v>468</v>
      </c>
      <c r="U1" t="s">
        <v>460</v>
      </c>
      <c r="V1" t="s">
        <v>462</v>
      </c>
      <c r="W1" t="s">
        <v>463</v>
      </c>
      <c r="X1" t="s">
        <v>464</v>
      </c>
      <c r="AA1" s="4"/>
    </row>
    <row r="2" spans="1:27" x14ac:dyDescent="0.55000000000000004">
      <c r="A2" t="s">
        <v>82</v>
      </c>
      <c r="B2">
        <v>40949</v>
      </c>
      <c r="C2">
        <v>3460190</v>
      </c>
      <c r="D2">
        <v>28842439</v>
      </c>
      <c r="E2">
        <v>33410055</v>
      </c>
      <c r="F2">
        <v>27359601</v>
      </c>
      <c r="G2">
        <v>6050454</v>
      </c>
      <c r="H2">
        <v>4567617</v>
      </c>
      <c r="I2">
        <v>3947473</v>
      </c>
      <c r="J2">
        <v>4546699</v>
      </c>
      <c r="K2">
        <v>5337976</v>
      </c>
      <c r="L2">
        <v>6186255</v>
      </c>
      <c r="M2">
        <v>6199179</v>
      </c>
      <c r="N2">
        <v>5159637</v>
      </c>
      <c r="O2">
        <v>3554000</v>
      </c>
      <c r="P2">
        <f>O2/B2</f>
        <v>86.790886224327821</v>
      </c>
      <c r="Q2">
        <f>IF(N2&lt;0, 0, 1)</f>
        <v>1</v>
      </c>
      <c r="R2" s="5">
        <f xml:space="preserve"> $AA$8 * $AA$6 * B2</f>
        <v>1049427.0319148938</v>
      </c>
      <c r="S2" s="4">
        <f xml:space="preserve"> (N2 * Q2)/$AA$11 * $AA$5</f>
        <v>4481726.5231812932</v>
      </c>
      <c r="T2">
        <f>IF($AA$8=0%, IF(S2&gt;0, 0, 1), IF(S2&lt;R2, 1, 0))</f>
        <v>0</v>
      </c>
      <c r="U2" s="5">
        <f>IF(T2=1, R2*T2, N2*($AA$9)/$AA$12)</f>
        <v>3554006.3963420889</v>
      </c>
      <c r="V2" s="5">
        <f>U2/B2</f>
        <v>86.791042426972311</v>
      </c>
      <c r="W2">
        <f>ROUND((U2-O2)/O2 * 100, 2)</f>
        <v>0</v>
      </c>
      <c r="X2" s="5">
        <f>ROUND(V2-P2, 2)</f>
        <v>0</v>
      </c>
      <c r="AA2" s="4"/>
    </row>
    <row r="3" spans="1:27" x14ac:dyDescent="0.55000000000000004">
      <c r="A3" t="s">
        <v>83</v>
      </c>
      <c r="B3">
        <v>105094</v>
      </c>
      <c r="C3">
        <v>2576077</v>
      </c>
      <c r="D3">
        <v>57694708</v>
      </c>
      <c r="E3">
        <v>65783703</v>
      </c>
      <c r="F3">
        <v>59372933</v>
      </c>
      <c r="G3">
        <v>6410771</v>
      </c>
      <c r="H3">
        <v>8088995</v>
      </c>
      <c r="I3">
        <v>7571462</v>
      </c>
      <c r="J3">
        <v>5115923</v>
      </c>
      <c r="K3">
        <v>3125658</v>
      </c>
      <c r="L3">
        <v>2581752</v>
      </c>
      <c r="M3">
        <v>3986257</v>
      </c>
      <c r="N3">
        <v>4949825</v>
      </c>
      <c r="O3">
        <v>3409480</v>
      </c>
      <c r="P3">
        <f t="shared" ref="P3:P66" si="0">O3/B3</f>
        <v>32.442194606733018</v>
      </c>
      <c r="Q3">
        <f t="shared" ref="Q3:Q66" si="1">IF(N3&lt;0, 0, 1)</f>
        <v>1</v>
      </c>
      <c r="R3" s="5">
        <f t="shared" ref="R3:R66" si="2" xml:space="preserve"> $AA$8 * $AA$6 * B3</f>
        <v>2693313.2553191492</v>
      </c>
      <c r="S3" s="4">
        <f t="shared" ref="S3:S66" si="3" xml:space="preserve"> (N3 * Q3)/$AA$11 * $AA$5</f>
        <v>4299481.1432676073</v>
      </c>
      <c r="T3">
        <f t="shared" ref="T3:T66" si="4">IF($AA$8=0%, IF(S3&gt;0, 0, 1), IF(S3&lt;R3, 1, 0))</f>
        <v>0</v>
      </c>
      <c r="U3" s="5">
        <f t="shared" ref="U3:U66" si="5">IF(T3=1, R3*T3, N3*($AA$9)/$AA$12)</f>
        <v>3409485.9213495022</v>
      </c>
      <c r="V3" s="5">
        <f t="shared" ref="V3:V66" si="6">U3/B3</f>
        <v>32.442250950097076</v>
      </c>
      <c r="W3">
        <f t="shared" ref="W3:W66" si="7">ROUND((U3-O3)/O3 * 100, 2)</f>
        <v>0</v>
      </c>
      <c r="X3" s="5">
        <f t="shared" ref="X3:X66" si="8">ROUND(V3-P3, 2)</f>
        <v>0</v>
      </c>
      <c r="AA3" s="4"/>
    </row>
    <row r="4" spans="1:27" x14ac:dyDescent="0.55000000000000004">
      <c r="A4" t="s">
        <v>84</v>
      </c>
      <c r="B4">
        <v>8076</v>
      </c>
      <c r="C4">
        <v>2541220</v>
      </c>
      <c r="D4">
        <v>5738077</v>
      </c>
      <c r="E4">
        <v>10172875</v>
      </c>
      <c r="F4">
        <v>5917273</v>
      </c>
      <c r="G4">
        <v>4255602</v>
      </c>
      <c r="H4">
        <v>4434798</v>
      </c>
      <c r="I4">
        <v>-4347921</v>
      </c>
      <c r="J4">
        <v>-181592</v>
      </c>
      <c r="K4">
        <v>3485731</v>
      </c>
      <c r="L4">
        <v>4690145</v>
      </c>
      <c r="M4">
        <v>3775578</v>
      </c>
      <c r="N4">
        <v>2878629</v>
      </c>
      <c r="O4">
        <v>1982823</v>
      </c>
      <c r="P4">
        <f t="shared" si="0"/>
        <v>245.52043090638929</v>
      </c>
      <c r="Q4">
        <f t="shared" si="1"/>
        <v>1</v>
      </c>
      <c r="R4" s="5">
        <f t="shared" si="2"/>
        <v>206968.97872340426</v>
      </c>
      <c r="S4" s="4">
        <f t="shared" si="3"/>
        <v>2500413.8740184326</v>
      </c>
      <c r="T4">
        <f t="shared" si="4"/>
        <v>0</v>
      </c>
      <c r="U4" s="5">
        <f t="shared" si="5"/>
        <v>1982826.6753447638</v>
      </c>
      <c r="V4" s="5">
        <f t="shared" si="6"/>
        <v>245.52088600108516</v>
      </c>
      <c r="W4">
        <f t="shared" si="7"/>
        <v>0</v>
      </c>
      <c r="X4" s="5">
        <f t="shared" si="8"/>
        <v>0</v>
      </c>
      <c r="AA4" s="4"/>
    </row>
    <row r="5" spans="1:27" x14ac:dyDescent="0.55000000000000004">
      <c r="A5" t="s">
        <v>85</v>
      </c>
      <c r="B5">
        <v>18620</v>
      </c>
      <c r="C5">
        <v>635282</v>
      </c>
      <c r="D5">
        <v>15296596</v>
      </c>
      <c r="E5">
        <v>15673936</v>
      </c>
      <c r="F5">
        <v>12892769</v>
      </c>
      <c r="G5">
        <v>2781168</v>
      </c>
      <c r="H5">
        <v>377340</v>
      </c>
      <c r="I5">
        <v>-280422</v>
      </c>
      <c r="J5">
        <v>652058</v>
      </c>
      <c r="K5">
        <v>846938</v>
      </c>
      <c r="L5">
        <v>1454361</v>
      </c>
      <c r="M5">
        <v>1347943</v>
      </c>
      <c r="N5">
        <v>806070</v>
      </c>
      <c r="O5">
        <v>555228</v>
      </c>
      <c r="P5">
        <f t="shared" si="0"/>
        <v>29.81890440386681</v>
      </c>
      <c r="Q5">
        <f t="shared" si="1"/>
        <v>1</v>
      </c>
      <c r="R5" s="5">
        <f t="shared" si="2"/>
        <v>477187.02127659577</v>
      </c>
      <c r="S5" s="4">
        <f t="shared" si="3"/>
        <v>700162.68558054476</v>
      </c>
      <c r="T5">
        <f t="shared" si="4"/>
        <v>0</v>
      </c>
      <c r="U5" s="5">
        <f t="shared" si="5"/>
        <v>555228.58214627649</v>
      </c>
      <c r="V5" s="5">
        <f t="shared" si="6"/>
        <v>29.818935668435902</v>
      </c>
      <c r="W5">
        <f t="shared" si="7"/>
        <v>0</v>
      </c>
      <c r="X5" s="5">
        <f t="shared" si="8"/>
        <v>0</v>
      </c>
      <c r="Z5" t="s">
        <v>456</v>
      </c>
      <c r="AA5" s="4">
        <f>SUM(O2:O138)</f>
        <v>246131711</v>
      </c>
    </row>
    <row r="6" spans="1:27" x14ac:dyDescent="0.55000000000000004">
      <c r="A6" t="s">
        <v>86</v>
      </c>
      <c r="B6">
        <v>16914</v>
      </c>
      <c r="C6">
        <v>414044</v>
      </c>
      <c r="D6">
        <v>11232144</v>
      </c>
      <c r="E6">
        <v>9805204</v>
      </c>
      <c r="F6">
        <v>9772776</v>
      </c>
      <c r="G6">
        <v>32428</v>
      </c>
      <c r="H6">
        <v>-1426940</v>
      </c>
      <c r="I6">
        <v>-1300546</v>
      </c>
      <c r="J6">
        <v>-1617852</v>
      </c>
      <c r="K6">
        <v>-1758138</v>
      </c>
      <c r="L6">
        <v>-1985942</v>
      </c>
      <c r="M6">
        <v>-2154287</v>
      </c>
      <c r="N6">
        <v>-1697218</v>
      </c>
      <c r="O6">
        <v>433469</v>
      </c>
      <c r="P6">
        <f t="shared" si="0"/>
        <v>25.627823105120019</v>
      </c>
      <c r="Q6">
        <f t="shared" si="1"/>
        <v>0</v>
      </c>
      <c r="R6" s="5">
        <f t="shared" si="2"/>
        <v>433466.23404255323</v>
      </c>
      <c r="S6" s="4">
        <f t="shared" si="3"/>
        <v>0</v>
      </c>
      <c r="T6">
        <f t="shared" si="4"/>
        <v>1</v>
      </c>
      <c r="U6" s="5">
        <f t="shared" si="5"/>
        <v>433466.23404255323</v>
      </c>
      <c r="V6" s="5">
        <f t="shared" si="6"/>
        <v>25.627659574468087</v>
      </c>
      <c r="W6">
        <f t="shared" si="7"/>
        <v>0</v>
      </c>
      <c r="X6" s="5">
        <f t="shared" si="8"/>
        <v>0</v>
      </c>
      <c r="Z6" t="s">
        <v>457</v>
      </c>
      <c r="AA6" s="4">
        <f>AA7 / 30%</f>
        <v>85.425531914893625</v>
      </c>
    </row>
    <row r="7" spans="1:27" x14ac:dyDescent="0.55000000000000004">
      <c r="A7" t="s">
        <v>87</v>
      </c>
      <c r="B7">
        <v>74283</v>
      </c>
      <c r="C7">
        <v>1796164</v>
      </c>
      <c r="D7">
        <v>47946510</v>
      </c>
      <c r="E7">
        <v>43875092</v>
      </c>
      <c r="F7">
        <v>43380920</v>
      </c>
      <c r="G7">
        <v>494172</v>
      </c>
      <c r="H7">
        <v>-4071418</v>
      </c>
      <c r="I7">
        <v>-4319296</v>
      </c>
      <c r="J7">
        <v>-6958978</v>
      </c>
      <c r="K7">
        <v>-7225726</v>
      </c>
      <c r="L7">
        <v>-7634824</v>
      </c>
      <c r="M7">
        <v>-7043854</v>
      </c>
      <c r="N7">
        <v>-6386963</v>
      </c>
      <c r="O7">
        <v>1903710</v>
      </c>
      <c r="P7">
        <f t="shared" si="0"/>
        <v>25.627801785065223</v>
      </c>
      <c r="Q7">
        <f t="shared" si="1"/>
        <v>0</v>
      </c>
      <c r="R7" s="5">
        <f t="shared" si="2"/>
        <v>1903699.4361702129</v>
      </c>
      <c r="S7" s="4">
        <f t="shared" si="3"/>
        <v>0</v>
      </c>
      <c r="T7">
        <f t="shared" si="4"/>
        <v>1</v>
      </c>
      <c r="U7" s="5">
        <f t="shared" si="5"/>
        <v>1903699.4361702129</v>
      </c>
      <c r="V7" s="5">
        <f t="shared" si="6"/>
        <v>25.627659574468087</v>
      </c>
      <c r="W7">
        <f t="shared" si="7"/>
        <v>0</v>
      </c>
      <c r="X7" s="5">
        <f t="shared" si="8"/>
        <v>0</v>
      </c>
      <c r="Z7" t="s">
        <v>473</v>
      </c>
      <c r="AA7" s="4">
        <f>MIN(P2:P138)</f>
        <v>25.627659574468087</v>
      </c>
    </row>
    <row r="8" spans="1:27" x14ac:dyDescent="0.55000000000000004">
      <c r="A8" t="s">
        <v>88</v>
      </c>
      <c r="B8">
        <v>45976</v>
      </c>
      <c r="C8">
        <v>1105296</v>
      </c>
      <c r="D8">
        <v>44178838</v>
      </c>
      <c r="E8">
        <v>28188877</v>
      </c>
      <c r="F8">
        <v>26934125</v>
      </c>
      <c r="G8">
        <v>1254752</v>
      </c>
      <c r="H8">
        <v>-15989961</v>
      </c>
      <c r="I8">
        <v>-16337008</v>
      </c>
      <c r="J8">
        <v>-16992626</v>
      </c>
      <c r="K8">
        <v>-16963641</v>
      </c>
      <c r="L8">
        <v>-16788000</v>
      </c>
      <c r="M8">
        <v>-15893772</v>
      </c>
      <c r="N8">
        <v>-16519652</v>
      </c>
      <c r="O8">
        <v>1178264</v>
      </c>
      <c r="P8">
        <f t="shared" si="0"/>
        <v>25.627805811727857</v>
      </c>
      <c r="Q8">
        <f t="shared" si="1"/>
        <v>0</v>
      </c>
      <c r="R8" s="5">
        <f t="shared" si="2"/>
        <v>1178257.2765957448</v>
      </c>
      <c r="S8" s="4">
        <f t="shared" si="3"/>
        <v>0</v>
      </c>
      <c r="T8">
        <f t="shared" si="4"/>
        <v>1</v>
      </c>
      <c r="U8" s="5">
        <f t="shared" si="5"/>
        <v>1178257.2765957448</v>
      </c>
      <c r="V8" s="5">
        <f t="shared" si="6"/>
        <v>25.627659574468087</v>
      </c>
      <c r="W8">
        <f t="shared" si="7"/>
        <v>0</v>
      </c>
      <c r="X8" s="5">
        <f t="shared" si="8"/>
        <v>0</v>
      </c>
      <c r="Z8" t="s">
        <v>472</v>
      </c>
      <c r="AA8" s="6">
        <f xml:space="preserve"> Control!$C$5</f>
        <v>0.3</v>
      </c>
    </row>
    <row r="9" spans="1:27" x14ac:dyDescent="0.55000000000000004">
      <c r="A9" t="s">
        <v>89</v>
      </c>
      <c r="B9">
        <v>1768</v>
      </c>
      <c r="C9">
        <v>841257</v>
      </c>
      <c r="D9">
        <v>2330626</v>
      </c>
      <c r="E9">
        <v>3654476</v>
      </c>
      <c r="F9">
        <v>2592196</v>
      </c>
      <c r="G9">
        <v>1062280</v>
      </c>
      <c r="H9">
        <v>1323850</v>
      </c>
      <c r="I9">
        <v>1122309</v>
      </c>
      <c r="J9">
        <v>1214548</v>
      </c>
      <c r="K9">
        <v>560966</v>
      </c>
      <c r="L9">
        <v>762226</v>
      </c>
      <c r="M9">
        <v>1397309</v>
      </c>
      <c r="N9">
        <v>1105733</v>
      </c>
      <c r="O9">
        <v>761638</v>
      </c>
      <c r="P9">
        <f t="shared" si="0"/>
        <v>430.79072398190044</v>
      </c>
      <c r="Q9">
        <f t="shared" si="1"/>
        <v>1</v>
      </c>
      <c r="R9" s="5">
        <f t="shared" si="2"/>
        <v>45309.702127659577</v>
      </c>
      <c r="S9" s="4">
        <f t="shared" si="3"/>
        <v>960453.79038425011</v>
      </c>
      <c r="T9">
        <f t="shared" si="4"/>
        <v>0</v>
      </c>
      <c r="U9" s="5">
        <f t="shared" si="5"/>
        <v>761639.26932195551</v>
      </c>
      <c r="V9" s="5">
        <f t="shared" si="6"/>
        <v>430.791441924183</v>
      </c>
      <c r="W9">
        <f t="shared" si="7"/>
        <v>0</v>
      </c>
      <c r="X9" s="5">
        <f t="shared" si="8"/>
        <v>0</v>
      </c>
      <c r="Z9" t="s">
        <v>471</v>
      </c>
      <c r="AA9" s="4">
        <f>$AA$5-SUMPRODUCT($R$2:$R$138,$T$2:$T$138)</f>
        <v>189629589.85106385</v>
      </c>
    </row>
    <row r="10" spans="1:27" x14ac:dyDescent="0.55000000000000004">
      <c r="A10" t="s">
        <v>90</v>
      </c>
      <c r="B10">
        <v>1786</v>
      </c>
      <c r="C10">
        <v>83620</v>
      </c>
      <c r="D10">
        <v>3058154</v>
      </c>
      <c r="E10">
        <v>2165700</v>
      </c>
      <c r="F10">
        <v>1379090</v>
      </c>
      <c r="G10">
        <v>786609</v>
      </c>
      <c r="H10">
        <v>-892455</v>
      </c>
      <c r="I10">
        <v>-665482</v>
      </c>
      <c r="J10">
        <v>-532197</v>
      </c>
      <c r="K10">
        <v>-476615</v>
      </c>
      <c r="L10">
        <v>-408767</v>
      </c>
      <c r="M10">
        <v>-337456</v>
      </c>
      <c r="N10">
        <v>-520765</v>
      </c>
      <c r="O10">
        <v>45771</v>
      </c>
      <c r="P10">
        <f t="shared" si="0"/>
        <v>25.627659574468087</v>
      </c>
      <c r="Q10">
        <f t="shared" si="1"/>
        <v>0</v>
      </c>
      <c r="R10" s="5">
        <f t="shared" si="2"/>
        <v>45771</v>
      </c>
      <c r="S10" s="4">
        <f t="shared" si="3"/>
        <v>0</v>
      </c>
      <c r="T10">
        <f t="shared" si="4"/>
        <v>1</v>
      </c>
      <c r="U10" s="5">
        <f t="shared" si="5"/>
        <v>45771</v>
      </c>
      <c r="V10" s="5">
        <f t="shared" si="6"/>
        <v>25.627659574468087</v>
      </c>
      <c r="W10">
        <f t="shared" si="7"/>
        <v>0</v>
      </c>
      <c r="X10" s="5">
        <f t="shared" si="8"/>
        <v>0</v>
      </c>
      <c r="AA10" s="4"/>
    </row>
    <row r="11" spans="1:27" x14ac:dyDescent="0.55000000000000004">
      <c r="A11" t="s">
        <v>91</v>
      </c>
      <c r="B11">
        <v>1948</v>
      </c>
      <c r="C11">
        <v>999355</v>
      </c>
      <c r="D11">
        <v>2535940</v>
      </c>
      <c r="E11">
        <v>3600633</v>
      </c>
      <c r="F11">
        <v>3077140</v>
      </c>
      <c r="G11">
        <v>523494</v>
      </c>
      <c r="H11">
        <v>1064694</v>
      </c>
      <c r="I11">
        <v>1027110</v>
      </c>
      <c r="J11">
        <v>1398837</v>
      </c>
      <c r="K11">
        <v>1684225</v>
      </c>
      <c r="L11">
        <v>1630837</v>
      </c>
      <c r="M11">
        <v>1536367</v>
      </c>
      <c r="N11">
        <v>1407684</v>
      </c>
      <c r="O11">
        <v>969624</v>
      </c>
      <c r="P11">
        <f t="shared" si="0"/>
        <v>497.75359342915812</v>
      </c>
      <c r="Q11">
        <f t="shared" si="1"/>
        <v>1</v>
      </c>
      <c r="R11" s="5">
        <f t="shared" si="2"/>
        <v>49922.680851063837</v>
      </c>
      <c r="S11" s="4">
        <f t="shared" si="3"/>
        <v>1222732.2811775201</v>
      </c>
      <c r="T11">
        <f t="shared" si="4"/>
        <v>0</v>
      </c>
      <c r="U11" s="5">
        <f t="shared" si="5"/>
        <v>969625.95237386215</v>
      </c>
      <c r="V11" s="5">
        <f t="shared" si="6"/>
        <v>497.75459567446723</v>
      </c>
      <c r="W11">
        <f t="shared" si="7"/>
        <v>0</v>
      </c>
      <c r="X11" s="5">
        <f t="shared" si="8"/>
        <v>0</v>
      </c>
      <c r="Z11" t="s">
        <v>461</v>
      </c>
      <c r="AA11" s="4">
        <f>SUMPRODUCT(N2:N138, Q2:Q138)</f>
        <v>283361842</v>
      </c>
    </row>
    <row r="12" spans="1:27" x14ac:dyDescent="0.55000000000000004">
      <c r="A12" t="s">
        <v>92</v>
      </c>
      <c r="B12">
        <v>5669</v>
      </c>
      <c r="C12">
        <v>1180169</v>
      </c>
      <c r="D12">
        <v>4786001</v>
      </c>
      <c r="E12">
        <v>6059680</v>
      </c>
      <c r="F12">
        <v>5315039</v>
      </c>
      <c r="G12">
        <v>744641</v>
      </c>
      <c r="H12">
        <v>1273679</v>
      </c>
      <c r="I12">
        <v>1446096</v>
      </c>
      <c r="J12">
        <v>1443058</v>
      </c>
      <c r="K12">
        <v>1769158</v>
      </c>
      <c r="L12">
        <v>1628726</v>
      </c>
      <c r="M12">
        <v>1415590</v>
      </c>
      <c r="N12">
        <v>1483367</v>
      </c>
      <c r="O12">
        <v>1021756</v>
      </c>
      <c r="P12">
        <f t="shared" si="0"/>
        <v>180.23566766625507</v>
      </c>
      <c r="Q12">
        <f t="shared" si="1"/>
        <v>1</v>
      </c>
      <c r="R12" s="5">
        <f t="shared" si="2"/>
        <v>145283.20212765958</v>
      </c>
      <c r="S12" s="4">
        <f t="shared" si="3"/>
        <v>1288471.5005167739</v>
      </c>
      <c r="T12">
        <f t="shared" si="4"/>
        <v>0</v>
      </c>
      <c r="U12" s="5">
        <f t="shared" si="5"/>
        <v>1021757.1131695458</v>
      </c>
      <c r="V12" s="5">
        <f t="shared" si="6"/>
        <v>180.23586402708517</v>
      </c>
      <c r="W12">
        <f t="shared" si="7"/>
        <v>0</v>
      </c>
      <c r="X12" s="5">
        <f t="shared" si="8"/>
        <v>0</v>
      </c>
      <c r="Z12" t="s">
        <v>470</v>
      </c>
      <c r="AA12" s="4" cm="1">
        <f t="array" ref="AA12">SUMPRODUCT($N$2:$N$138,1-$T2:$T$138)</f>
        <v>275300531</v>
      </c>
    </row>
    <row r="13" spans="1:27" x14ac:dyDescent="0.55000000000000004">
      <c r="A13" t="s">
        <v>93</v>
      </c>
      <c r="B13">
        <v>955</v>
      </c>
      <c r="C13">
        <v>934624</v>
      </c>
      <c r="D13">
        <v>1503171</v>
      </c>
      <c r="E13">
        <v>2673306</v>
      </c>
      <c r="F13">
        <v>1449622</v>
      </c>
      <c r="G13">
        <v>1223683</v>
      </c>
      <c r="H13">
        <v>1170135</v>
      </c>
      <c r="I13">
        <v>1202121</v>
      </c>
      <c r="J13">
        <v>1400603</v>
      </c>
      <c r="K13">
        <v>1605420</v>
      </c>
      <c r="L13">
        <v>1575489</v>
      </c>
      <c r="M13">
        <v>1538143</v>
      </c>
      <c r="N13">
        <v>1429089</v>
      </c>
      <c r="O13">
        <v>984368</v>
      </c>
      <c r="P13">
        <f t="shared" si="0"/>
        <v>1030.7518324607329</v>
      </c>
      <c r="Q13">
        <f t="shared" si="1"/>
        <v>1</v>
      </c>
      <c r="R13" s="5">
        <f t="shared" si="2"/>
        <v>24474.414893617024</v>
      </c>
      <c r="S13" s="4">
        <f t="shared" si="3"/>
        <v>1241324.9372555921</v>
      </c>
      <c r="T13">
        <f t="shared" si="4"/>
        <v>0</v>
      </c>
      <c r="U13" s="5">
        <f t="shared" si="5"/>
        <v>984369.91729110386</v>
      </c>
      <c r="V13" s="5">
        <f t="shared" si="6"/>
        <v>1030.7538400953968</v>
      </c>
      <c r="W13">
        <f t="shared" si="7"/>
        <v>0</v>
      </c>
      <c r="X13" s="5">
        <f t="shared" si="8"/>
        <v>0</v>
      </c>
      <c r="AA13" s="4"/>
    </row>
    <row r="14" spans="1:27" x14ac:dyDescent="0.55000000000000004">
      <c r="A14" t="s">
        <v>94</v>
      </c>
      <c r="B14">
        <v>18611</v>
      </c>
      <c r="C14">
        <v>1967904</v>
      </c>
      <c r="D14">
        <v>13966944</v>
      </c>
      <c r="E14">
        <v>14982061</v>
      </c>
      <c r="F14">
        <v>10283625</v>
      </c>
      <c r="G14">
        <v>4698436</v>
      </c>
      <c r="H14">
        <v>1015116</v>
      </c>
      <c r="I14">
        <v>1205528</v>
      </c>
      <c r="J14">
        <v>1610771</v>
      </c>
      <c r="K14">
        <v>2681004</v>
      </c>
      <c r="L14">
        <v>4042159</v>
      </c>
      <c r="M14">
        <v>3329384</v>
      </c>
      <c r="N14">
        <v>2206672</v>
      </c>
      <c r="O14">
        <v>1519974</v>
      </c>
      <c r="P14">
        <f t="shared" si="0"/>
        <v>81.670732362581276</v>
      </c>
      <c r="Q14">
        <f t="shared" si="1"/>
        <v>1</v>
      </c>
      <c r="R14" s="5">
        <f t="shared" si="2"/>
        <v>476956.37234042556</v>
      </c>
      <c r="S14" s="4">
        <f t="shared" si="3"/>
        <v>1916743.4512081975</v>
      </c>
      <c r="T14">
        <f t="shared" si="4"/>
        <v>0</v>
      </c>
      <c r="U14" s="5">
        <f t="shared" si="5"/>
        <v>1519976.3864452073</v>
      </c>
      <c r="V14" s="5">
        <f t="shared" si="6"/>
        <v>81.670860590253469</v>
      </c>
      <c r="W14">
        <f t="shared" si="7"/>
        <v>0</v>
      </c>
      <c r="X14" s="5">
        <f t="shared" si="8"/>
        <v>0</v>
      </c>
      <c r="AA14" s="4"/>
    </row>
    <row r="15" spans="1:27" x14ac:dyDescent="0.55000000000000004">
      <c r="A15" t="s">
        <v>95</v>
      </c>
      <c r="B15">
        <v>1095</v>
      </c>
      <c r="C15">
        <v>1231415</v>
      </c>
      <c r="D15">
        <v>2064497</v>
      </c>
      <c r="E15">
        <v>3656448</v>
      </c>
      <c r="F15">
        <v>2380620</v>
      </c>
      <c r="G15">
        <v>1275827</v>
      </c>
      <c r="H15">
        <v>1591951</v>
      </c>
      <c r="I15">
        <v>1564282</v>
      </c>
      <c r="J15">
        <v>1827729</v>
      </c>
      <c r="K15">
        <v>1807989</v>
      </c>
      <c r="L15">
        <v>1783589</v>
      </c>
      <c r="M15">
        <v>1691021</v>
      </c>
      <c r="N15">
        <v>1718637</v>
      </c>
      <c r="O15">
        <v>1183812</v>
      </c>
      <c r="P15">
        <f t="shared" si="0"/>
        <v>1081.1068493150685</v>
      </c>
      <c r="Q15">
        <f t="shared" si="1"/>
        <v>1</v>
      </c>
      <c r="R15" s="5">
        <f t="shared" si="2"/>
        <v>28062.287234042557</v>
      </c>
      <c r="S15" s="4">
        <f t="shared" si="3"/>
        <v>1492830.0240153966</v>
      </c>
      <c r="T15">
        <f t="shared" si="4"/>
        <v>0</v>
      </c>
      <c r="U15" s="5">
        <f t="shared" si="5"/>
        <v>1183813.2975227092</v>
      </c>
      <c r="V15" s="5">
        <f t="shared" si="6"/>
        <v>1081.1080342673145</v>
      </c>
      <c r="W15">
        <f t="shared" si="7"/>
        <v>0</v>
      </c>
      <c r="X15" s="5">
        <f t="shared" si="8"/>
        <v>0</v>
      </c>
      <c r="Z15" t="s">
        <v>469</v>
      </c>
      <c r="AA15" s="4">
        <f>SUM(U2:U138)</f>
        <v>246131710.99999991</v>
      </c>
    </row>
    <row r="16" spans="1:27" x14ac:dyDescent="0.55000000000000004">
      <c r="A16" t="s">
        <v>96</v>
      </c>
      <c r="B16">
        <v>1043</v>
      </c>
      <c r="C16">
        <v>1941862</v>
      </c>
      <c r="D16">
        <v>1672569</v>
      </c>
      <c r="E16">
        <v>4142744</v>
      </c>
      <c r="F16">
        <v>3070429</v>
      </c>
      <c r="G16">
        <v>1072315</v>
      </c>
      <c r="H16">
        <v>2470174</v>
      </c>
      <c r="I16">
        <v>2632692</v>
      </c>
      <c r="J16">
        <v>3042211</v>
      </c>
      <c r="K16">
        <v>3376314</v>
      </c>
      <c r="L16">
        <v>3246700</v>
      </c>
      <c r="M16">
        <v>2928237</v>
      </c>
      <c r="N16">
        <v>2962460</v>
      </c>
      <c r="O16">
        <v>2040567</v>
      </c>
      <c r="P16">
        <f t="shared" si="0"/>
        <v>1956.4400767018217</v>
      </c>
      <c r="Q16">
        <f t="shared" si="1"/>
        <v>1</v>
      </c>
      <c r="R16" s="5">
        <f t="shared" si="2"/>
        <v>26729.648936170215</v>
      </c>
      <c r="S16" s="4">
        <f t="shared" si="3"/>
        <v>2573230.550107237</v>
      </c>
      <c r="T16">
        <f t="shared" si="4"/>
        <v>0</v>
      </c>
      <c r="U16" s="5">
        <f t="shared" si="5"/>
        <v>2040570.2550213484</v>
      </c>
      <c r="V16" s="5">
        <f t="shared" si="6"/>
        <v>1956.4431975276591</v>
      </c>
      <c r="W16">
        <f t="shared" si="7"/>
        <v>0</v>
      </c>
      <c r="X16" s="5">
        <f t="shared" si="8"/>
        <v>0</v>
      </c>
      <c r="AA16" s="4"/>
    </row>
    <row r="17" spans="1:27" x14ac:dyDescent="0.55000000000000004">
      <c r="A17" t="s">
        <v>97</v>
      </c>
      <c r="B17">
        <v>34768</v>
      </c>
      <c r="C17">
        <v>856343</v>
      </c>
      <c r="D17">
        <v>26556447</v>
      </c>
      <c r="E17">
        <v>26429942</v>
      </c>
      <c r="F17">
        <v>22035260</v>
      </c>
      <c r="G17">
        <v>4394682</v>
      </c>
      <c r="H17">
        <v>-126506</v>
      </c>
      <c r="I17">
        <v>-1280539</v>
      </c>
      <c r="J17">
        <v>-2255271</v>
      </c>
      <c r="K17">
        <v>-1479967</v>
      </c>
      <c r="L17">
        <v>-364785</v>
      </c>
      <c r="M17">
        <v>148546</v>
      </c>
      <c r="N17">
        <v>-812949</v>
      </c>
      <c r="O17">
        <v>891027</v>
      </c>
      <c r="P17">
        <f t="shared" si="0"/>
        <v>25.627789921767143</v>
      </c>
      <c r="Q17">
        <f t="shared" si="1"/>
        <v>0</v>
      </c>
      <c r="R17" s="5">
        <f t="shared" si="2"/>
        <v>891022.46808510646</v>
      </c>
      <c r="S17" s="4">
        <f t="shared" si="3"/>
        <v>0</v>
      </c>
      <c r="T17">
        <f t="shared" si="4"/>
        <v>1</v>
      </c>
      <c r="U17" s="5">
        <f t="shared" si="5"/>
        <v>891022.46808510646</v>
      </c>
      <c r="V17" s="5">
        <f t="shared" si="6"/>
        <v>25.627659574468087</v>
      </c>
      <c r="W17">
        <f t="shared" si="7"/>
        <v>0</v>
      </c>
      <c r="X17" s="5">
        <f t="shared" si="8"/>
        <v>0</v>
      </c>
      <c r="Z17" t="s">
        <v>474</v>
      </c>
      <c r="AA17" s="4" cm="1">
        <f t="array" ref="AA17">IF(AA8=30%, 0, SUMPRODUCT(IF(X2:X138 &lt; 0, 1, 0), X2:X138, B2:B138)/SUMPRODUCT(IF(X2:X138 &lt; 0, 1, 0), B2:B138))</f>
        <v>0</v>
      </c>
    </row>
    <row r="18" spans="1:27" x14ac:dyDescent="0.55000000000000004">
      <c r="A18" t="s">
        <v>98</v>
      </c>
      <c r="B18">
        <v>43969</v>
      </c>
      <c r="C18">
        <v>1067765</v>
      </c>
      <c r="D18">
        <v>39500728</v>
      </c>
      <c r="E18">
        <v>35551355</v>
      </c>
      <c r="F18">
        <v>30038434</v>
      </c>
      <c r="G18">
        <v>5512921</v>
      </c>
      <c r="H18">
        <v>-3949373</v>
      </c>
      <c r="I18">
        <v>-3233446</v>
      </c>
      <c r="J18">
        <v>-2961677</v>
      </c>
      <c r="K18">
        <v>-1866834</v>
      </c>
      <c r="L18">
        <v>-1166844</v>
      </c>
      <c r="M18">
        <v>-1178949</v>
      </c>
      <c r="N18">
        <v>-2310226</v>
      </c>
      <c r="O18">
        <v>1126829</v>
      </c>
      <c r="P18">
        <f t="shared" si="0"/>
        <v>25.627805954195001</v>
      </c>
      <c r="Q18">
        <f t="shared" si="1"/>
        <v>0</v>
      </c>
      <c r="R18" s="5">
        <f t="shared" si="2"/>
        <v>1126822.5638297873</v>
      </c>
      <c r="S18" s="4">
        <f t="shared" si="3"/>
        <v>0</v>
      </c>
      <c r="T18">
        <f t="shared" si="4"/>
        <v>1</v>
      </c>
      <c r="U18" s="5">
        <f t="shared" si="5"/>
        <v>1126822.5638297873</v>
      </c>
      <c r="V18" s="5">
        <f t="shared" si="6"/>
        <v>25.627659574468087</v>
      </c>
      <c r="W18">
        <f t="shared" si="7"/>
        <v>0</v>
      </c>
      <c r="X18" s="5">
        <f t="shared" si="8"/>
        <v>0</v>
      </c>
      <c r="AA18" s="4"/>
    </row>
    <row r="19" spans="1:27" x14ac:dyDescent="0.55000000000000004">
      <c r="A19" t="s">
        <v>99</v>
      </c>
      <c r="B19">
        <v>31133</v>
      </c>
      <c r="C19">
        <v>754866</v>
      </c>
      <c r="D19">
        <v>24081112</v>
      </c>
      <c r="E19">
        <v>17789832</v>
      </c>
      <c r="F19">
        <v>17487450</v>
      </c>
      <c r="G19">
        <v>302382</v>
      </c>
      <c r="H19">
        <v>-6291281</v>
      </c>
      <c r="I19">
        <v>-6822278</v>
      </c>
      <c r="J19">
        <v>-7070878</v>
      </c>
      <c r="K19">
        <v>-6802997</v>
      </c>
      <c r="L19">
        <v>-8547328</v>
      </c>
      <c r="M19">
        <v>-9654671</v>
      </c>
      <c r="N19">
        <v>-7310870</v>
      </c>
      <c r="O19">
        <v>797870</v>
      </c>
      <c r="P19">
        <f t="shared" si="0"/>
        <v>25.627790447435196</v>
      </c>
      <c r="Q19">
        <f t="shared" si="1"/>
        <v>0</v>
      </c>
      <c r="R19" s="5">
        <f t="shared" si="2"/>
        <v>797865.92553191492</v>
      </c>
      <c r="S19" s="4">
        <f t="shared" si="3"/>
        <v>0</v>
      </c>
      <c r="T19">
        <f t="shared" si="4"/>
        <v>1</v>
      </c>
      <c r="U19" s="5">
        <f t="shared" si="5"/>
        <v>797865.92553191492</v>
      </c>
      <c r="V19" s="5">
        <f t="shared" si="6"/>
        <v>25.627659574468087</v>
      </c>
      <c r="W19">
        <f t="shared" si="7"/>
        <v>0</v>
      </c>
      <c r="X19" s="5">
        <f t="shared" si="8"/>
        <v>0</v>
      </c>
      <c r="AA19" s="4"/>
    </row>
    <row r="20" spans="1:27" x14ac:dyDescent="0.55000000000000004">
      <c r="A20" t="s">
        <v>100</v>
      </c>
      <c r="B20">
        <v>103691</v>
      </c>
      <c r="C20">
        <v>2477459</v>
      </c>
      <c r="D20">
        <v>75816587</v>
      </c>
      <c r="E20">
        <v>57672514</v>
      </c>
      <c r="F20">
        <v>56208711</v>
      </c>
      <c r="G20">
        <v>1463803</v>
      </c>
      <c r="H20">
        <v>-18144074</v>
      </c>
      <c r="I20">
        <v>-19399831</v>
      </c>
      <c r="J20">
        <v>-21970460</v>
      </c>
      <c r="K20">
        <v>-22995371</v>
      </c>
      <c r="L20">
        <v>-22632384</v>
      </c>
      <c r="M20">
        <v>-19692699</v>
      </c>
      <c r="N20">
        <v>-20923844</v>
      </c>
      <c r="O20">
        <v>2657372</v>
      </c>
      <c r="P20">
        <f t="shared" si="0"/>
        <v>25.627797976680714</v>
      </c>
      <c r="Q20">
        <f t="shared" si="1"/>
        <v>0</v>
      </c>
      <c r="R20" s="5">
        <f t="shared" si="2"/>
        <v>2657357.6489361706</v>
      </c>
      <c r="S20" s="4">
        <f t="shared" si="3"/>
        <v>0</v>
      </c>
      <c r="T20">
        <f t="shared" si="4"/>
        <v>1</v>
      </c>
      <c r="U20" s="5">
        <f t="shared" si="5"/>
        <v>2657357.6489361706</v>
      </c>
      <c r="V20" s="5">
        <f t="shared" si="6"/>
        <v>25.62765957446809</v>
      </c>
      <c r="W20">
        <f t="shared" si="7"/>
        <v>0</v>
      </c>
      <c r="X20" s="5">
        <f t="shared" si="8"/>
        <v>0</v>
      </c>
      <c r="AA20" s="4"/>
    </row>
    <row r="21" spans="1:27" x14ac:dyDescent="0.55000000000000004">
      <c r="A21" t="s">
        <v>101</v>
      </c>
      <c r="B21">
        <v>19335</v>
      </c>
      <c r="C21">
        <v>1812264</v>
      </c>
      <c r="D21">
        <v>10605364</v>
      </c>
      <c r="E21">
        <v>14025341</v>
      </c>
      <c r="F21">
        <v>11923059</v>
      </c>
      <c r="G21">
        <v>2102283</v>
      </c>
      <c r="H21">
        <v>3419977</v>
      </c>
      <c r="I21">
        <v>3025813</v>
      </c>
      <c r="J21">
        <v>3274010</v>
      </c>
      <c r="K21">
        <v>3075926</v>
      </c>
      <c r="L21">
        <v>3003882</v>
      </c>
      <c r="M21">
        <v>2867031</v>
      </c>
      <c r="N21">
        <v>3094908</v>
      </c>
      <c r="O21">
        <v>2131798</v>
      </c>
      <c r="P21">
        <f t="shared" si="0"/>
        <v>110.25590897336437</v>
      </c>
      <c r="Q21">
        <f t="shared" si="1"/>
        <v>1</v>
      </c>
      <c r="R21" s="5">
        <f t="shared" si="2"/>
        <v>495510.79787234048</v>
      </c>
      <c r="S21" s="4">
        <f t="shared" si="3"/>
        <v>2688276.5726360148</v>
      </c>
      <c r="T21">
        <f t="shared" si="4"/>
        <v>0</v>
      </c>
      <c r="U21" s="5">
        <f t="shared" si="5"/>
        <v>2131801.6806396069</v>
      </c>
      <c r="V21" s="5">
        <f t="shared" si="6"/>
        <v>110.25609933486459</v>
      </c>
      <c r="W21">
        <f t="shared" si="7"/>
        <v>0</v>
      </c>
      <c r="X21" s="5">
        <f t="shared" si="8"/>
        <v>0</v>
      </c>
      <c r="AA21" s="4"/>
    </row>
    <row r="22" spans="1:27" x14ac:dyDescent="0.55000000000000004">
      <c r="A22" t="s">
        <v>102</v>
      </c>
      <c r="B22">
        <v>579</v>
      </c>
      <c r="C22">
        <v>1205480</v>
      </c>
      <c r="D22">
        <v>1348696</v>
      </c>
      <c r="E22">
        <v>2998985</v>
      </c>
      <c r="F22">
        <v>1578017</v>
      </c>
      <c r="G22">
        <v>1420969</v>
      </c>
      <c r="H22">
        <v>1650289</v>
      </c>
      <c r="I22">
        <v>1696678</v>
      </c>
      <c r="J22">
        <v>1939635</v>
      </c>
      <c r="K22">
        <v>2327138</v>
      </c>
      <c r="L22">
        <v>1902200</v>
      </c>
      <c r="M22">
        <v>1909935</v>
      </c>
      <c r="N22">
        <v>1862112</v>
      </c>
      <c r="O22">
        <v>1282638</v>
      </c>
      <c r="P22">
        <f t="shared" si="0"/>
        <v>2215.2642487046633</v>
      </c>
      <c r="Q22">
        <f t="shared" si="1"/>
        <v>1</v>
      </c>
      <c r="R22" s="5">
        <f t="shared" si="2"/>
        <v>14838.414893617022</v>
      </c>
      <c r="S22" s="4">
        <f t="shared" si="3"/>
        <v>1617454.2394230766</v>
      </c>
      <c r="T22">
        <f t="shared" si="4"/>
        <v>0</v>
      </c>
      <c r="U22" s="5">
        <f t="shared" si="5"/>
        <v>1282640.2242454963</v>
      </c>
      <c r="V22" s="5">
        <f t="shared" si="6"/>
        <v>2215.268090234018</v>
      </c>
      <c r="W22">
        <f t="shared" si="7"/>
        <v>0</v>
      </c>
      <c r="X22" s="5">
        <f t="shared" si="8"/>
        <v>0</v>
      </c>
      <c r="AA22" s="4"/>
    </row>
    <row r="23" spans="1:27" x14ac:dyDescent="0.55000000000000004">
      <c r="A23" t="s">
        <v>103</v>
      </c>
      <c r="B23">
        <v>5528</v>
      </c>
      <c r="C23">
        <v>4334069</v>
      </c>
      <c r="D23">
        <v>3663102</v>
      </c>
      <c r="E23">
        <v>10332980</v>
      </c>
      <c r="F23">
        <v>7113499</v>
      </c>
      <c r="G23">
        <v>3219481</v>
      </c>
      <c r="H23">
        <v>6669878</v>
      </c>
      <c r="I23">
        <v>6558914</v>
      </c>
      <c r="J23">
        <v>7105739</v>
      </c>
      <c r="K23">
        <v>6598089</v>
      </c>
      <c r="L23">
        <v>6778154</v>
      </c>
      <c r="M23">
        <v>7140269</v>
      </c>
      <c r="N23">
        <v>6787965</v>
      </c>
      <c r="O23">
        <v>4675607</v>
      </c>
      <c r="P23">
        <f t="shared" si="0"/>
        <v>845.80445007235892</v>
      </c>
      <c r="Q23">
        <f t="shared" si="1"/>
        <v>1</v>
      </c>
      <c r="R23" s="5">
        <f t="shared" si="2"/>
        <v>141669.70212765958</v>
      </c>
      <c r="S23" s="4">
        <f t="shared" si="3"/>
        <v>5896112.9976636553</v>
      </c>
      <c r="T23">
        <f t="shared" si="4"/>
        <v>0</v>
      </c>
      <c r="U23" s="5">
        <f t="shared" si="5"/>
        <v>4675614.0069827056</v>
      </c>
      <c r="V23" s="5">
        <f t="shared" si="6"/>
        <v>845.80571761626368</v>
      </c>
      <c r="W23">
        <f t="shared" si="7"/>
        <v>0</v>
      </c>
      <c r="X23" s="5">
        <f t="shared" si="8"/>
        <v>0</v>
      </c>
      <c r="AA23" s="4"/>
    </row>
    <row r="24" spans="1:27" x14ac:dyDescent="0.55000000000000004">
      <c r="A24" t="s">
        <v>104</v>
      </c>
      <c r="B24">
        <v>1663</v>
      </c>
      <c r="C24">
        <v>635999</v>
      </c>
      <c r="D24">
        <v>2137270</v>
      </c>
      <c r="E24">
        <v>2242084</v>
      </c>
      <c r="F24">
        <v>1450771</v>
      </c>
      <c r="G24">
        <v>791313</v>
      </c>
      <c r="H24">
        <v>104814</v>
      </c>
      <c r="I24">
        <v>-89800</v>
      </c>
      <c r="J24">
        <v>328299</v>
      </c>
      <c r="K24">
        <v>890935</v>
      </c>
      <c r="L24">
        <v>1147560</v>
      </c>
      <c r="M24">
        <v>1235769</v>
      </c>
      <c r="N24">
        <v>617902</v>
      </c>
      <c r="O24">
        <v>425616</v>
      </c>
      <c r="P24">
        <f t="shared" si="0"/>
        <v>255.93265183403489</v>
      </c>
      <c r="Q24">
        <f t="shared" si="1"/>
        <v>1</v>
      </c>
      <c r="R24" s="5">
        <f t="shared" si="2"/>
        <v>42618.79787234043</v>
      </c>
      <c r="S24" s="4">
        <f t="shared" si="3"/>
        <v>536717.56019401515</v>
      </c>
      <c r="T24">
        <f t="shared" si="4"/>
        <v>0</v>
      </c>
      <c r="U24" s="5">
        <f t="shared" si="5"/>
        <v>425616.69751429593</v>
      </c>
      <c r="V24" s="5">
        <f t="shared" si="6"/>
        <v>255.93307126536135</v>
      </c>
      <c r="W24">
        <f t="shared" si="7"/>
        <v>0</v>
      </c>
      <c r="X24" s="5">
        <f t="shared" si="8"/>
        <v>0</v>
      </c>
      <c r="AA24" s="4"/>
    </row>
    <row r="25" spans="1:27" x14ac:dyDescent="0.55000000000000004">
      <c r="A25" t="s">
        <v>105</v>
      </c>
      <c r="B25">
        <v>6516</v>
      </c>
      <c r="C25">
        <v>1237301</v>
      </c>
      <c r="D25">
        <v>4326565</v>
      </c>
      <c r="E25">
        <v>6646715</v>
      </c>
      <c r="F25">
        <v>4820071</v>
      </c>
      <c r="G25">
        <v>1826644</v>
      </c>
      <c r="H25">
        <v>2320150</v>
      </c>
      <c r="I25">
        <v>1839654</v>
      </c>
      <c r="J25">
        <v>2062513</v>
      </c>
      <c r="K25">
        <v>2182334</v>
      </c>
      <c r="L25">
        <v>2208054</v>
      </c>
      <c r="M25">
        <v>1966291</v>
      </c>
      <c r="N25">
        <v>2104798</v>
      </c>
      <c r="O25">
        <v>1449802</v>
      </c>
      <c r="P25">
        <f t="shared" si="0"/>
        <v>222.4987722529159</v>
      </c>
      <c r="Q25">
        <f t="shared" si="1"/>
        <v>1</v>
      </c>
      <c r="R25" s="5">
        <f t="shared" si="2"/>
        <v>166989.82978723405</v>
      </c>
      <c r="S25" s="4">
        <f t="shared" si="3"/>
        <v>1828254.3951326306</v>
      </c>
      <c r="T25">
        <f t="shared" si="4"/>
        <v>0</v>
      </c>
      <c r="U25" s="5">
        <f t="shared" si="5"/>
        <v>1449804.6190086699</v>
      </c>
      <c r="V25" s="5">
        <f t="shared" si="6"/>
        <v>222.49917418794811</v>
      </c>
      <c r="W25">
        <f t="shared" si="7"/>
        <v>0</v>
      </c>
      <c r="X25" s="5">
        <f t="shared" si="8"/>
        <v>0</v>
      </c>
      <c r="AA25" s="4"/>
    </row>
    <row r="26" spans="1:27" x14ac:dyDescent="0.55000000000000004">
      <c r="A26" t="s">
        <v>106</v>
      </c>
      <c r="B26">
        <v>12178</v>
      </c>
      <c r="C26">
        <v>291663</v>
      </c>
      <c r="D26">
        <v>12456420</v>
      </c>
      <c r="E26">
        <v>7116600</v>
      </c>
      <c r="F26">
        <v>6979779</v>
      </c>
      <c r="G26">
        <v>136821</v>
      </c>
      <c r="H26">
        <v>-5339819</v>
      </c>
      <c r="I26">
        <v>-5508266</v>
      </c>
      <c r="J26">
        <v>-5789129</v>
      </c>
      <c r="K26">
        <v>-5681329</v>
      </c>
      <c r="L26">
        <v>-5449434</v>
      </c>
      <c r="M26">
        <v>-5043191</v>
      </c>
      <c r="N26">
        <v>-5494712</v>
      </c>
      <c r="O26">
        <v>312095</v>
      </c>
      <c r="P26">
        <f t="shared" si="0"/>
        <v>25.627771391033011</v>
      </c>
      <c r="Q26">
        <f t="shared" si="1"/>
        <v>0</v>
      </c>
      <c r="R26" s="5">
        <f t="shared" si="2"/>
        <v>312093.63829787239</v>
      </c>
      <c r="S26" s="4">
        <f t="shared" si="3"/>
        <v>0</v>
      </c>
      <c r="T26">
        <f t="shared" si="4"/>
        <v>1</v>
      </c>
      <c r="U26" s="5">
        <f t="shared" si="5"/>
        <v>312093.63829787239</v>
      </c>
      <c r="V26" s="5">
        <f t="shared" si="6"/>
        <v>25.62765957446809</v>
      </c>
      <c r="W26">
        <f t="shared" si="7"/>
        <v>0</v>
      </c>
      <c r="X26" s="5">
        <f t="shared" si="8"/>
        <v>0</v>
      </c>
      <c r="AA26" s="4"/>
    </row>
    <row r="27" spans="1:27" x14ac:dyDescent="0.55000000000000004">
      <c r="A27" t="s">
        <v>107</v>
      </c>
      <c r="B27">
        <v>130282</v>
      </c>
      <c r="C27">
        <v>3112845</v>
      </c>
      <c r="D27">
        <v>87164556</v>
      </c>
      <c r="E27">
        <v>73963901</v>
      </c>
      <c r="F27">
        <v>71641222</v>
      </c>
      <c r="G27">
        <v>2322679</v>
      </c>
      <c r="H27">
        <v>-13200654</v>
      </c>
      <c r="I27">
        <v>-10794742</v>
      </c>
      <c r="J27">
        <v>-11292317</v>
      </c>
      <c r="K27">
        <v>-18072202</v>
      </c>
      <c r="L27">
        <v>-19988481</v>
      </c>
      <c r="M27">
        <v>-18532864</v>
      </c>
      <c r="N27">
        <v>-15274510</v>
      </c>
      <c r="O27">
        <v>3338841</v>
      </c>
      <c r="P27">
        <f t="shared" si="0"/>
        <v>25.627799696043965</v>
      </c>
      <c r="Q27">
        <f t="shared" si="1"/>
        <v>0</v>
      </c>
      <c r="R27" s="5">
        <f t="shared" si="2"/>
        <v>3338822.7446808512</v>
      </c>
      <c r="S27" s="4">
        <f t="shared" si="3"/>
        <v>0</v>
      </c>
      <c r="T27">
        <f t="shared" si="4"/>
        <v>1</v>
      </c>
      <c r="U27" s="5">
        <f t="shared" si="5"/>
        <v>3338822.7446808512</v>
      </c>
      <c r="V27" s="5">
        <f t="shared" si="6"/>
        <v>25.627659574468087</v>
      </c>
      <c r="W27">
        <f t="shared" si="7"/>
        <v>0</v>
      </c>
      <c r="X27" s="5">
        <f t="shared" si="8"/>
        <v>0</v>
      </c>
      <c r="AA27" s="4"/>
    </row>
    <row r="28" spans="1:27" x14ac:dyDescent="0.55000000000000004">
      <c r="A28" t="s">
        <v>108</v>
      </c>
      <c r="B28">
        <v>9295</v>
      </c>
      <c r="C28">
        <v>1489314</v>
      </c>
      <c r="D28">
        <v>5974497</v>
      </c>
      <c r="E28">
        <v>8964365</v>
      </c>
      <c r="F28">
        <v>6569448</v>
      </c>
      <c r="G28">
        <v>2394917</v>
      </c>
      <c r="H28">
        <v>2989868</v>
      </c>
      <c r="I28">
        <v>2860476</v>
      </c>
      <c r="J28">
        <v>2711589</v>
      </c>
      <c r="K28">
        <v>2753298</v>
      </c>
      <c r="L28">
        <v>2524502</v>
      </c>
      <c r="M28">
        <v>2198191</v>
      </c>
      <c r="N28">
        <v>2712466</v>
      </c>
      <c r="O28">
        <v>1868369</v>
      </c>
      <c r="P28">
        <f t="shared" si="0"/>
        <v>201.00796126949973</v>
      </c>
      <c r="Q28">
        <f t="shared" si="1"/>
        <v>1</v>
      </c>
      <c r="R28" s="5">
        <f t="shared" si="2"/>
        <v>238209.09574468088</v>
      </c>
      <c r="S28" s="4">
        <f t="shared" si="3"/>
        <v>2356082.5723645813</v>
      </c>
      <c r="T28">
        <f t="shared" si="4"/>
        <v>0</v>
      </c>
      <c r="U28" s="5">
        <f t="shared" si="5"/>
        <v>1868372.0412619028</v>
      </c>
      <c r="V28" s="5">
        <f t="shared" si="6"/>
        <v>201.00828846281902</v>
      </c>
      <c r="W28">
        <f t="shared" si="7"/>
        <v>0</v>
      </c>
      <c r="X28" s="5">
        <f t="shared" si="8"/>
        <v>0</v>
      </c>
      <c r="AA28" s="4"/>
    </row>
    <row r="29" spans="1:27" x14ac:dyDescent="0.55000000000000004">
      <c r="A29" t="s">
        <v>109</v>
      </c>
      <c r="B29">
        <v>3686</v>
      </c>
      <c r="C29">
        <v>694325</v>
      </c>
      <c r="D29">
        <v>9460615</v>
      </c>
      <c r="E29">
        <v>6477587</v>
      </c>
      <c r="F29">
        <v>4121300</v>
      </c>
      <c r="G29">
        <v>2356287</v>
      </c>
      <c r="H29">
        <v>-2983028</v>
      </c>
      <c r="I29">
        <v>492895</v>
      </c>
      <c r="J29">
        <v>679167</v>
      </c>
      <c r="K29">
        <v>1083078</v>
      </c>
      <c r="L29">
        <v>1235639</v>
      </c>
      <c r="M29">
        <v>1522674</v>
      </c>
      <c r="N29">
        <v>872695</v>
      </c>
      <c r="O29">
        <v>601119</v>
      </c>
      <c r="P29">
        <f t="shared" si="0"/>
        <v>163.08166033640802</v>
      </c>
      <c r="Q29">
        <f t="shared" si="1"/>
        <v>1</v>
      </c>
      <c r="R29" s="5">
        <f t="shared" si="2"/>
        <v>94463.553191489365</v>
      </c>
      <c r="S29" s="4">
        <f t="shared" si="3"/>
        <v>758034.01056076214</v>
      </c>
      <c r="T29">
        <f t="shared" si="4"/>
        <v>0</v>
      </c>
      <c r="U29" s="5">
        <f t="shared" si="5"/>
        <v>601120.50751937763</v>
      </c>
      <c r="V29" s="5">
        <f t="shared" si="6"/>
        <v>163.08206932158916</v>
      </c>
      <c r="W29">
        <f t="shared" si="7"/>
        <v>0</v>
      </c>
      <c r="X29" s="5">
        <f t="shared" si="8"/>
        <v>0</v>
      </c>
      <c r="AA29" s="4"/>
    </row>
    <row r="30" spans="1:27" x14ac:dyDescent="0.55000000000000004">
      <c r="A30" t="s">
        <v>110</v>
      </c>
      <c r="B30">
        <v>1107</v>
      </c>
      <c r="C30">
        <v>1733861</v>
      </c>
      <c r="D30">
        <v>2510037</v>
      </c>
      <c r="E30">
        <v>4204153</v>
      </c>
      <c r="F30">
        <v>2281234</v>
      </c>
      <c r="G30">
        <v>1922919</v>
      </c>
      <c r="H30">
        <v>1694116</v>
      </c>
      <c r="I30">
        <v>2262018</v>
      </c>
      <c r="J30">
        <v>2556289</v>
      </c>
      <c r="K30">
        <v>2938971</v>
      </c>
      <c r="L30">
        <v>2948306</v>
      </c>
      <c r="M30">
        <v>2851600</v>
      </c>
      <c r="N30">
        <v>2652220</v>
      </c>
      <c r="O30">
        <v>1826871</v>
      </c>
      <c r="P30">
        <f t="shared" si="0"/>
        <v>1650.289972899729</v>
      </c>
      <c r="Q30">
        <f t="shared" si="1"/>
        <v>1</v>
      </c>
      <c r="R30" s="5">
        <f t="shared" si="2"/>
        <v>28369.819148936171</v>
      </c>
      <c r="S30" s="4">
        <f t="shared" si="3"/>
        <v>2303752.1281655841</v>
      </c>
      <c r="T30">
        <f t="shared" si="4"/>
        <v>0</v>
      </c>
      <c r="U30" s="5">
        <f t="shared" si="5"/>
        <v>1826874.0309650495</v>
      </c>
      <c r="V30" s="5">
        <f t="shared" si="6"/>
        <v>1650.2927108988704</v>
      </c>
      <c r="W30">
        <f t="shared" si="7"/>
        <v>0</v>
      </c>
      <c r="X30" s="5">
        <f t="shared" si="8"/>
        <v>0</v>
      </c>
    </row>
    <row r="31" spans="1:27" x14ac:dyDescent="0.55000000000000004">
      <c r="A31" t="s">
        <v>111</v>
      </c>
      <c r="B31">
        <v>1029</v>
      </c>
      <c r="C31">
        <v>1509502</v>
      </c>
      <c r="D31">
        <v>1917794</v>
      </c>
      <c r="E31">
        <v>3741453</v>
      </c>
      <c r="F31">
        <v>2641071</v>
      </c>
      <c r="G31">
        <v>1100381</v>
      </c>
      <c r="H31">
        <v>1823658</v>
      </c>
      <c r="I31">
        <v>1724310</v>
      </c>
      <c r="J31">
        <v>2212265</v>
      </c>
      <c r="K31">
        <v>2497859</v>
      </c>
      <c r="L31">
        <v>2531398</v>
      </c>
      <c r="M31">
        <v>2316673</v>
      </c>
      <c r="N31">
        <v>2212614</v>
      </c>
      <c r="O31">
        <v>1524067</v>
      </c>
      <c r="P31">
        <f t="shared" si="0"/>
        <v>1481.1146744412051</v>
      </c>
      <c r="Q31">
        <f t="shared" si="1"/>
        <v>1</v>
      </c>
      <c r="R31" s="5">
        <f t="shared" si="2"/>
        <v>26370.861702127662</v>
      </c>
      <c r="S31" s="4">
        <f t="shared" si="3"/>
        <v>1921904.7482143133</v>
      </c>
      <c r="T31">
        <f t="shared" si="4"/>
        <v>0</v>
      </c>
      <c r="U31" s="5">
        <f t="shared" si="5"/>
        <v>1524069.2918195708</v>
      </c>
      <c r="V31" s="5">
        <f t="shared" si="6"/>
        <v>1481.1169016711087</v>
      </c>
      <c r="W31">
        <f t="shared" si="7"/>
        <v>0</v>
      </c>
      <c r="X31" s="5">
        <f t="shared" si="8"/>
        <v>0</v>
      </c>
    </row>
    <row r="32" spans="1:27" x14ac:dyDescent="0.55000000000000004">
      <c r="A32" t="s">
        <v>112</v>
      </c>
      <c r="B32">
        <v>8695</v>
      </c>
      <c r="C32">
        <v>213879</v>
      </c>
      <c r="D32">
        <v>8965704</v>
      </c>
      <c r="E32">
        <v>4981399</v>
      </c>
      <c r="F32">
        <v>4952572</v>
      </c>
      <c r="G32">
        <v>28827</v>
      </c>
      <c r="H32">
        <v>-3984305</v>
      </c>
      <c r="I32">
        <v>-3924169</v>
      </c>
      <c r="J32">
        <v>-3742921</v>
      </c>
      <c r="K32">
        <v>-3647268</v>
      </c>
      <c r="L32">
        <v>-3397530</v>
      </c>
      <c r="M32">
        <v>-3147811</v>
      </c>
      <c r="N32">
        <v>-3677972</v>
      </c>
      <c r="O32">
        <v>222834</v>
      </c>
      <c r="P32">
        <f t="shared" si="0"/>
        <v>25.627832087406556</v>
      </c>
      <c r="Q32">
        <f t="shared" si="1"/>
        <v>0</v>
      </c>
      <c r="R32" s="5">
        <f t="shared" si="2"/>
        <v>222832.50000000003</v>
      </c>
      <c r="S32" s="4">
        <f t="shared" si="3"/>
        <v>0</v>
      </c>
      <c r="T32">
        <f t="shared" si="4"/>
        <v>1</v>
      </c>
      <c r="U32" s="5">
        <f t="shared" si="5"/>
        <v>222832.50000000003</v>
      </c>
      <c r="V32" s="5">
        <f t="shared" si="6"/>
        <v>25.627659574468087</v>
      </c>
      <c r="W32">
        <f t="shared" si="7"/>
        <v>0</v>
      </c>
      <c r="X32" s="5">
        <f t="shared" si="8"/>
        <v>0</v>
      </c>
    </row>
    <row r="33" spans="1:24" x14ac:dyDescent="0.55000000000000004">
      <c r="A33" t="s">
        <v>113</v>
      </c>
      <c r="B33">
        <v>1149</v>
      </c>
      <c r="C33">
        <v>1141259</v>
      </c>
      <c r="D33">
        <v>2127391</v>
      </c>
      <c r="E33">
        <v>3226389</v>
      </c>
      <c r="F33">
        <v>2012420</v>
      </c>
      <c r="G33">
        <v>1213969</v>
      </c>
      <c r="H33">
        <v>1098998</v>
      </c>
      <c r="I33">
        <v>1069590</v>
      </c>
      <c r="J33">
        <v>1638320</v>
      </c>
      <c r="K33">
        <v>1988348</v>
      </c>
      <c r="L33">
        <v>2033736</v>
      </c>
      <c r="M33">
        <v>1740989</v>
      </c>
      <c r="N33">
        <v>1616664</v>
      </c>
      <c r="O33">
        <v>1113571</v>
      </c>
      <c r="P33">
        <f t="shared" si="0"/>
        <v>969.16536118363797</v>
      </c>
      <c r="Q33">
        <f t="shared" si="1"/>
        <v>1</v>
      </c>
      <c r="R33" s="5">
        <f t="shared" si="2"/>
        <v>29446.180851063833</v>
      </c>
      <c r="S33" s="4">
        <f t="shared" si="3"/>
        <v>1404254.9752768194</v>
      </c>
      <c r="T33">
        <f t="shared" si="4"/>
        <v>0</v>
      </c>
      <c r="U33" s="5">
        <f t="shared" si="5"/>
        <v>1113573.3379569119</v>
      </c>
      <c r="V33" s="5">
        <f t="shared" si="6"/>
        <v>969.16739595901822</v>
      </c>
      <c r="W33">
        <f t="shared" si="7"/>
        <v>0</v>
      </c>
      <c r="X33" s="5">
        <f t="shared" si="8"/>
        <v>0</v>
      </c>
    </row>
    <row r="34" spans="1:24" x14ac:dyDescent="0.55000000000000004">
      <c r="A34" t="s">
        <v>114</v>
      </c>
      <c r="B34">
        <v>951</v>
      </c>
      <c r="C34">
        <v>622118</v>
      </c>
      <c r="D34">
        <v>1172829</v>
      </c>
      <c r="E34">
        <v>2154704</v>
      </c>
      <c r="F34">
        <v>1472844</v>
      </c>
      <c r="G34">
        <v>681860</v>
      </c>
      <c r="H34">
        <v>981875</v>
      </c>
      <c r="I34">
        <v>652815</v>
      </c>
      <c r="J34">
        <v>871509</v>
      </c>
      <c r="K34">
        <v>995546</v>
      </c>
      <c r="L34">
        <v>1022504</v>
      </c>
      <c r="M34">
        <v>974810</v>
      </c>
      <c r="N34">
        <v>955935</v>
      </c>
      <c r="O34">
        <v>658456</v>
      </c>
      <c r="P34">
        <f t="shared" si="0"/>
        <v>692.38275499474241</v>
      </c>
      <c r="Q34">
        <f t="shared" si="1"/>
        <v>1</v>
      </c>
      <c r="R34" s="5">
        <f t="shared" si="2"/>
        <v>24371.90425531915</v>
      </c>
      <c r="S34" s="4">
        <f t="shared" si="3"/>
        <v>830337.33650977956</v>
      </c>
      <c r="T34">
        <f t="shared" si="4"/>
        <v>0</v>
      </c>
      <c r="U34" s="5">
        <f t="shared" si="5"/>
        <v>658457.00084856257</v>
      </c>
      <c r="V34" s="5">
        <f t="shared" si="6"/>
        <v>692.38380741173773</v>
      </c>
      <c r="W34">
        <f t="shared" si="7"/>
        <v>0</v>
      </c>
      <c r="X34" s="5">
        <f t="shared" si="8"/>
        <v>0</v>
      </c>
    </row>
    <row r="35" spans="1:24" x14ac:dyDescent="0.55000000000000004">
      <c r="A35" t="s">
        <v>115</v>
      </c>
      <c r="B35">
        <v>231</v>
      </c>
      <c r="C35">
        <v>1880918</v>
      </c>
      <c r="D35">
        <v>2509681</v>
      </c>
      <c r="E35">
        <v>4212759</v>
      </c>
      <c r="F35">
        <v>1870633</v>
      </c>
      <c r="G35">
        <v>2342126</v>
      </c>
      <c r="H35">
        <v>1703078</v>
      </c>
      <c r="I35">
        <v>2699247</v>
      </c>
      <c r="J35">
        <v>3150617</v>
      </c>
      <c r="K35">
        <v>3421140</v>
      </c>
      <c r="L35">
        <v>3353229</v>
      </c>
      <c r="M35">
        <v>2877203</v>
      </c>
      <c r="N35">
        <v>3020074</v>
      </c>
      <c r="O35">
        <v>2080252</v>
      </c>
      <c r="P35">
        <f t="shared" si="0"/>
        <v>9005.4199134199134</v>
      </c>
      <c r="Q35">
        <f t="shared" si="1"/>
        <v>1</v>
      </c>
      <c r="R35" s="5">
        <f t="shared" si="2"/>
        <v>5919.989361702128</v>
      </c>
      <c r="S35" s="4">
        <f t="shared" si="3"/>
        <v>2623274.8055280289</v>
      </c>
      <c r="T35">
        <f t="shared" si="4"/>
        <v>0</v>
      </c>
      <c r="U35" s="5">
        <f t="shared" si="5"/>
        <v>2080255.3190130307</v>
      </c>
      <c r="V35" s="5">
        <f t="shared" si="6"/>
        <v>9005.4342814416923</v>
      </c>
      <c r="W35">
        <f t="shared" si="7"/>
        <v>0</v>
      </c>
      <c r="X35" s="5">
        <f t="shared" si="8"/>
        <v>0.01</v>
      </c>
    </row>
    <row r="36" spans="1:24" x14ac:dyDescent="0.55000000000000004">
      <c r="A36" t="s">
        <v>116</v>
      </c>
      <c r="B36">
        <v>1322</v>
      </c>
      <c r="C36">
        <v>1135935</v>
      </c>
      <c r="D36">
        <v>1814136</v>
      </c>
      <c r="E36">
        <v>2963306</v>
      </c>
      <c r="F36">
        <v>2364556</v>
      </c>
      <c r="G36">
        <v>598751</v>
      </c>
      <c r="H36">
        <v>1149171</v>
      </c>
      <c r="I36">
        <v>1446514</v>
      </c>
      <c r="J36">
        <v>1773476</v>
      </c>
      <c r="K36">
        <v>2022899</v>
      </c>
      <c r="L36">
        <v>2026885</v>
      </c>
      <c r="M36">
        <v>1787932</v>
      </c>
      <c r="N36">
        <v>1757705</v>
      </c>
      <c r="O36">
        <v>1210722</v>
      </c>
      <c r="P36">
        <f t="shared" si="0"/>
        <v>915.82602118003024</v>
      </c>
      <c r="Q36">
        <f t="shared" si="1"/>
        <v>1</v>
      </c>
      <c r="R36" s="5">
        <f t="shared" si="2"/>
        <v>33879.765957446813</v>
      </c>
      <c r="S36" s="4">
        <f t="shared" si="3"/>
        <v>1526764.9872323142</v>
      </c>
      <c r="T36">
        <f t="shared" si="4"/>
        <v>0</v>
      </c>
      <c r="U36" s="5">
        <f t="shared" si="5"/>
        <v>1210723.7026330479</v>
      </c>
      <c r="V36" s="5">
        <f t="shared" si="6"/>
        <v>915.82730910215423</v>
      </c>
      <c r="W36">
        <f t="shared" si="7"/>
        <v>0</v>
      </c>
      <c r="X36" s="5">
        <f t="shared" si="8"/>
        <v>0</v>
      </c>
    </row>
    <row r="37" spans="1:24" x14ac:dyDescent="0.55000000000000004">
      <c r="A37" t="s">
        <v>117</v>
      </c>
      <c r="B37">
        <v>1446</v>
      </c>
      <c r="C37">
        <v>2309828</v>
      </c>
      <c r="D37">
        <v>2870835</v>
      </c>
      <c r="E37">
        <v>5956772</v>
      </c>
      <c r="F37">
        <v>4645884</v>
      </c>
      <c r="G37">
        <v>1310888</v>
      </c>
      <c r="H37">
        <v>3085937</v>
      </c>
      <c r="I37">
        <v>2733244</v>
      </c>
      <c r="J37">
        <v>3596769</v>
      </c>
      <c r="K37">
        <v>4196010</v>
      </c>
      <c r="L37">
        <v>4135078</v>
      </c>
      <c r="M37">
        <v>3604431</v>
      </c>
      <c r="N37">
        <v>3605554</v>
      </c>
      <c r="O37">
        <v>2483535</v>
      </c>
      <c r="P37">
        <f t="shared" si="0"/>
        <v>1717.5207468879669</v>
      </c>
      <c r="Q37">
        <f t="shared" si="1"/>
        <v>1</v>
      </c>
      <c r="R37" s="5">
        <f t="shared" si="2"/>
        <v>37057.595744680853</v>
      </c>
      <c r="S37" s="4">
        <f t="shared" si="3"/>
        <v>3131830.2028926462</v>
      </c>
      <c r="T37">
        <f t="shared" si="4"/>
        <v>0</v>
      </c>
      <c r="U37" s="5">
        <f t="shared" si="5"/>
        <v>2483539.4385994216</v>
      </c>
      <c r="V37" s="5">
        <f t="shared" si="6"/>
        <v>1717.5238164587979</v>
      </c>
      <c r="W37">
        <f t="shared" si="7"/>
        <v>0</v>
      </c>
      <c r="X37" s="5">
        <f t="shared" si="8"/>
        <v>0</v>
      </c>
    </row>
    <row r="38" spans="1:24" x14ac:dyDescent="0.55000000000000004">
      <c r="A38" t="s">
        <v>118</v>
      </c>
      <c r="B38">
        <v>3748</v>
      </c>
      <c r="C38">
        <v>987679</v>
      </c>
      <c r="D38">
        <v>6893603</v>
      </c>
      <c r="E38">
        <v>7474538</v>
      </c>
      <c r="F38">
        <v>5668214</v>
      </c>
      <c r="G38">
        <v>1806324</v>
      </c>
      <c r="H38">
        <v>580935</v>
      </c>
      <c r="I38">
        <v>872053</v>
      </c>
      <c r="J38">
        <v>1326054</v>
      </c>
      <c r="K38">
        <v>1867265</v>
      </c>
      <c r="L38">
        <v>2073075</v>
      </c>
      <c r="M38">
        <v>2134721</v>
      </c>
      <c r="N38">
        <v>1534612</v>
      </c>
      <c r="O38">
        <v>1057053</v>
      </c>
      <c r="P38">
        <f t="shared" si="0"/>
        <v>282.03121664887942</v>
      </c>
      <c r="Q38">
        <f t="shared" si="1"/>
        <v>1</v>
      </c>
      <c r="R38" s="5">
        <f t="shared" si="2"/>
        <v>96052.468085106389</v>
      </c>
      <c r="S38" s="4">
        <f t="shared" si="3"/>
        <v>1332983.5612839221</v>
      </c>
      <c r="T38">
        <f t="shared" si="4"/>
        <v>0</v>
      </c>
      <c r="U38" s="5">
        <f t="shared" si="5"/>
        <v>1057055.150178845</v>
      </c>
      <c r="V38" s="5">
        <f t="shared" si="6"/>
        <v>282.03179033587116</v>
      </c>
      <c r="W38">
        <f t="shared" si="7"/>
        <v>0</v>
      </c>
      <c r="X38" s="5">
        <f t="shared" si="8"/>
        <v>0</v>
      </c>
    </row>
    <row r="39" spans="1:24" x14ac:dyDescent="0.55000000000000004">
      <c r="A39" t="s">
        <v>119</v>
      </c>
      <c r="B39">
        <v>15685</v>
      </c>
      <c r="C39">
        <v>1007895</v>
      </c>
      <c r="D39">
        <v>9242299</v>
      </c>
      <c r="E39">
        <v>10633432</v>
      </c>
      <c r="F39">
        <v>9212931</v>
      </c>
      <c r="G39">
        <v>1420501</v>
      </c>
      <c r="H39">
        <v>1391133</v>
      </c>
      <c r="I39">
        <v>726183</v>
      </c>
      <c r="J39">
        <v>890720</v>
      </c>
      <c r="K39">
        <v>1171960</v>
      </c>
      <c r="L39">
        <v>1701932</v>
      </c>
      <c r="M39">
        <v>1806101</v>
      </c>
      <c r="N39">
        <v>1288936</v>
      </c>
      <c r="O39">
        <v>887830</v>
      </c>
      <c r="P39">
        <f t="shared" si="0"/>
        <v>56.603761555626392</v>
      </c>
      <c r="Q39">
        <f t="shared" si="1"/>
        <v>1</v>
      </c>
      <c r="R39" s="5">
        <f t="shared" si="2"/>
        <v>401969.84042553196</v>
      </c>
      <c r="S39" s="4">
        <f t="shared" si="3"/>
        <v>1119586.2534289144</v>
      </c>
      <c r="T39">
        <f t="shared" si="4"/>
        <v>0</v>
      </c>
      <c r="U39" s="5">
        <f t="shared" si="5"/>
        <v>887831.2153501471</v>
      </c>
      <c r="V39" s="5">
        <f t="shared" si="6"/>
        <v>56.603839040493916</v>
      </c>
      <c r="W39">
        <f t="shared" si="7"/>
        <v>0</v>
      </c>
      <c r="X39" s="5">
        <f t="shared" si="8"/>
        <v>0</v>
      </c>
    </row>
    <row r="40" spans="1:24" x14ac:dyDescent="0.55000000000000004">
      <c r="A40" t="s">
        <v>120</v>
      </c>
      <c r="B40">
        <v>6618</v>
      </c>
      <c r="C40">
        <v>596922</v>
      </c>
      <c r="D40">
        <v>5456272</v>
      </c>
      <c r="E40">
        <v>5266279</v>
      </c>
      <c r="F40">
        <v>4263078</v>
      </c>
      <c r="G40">
        <v>1003201</v>
      </c>
      <c r="H40">
        <v>-189993</v>
      </c>
      <c r="I40">
        <v>-92546</v>
      </c>
      <c r="J40">
        <v>108141</v>
      </c>
      <c r="K40">
        <v>561840</v>
      </c>
      <c r="L40">
        <v>759284</v>
      </c>
      <c r="M40">
        <v>887400</v>
      </c>
      <c r="N40">
        <v>334180</v>
      </c>
      <c r="O40">
        <v>230186</v>
      </c>
      <c r="P40">
        <f t="shared" si="0"/>
        <v>34.781807192505291</v>
      </c>
      <c r="Q40">
        <f t="shared" si="1"/>
        <v>1</v>
      </c>
      <c r="R40" s="5">
        <f t="shared" si="2"/>
        <v>169603.85106382979</v>
      </c>
      <c r="S40" s="4">
        <f t="shared" si="3"/>
        <v>290273.01136043575</v>
      </c>
      <c r="T40">
        <f t="shared" si="4"/>
        <v>0</v>
      </c>
      <c r="U40" s="5">
        <f t="shared" si="5"/>
        <v>230186.32076822442</v>
      </c>
      <c r="V40" s="5">
        <f t="shared" si="6"/>
        <v>34.781855661563071</v>
      </c>
      <c r="W40">
        <f t="shared" si="7"/>
        <v>0</v>
      </c>
      <c r="X40" s="5">
        <f t="shared" si="8"/>
        <v>0</v>
      </c>
    </row>
    <row r="41" spans="1:24" x14ac:dyDescent="0.55000000000000004">
      <c r="A41" t="s">
        <v>121</v>
      </c>
      <c r="B41">
        <v>8433</v>
      </c>
      <c r="C41">
        <v>5636727</v>
      </c>
      <c r="D41">
        <v>4514359</v>
      </c>
      <c r="E41">
        <v>12799191</v>
      </c>
      <c r="F41">
        <v>6894962</v>
      </c>
      <c r="G41">
        <v>5904229</v>
      </c>
      <c r="H41">
        <v>8284832</v>
      </c>
      <c r="I41">
        <v>8841262</v>
      </c>
      <c r="J41">
        <v>9312530</v>
      </c>
      <c r="K41">
        <v>10260325</v>
      </c>
      <c r="L41">
        <v>9861776</v>
      </c>
      <c r="M41">
        <v>9053183</v>
      </c>
      <c r="N41">
        <v>9267188</v>
      </c>
      <c r="O41">
        <v>6383316</v>
      </c>
      <c r="P41">
        <f t="shared" si="0"/>
        <v>756.94485948061185</v>
      </c>
      <c r="Q41">
        <f t="shared" si="1"/>
        <v>1</v>
      </c>
      <c r="R41" s="5">
        <f t="shared" si="2"/>
        <v>216118.05319148937</v>
      </c>
      <c r="S41" s="4">
        <f t="shared" si="3"/>
        <v>8049597.7245894251</v>
      </c>
      <c r="T41">
        <f t="shared" si="4"/>
        <v>0</v>
      </c>
      <c r="U41" s="5">
        <f t="shared" si="5"/>
        <v>6383326.0805178061</v>
      </c>
      <c r="V41" s="5">
        <f t="shared" si="6"/>
        <v>756.94605484617648</v>
      </c>
      <c r="W41">
        <f t="shared" si="7"/>
        <v>0</v>
      </c>
      <c r="X41" s="5">
        <f t="shared" si="8"/>
        <v>0</v>
      </c>
    </row>
    <row r="42" spans="1:24" x14ac:dyDescent="0.55000000000000004">
      <c r="A42" t="s">
        <v>122</v>
      </c>
      <c r="B42">
        <v>6438</v>
      </c>
      <c r="C42">
        <v>1459389</v>
      </c>
      <c r="D42">
        <v>4507745</v>
      </c>
      <c r="E42">
        <v>6193995</v>
      </c>
      <c r="F42">
        <v>4853332</v>
      </c>
      <c r="G42">
        <v>1340662</v>
      </c>
      <c r="H42">
        <v>1686249</v>
      </c>
      <c r="I42">
        <v>1758182</v>
      </c>
      <c r="J42">
        <v>2180986</v>
      </c>
      <c r="K42">
        <v>2405930</v>
      </c>
      <c r="L42">
        <v>2357161</v>
      </c>
      <c r="M42">
        <v>2281974</v>
      </c>
      <c r="N42">
        <v>2144576</v>
      </c>
      <c r="O42">
        <v>1477202</v>
      </c>
      <c r="P42">
        <f t="shared" si="0"/>
        <v>229.45045045045046</v>
      </c>
      <c r="Q42">
        <f t="shared" si="1"/>
        <v>1</v>
      </c>
      <c r="R42" s="5">
        <f t="shared" si="2"/>
        <v>164990.87234042553</v>
      </c>
      <c r="S42" s="4">
        <f t="shared" si="3"/>
        <v>1862806.0734074987</v>
      </c>
      <c r="T42">
        <f t="shared" si="4"/>
        <v>0</v>
      </c>
      <c r="U42" s="5">
        <f t="shared" si="5"/>
        <v>1477204.0787833973</v>
      </c>
      <c r="V42" s="5">
        <f t="shared" si="6"/>
        <v>229.45077334318069</v>
      </c>
      <c r="W42">
        <f t="shared" si="7"/>
        <v>0</v>
      </c>
      <c r="X42" s="5">
        <f t="shared" si="8"/>
        <v>0</v>
      </c>
    </row>
    <row r="43" spans="1:24" x14ac:dyDescent="0.55000000000000004">
      <c r="A43" t="s">
        <v>123</v>
      </c>
      <c r="B43">
        <v>738</v>
      </c>
      <c r="C43">
        <v>1051029</v>
      </c>
      <c r="D43">
        <v>1325938</v>
      </c>
      <c r="E43">
        <v>2602864</v>
      </c>
      <c r="F43">
        <v>1941387</v>
      </c>
      <c r="G43">
        <v>661477</v>
      </c>
      <c r="H43">
        <v>1276926</v>
      </c>
      <c r="I43">
        <v>1137410</v>
      </c>
      <c r="J43">
        <v>1436691</v>
      </c>
      <c r="K43">
        <v>1689420</v>
      </c>
      <c r="L43">
        <v>1916031</v>
      </c>
      <c r="M43">
        <v>1725190</v>
      </c>
      <c r="N43">
        <v>1532057</v>
      </c>
      <c r="O43">
        <v>1055293</v>
      </c>
      <c r="P43">
        <f t="shared" si="0"/>
        <v>1429.9363143631435</v>
      </c>
      <c r="Q43">
        <f t="shared" si="1"/>
        <v>1</v>
      </c>
      <c r="R43" s="5">
        <f t="shared" si="2"/>
        <v>18913.212765957447</v>
      </c>
      <c r="S43" s="4">
        <f t="shared" si="3"/>
        <v>1330764.2556880575</v>
      </c>
      <c r="T43">
        <f t="shared" si="4"/>
        <v>0</v>
      </c>
      <c r="U43" s="5">
        <f t="shared" si="5"/>
        <v>1055295.2421964318</v>
      </c>
      <c r="V43" s="5">
        <f t="shared" si="6"/>
        <v>1429.9393525696908</v>
      </c>
      <c r="W43">
        <f t="shared" si="7"/>
        <v>0</v>
      </c>
      <c r="X43" s="5">
        <f t="shared" si="8"/>
        <v>0</v>
      </c>
    </row>
    <row r="44" spans="1:24" x14ac:dyDescent="0.55000000000000004">
      <c r="A44" t="s">
        <v>124</v>
      </c>
      <c r="B44">
        <v>701</v>
      </c>
      <c r="C44">
        <v>1336867</v>
      </c>
      <c r="D44">
        <v>1569587</v>
      </c>
      <c r="E44">
        <v>3433205</v>
      </c>
      <c r="F44">
        <v>2450587</v>
      </c>
      <c r="G44">
        <v>982618</v>
      </c>
      <c r="H44">
        <v>1863617</v>
      </c>
      <c r="I44">
        <v>1729789</v>
      </c>
      <c r="J44">
        <v>2068914</v>
      </c>
      <c r="K44">
        <v>2309600</v>
      </c>
      <c r="L44">
        <v>2288310</v>
      </c>
      <c r="M44">
        <v>1950036</v>
      </c>
      <c r="N44">
        <v>2042719</v>
      </c>
      <c r="O44">
        <v>1407042</v>
      </c>
      <c r="P44">
        <f t="shared" si="0"/>
        <v>2007.1925820256777</v>
      </c>
      <c r="Q44">
        <f t="shared" si="1"/>
        <v>1</v>
      </c>
      <c r="R44" s="5">
        <f t="shared" si="2"/>
        <v>17964.98936170213</v>
      </c>
      <c r="S44" s="4">
        <f t="shared" si="3"/>
        <v>1774331.7837488118</v>
      </c>
      <c r="T44">
        <f t="shared" si="4"/>
        <v>0</v>
      </c>
      <c r="U44" s="5">
        <f t="shared" si="5"/>
        <v>1407044.0211064296</v>
      </c>
      <c r="V44" s="5">
        <f t="shared" si="6"/>
        <v>2007.1954652017541</v>
      </c>
      <c r="W44">
        <f t="shared" si="7"/>
        <v>0</v>
      </c>
      <c r="X44" s="5">
        <f t="shared" si="8"/>
        <v>0</v>
      </c>
    </row>
    <row r="45" spans="1:24" x14ac:dyDescent="0.55000000000000004">
      <c r="A45" t="s">
        <v>125</v>
      </c>
      <c r="B45">
        <v>701</v>
      </c>
      <c r="C45">
        <v>1281874</v>
      </c>
      <c r="D45">
        <v>3880460</v>
      </c>
      <c r="E45">
        <v>4185106</v>
      </c>
      <c r="F45">
        <v>1854853</v>
      </c>
      <c r="G45">
        <v>2330253</v>
      </c>
      <c r="H45">
        <v>304645</v>
      </c>
      <c r="I45">
        <v>1822422</v>
      </c>
      <c r="J45">
        <v>2100452</v>
      </c>
      <c r="K45">
        <v>2426557</v>
      </c>
      <c r="L45">
        <v>2306952</v>
      </c>
      <c r="M45">
        <v>2204162</v>
      </c>
      <c r="N45">
        <v>2108497</v>
      </c>
      <c r="O45">
        <v>1452350</v>
      </c>
      <c r="P45">
        <f t="shared" si="0"/>
        <v>2071.8259629101285</v>
      </c>
      <c r="Q45">
        <f t="shared" si="1"/>
        <v>1</v>
      </c>
      <c r="R45" s="5">
        <f t="shared" si="2"/>
        <v>17964.98936170213</v>
      </c>
      <c r="S45" s="4">
        <f t="shared" si="3"/>
        <v>1831467.3937232769</v>
      </c>
      <c r="T45">
        <f t="shared" si="4"/>
        <v>0</v>
      </c>
      <c r="U45" s="5">
        <f t="shared" si="5"/>
        <v>1452352.5249291966</v>
      </c>
      <c r="V45" s="5">
        <f t="shared" si="6"/>
        <v>2071.8295648062717</v>
      </c>
      <c r="W45">
        <f t="shared" si="7"/>
        <v>0</v>
      </c>
      <c r="X45" s="5">
        <f t="shared" si="8"/>
        <v>0</v>
      </c>
    </row>
    <row r="46" spans="1:24" x14ac:dyDescent="0.55000000000000004">
      <c r="A46" t="s">
        <v>126</v>
      </c>
      <c r="B46">
        <v>8222</v>
      </c>
      <c r="C46">
        <v>203858</v>
      </c>
      <c r="D46">
        <v>6397650</v>
      </c>
      <c r="E46">
        <v>4538688</v>
      </c>
      <c r="F46">
        <v>4537708</v>
      </c>
      <c r="G46">
        <v>980</v>
      </c>
      <c r="H46">
        <v>-1858962</v>
      </c>
      <c r="I46">
        <v>-2002306</v>
      </c>
      <c r="J46">
        <v>-2047993</v>
      </c>
      <c r="K46">
        <v>-1965625</v>
      </c>
      <c r="L46">
        <v>-1631038</v>
      </c>
      <c r="M46">
        <v>-1493785</v>
      </c>
      <c r="N46">
        <v>-1864483</v>
      </c>
      <c r="O46">
        <v>210712</v>
      </c>
      <c r="P46">
        <f t="shared" si="0"/>
        <v>25.627827779129166</v>
      </c>
      <c r="Q46">
        <f t="shared" si="1"/>
        <v>0</v>
      </c>
      <c r="R46" s="5">
        <f t="shared" si="2"/>
        <v>210710.61702127662</v>
      </c>
      <c r="S46" s="4">
        <f t="shared" si="3"/>
        <v>0</v>
      </c>
      <c r="T46">
        <f t="shared" si="4"/>
        <v>1</v>
      </c>
      <c r="U46" s="5">
        <f t="shared" si="5"/>
        <v>210710.61702127662</v>
      </c>
      <c r="V46" s="5">
        <f t="shared" si="6"/>
        <v>25.627659574468087</v>
      </c>
      <c r="W46">
        <f t="shared" si="7"/>
        <v>0</v>
      </c>
      <c r="X46" s="5">
        <f t="shared" si="8"/>
        <v>0</v>
      </c>
    </row>
    <row r="47" spans="1:24" x14ac:dyDescent="0.55000000000000004">
      <c r="A47" t="s">
        <v>127</v>
      </c>
      <c r="B47">
        <v>10401</v>
      </c>
      <c r="C47">
        <v>3324045</v>
      </c>
      <c r="D47">
        <v>19250998</v>
      </c>
      <c r="E47">
        <v>17535312</v>
      </c>
      <c r="F47">
        <v>12493176</v>
      </c>
      <c r="G47">
        <v>5042136</v>
      </c>
      <c r="H47">
        <v>-1715686</v>
      </c>
      <c r="I47">
        <v>4951417</v>
      </c>
      <c r="J47">
        <v>6472492</v>
      </c>
      <c r="K47">
        <v>6624869</v>
      </c>
      <c r="L47">
        <v>5617593</v>
      </c>
      <c r="M47">
        <v>5137912</v>
      </c>
      <c r="N47">
        <v>5544854</v>
      </c>
      <c r="O47">
        <v>3819341</v>
      </c>
      <c r="P47">
        <f t="shared" si="0"/>
        <v>367.2090183636189</v>
      </c>
      <c r="Q47">
        <f t="shared" si="1"/>
        <v>1</v>
      </c>
      <c r="R47" s="5">
        <f t="shared" si="2"/>
        <v>266553.2872340426</v>
      </c>
      <c r="S47" s="4">
        <f t="shared" si="3"/>
        <v>4816330.9238552805</v>
      </c>
      <c r="T47">
        <f t="shared" si="4"/>
        <v>0</v>
      </c>
      <c r="U47" s="5">
        <f t="shared" si="5"/>
        <v>3819347.4817672283</v>
      </c>
      <c r="V47" s="5">
        <f t="shared" si="6"/>
        <v>367.20964155054594</v>
      </c>
      <c r="W47">
        <f t="shared" si="7"/>
        <v>0</v>
      </c>
      <c r="X47" s="5">
        <f t="shared" si="8"/>
        <v>0</v>
      </c>
    </row>
    <row r="48" spans="1:24" x14ac:dyDescent="0.55000000000000004">
      <c r="A48" t="s">
        <v>128</v>
      </c>
      <c r="B48">
        <v>14547</v>
      </c>
      <c r="C48">
        <v>3845944</v>
      </c>
      <c r="D48">
        <v>16949757</v>
      </c>
      <c r="E48">
        <v>20565707</v>
      </c>
      <c r="F48">
        <v>16805269</v>
      </c>
      <c r="G48">
        <v>3760438</v>
      </c>
      <c r="H48">
        <v>3615950</v>
      </c>
      <c r="I48">
        <v>3625558</v>
      </c>
      <c r="J48">
        <v>5470167</v>
      </c>
      <c r="K48">
        <v>6563554</v>
      </c>
      <c r="L48">
        <v>7063952</v>
      </c>
      <c r="M48">
        <v>6375840</v>
      </c>
      <c r="N48">
        <v>5508780</v>
      </c>
      <c r="O48">
        <v>3794493</v>
      </c>
      <c r="P48">
        <f t="shared" si="0"/>
        <v>260.84367910909464</v>
      </c>
      <c r="Q48">
        <f t="shared" si="1"/>
        <v>1</v>
      </c>
      <c r="R48" s="5">
        <f t="shared" si="2"/>
        <v>372805.56382978725</v>
      </c>
      <c r="S48" s="4">
        <f t="shared" si="3"/>
        <v>4784996.5872348472</v>
      </c>
      <c r="T48">
        <f t="shared" si="4"/>
        <v>0</v>
      </c>
      <c r="U48" s="5">
        <f t="shared" si="5"/>
        <v>3794499.3719599601</v>
      </c>
      <c r="V48" s="5">
        <f t="shared" si="6"/>
        <v>260.84411713480171</v>
      </c>
      <c r="W48">
        <f t="shared" si="7"/>
        <v>0</v>
      </c>
      <c r="X48" s="5">
        <f t="shared" si="8"/>
        <v>0</v>
      </c>
    </row>
    <row r="49" spans="1:24" x14ac:dyDescent="0.55000000000000004">
      <c r="A49" t="s">
        <v>129</v>
      </c>
      <c r="B49">
        <v>3466</v>
      </c>
      <c r="C49">
        <v>1515049</v>
      </c>
      <c r="D49">
        <v>2822187</v>
      </c>
      <c r="E49">
        <v>5330379</v>
      </c>
      <c r="F49">
        <v>3280450</v>
      </c>
      <c r="G49">
        <v>2049929</v>
      </c>
      <c r="H49">
        <v>2508192</v>
      </c>
      <c r="I49">
        <v>2356960</v>
      </c>
      <c r="J49">
        <v>2395050</v>
      </c>
      <c r="K49">
        <v>2573385</v>
      </c>
      <c r="L49">
        <v>2588393</v>
      </c>
      <c r="M49">
        <v>2356829</v>
      </c>
      <c r="N49">
        <v>2458397</v>
      </c>
      <c r="O49">
        <v>1693364</v>
      </c>
      <c r="P49">
        <f t="shared" si="0"/>
        <v>488.56433929601849</v>
      </c>
      <c r="Q49">
        <f t="shared" si="1"/>
        <v>1</v>
      </c>
      <c r="R49" s="5">
        <f t="shared" si="2"/>
        <v>88825.468085106389</v>
      </c>
      <c r="S49" s="4">
        <f t="shared" si="3"/>
        <v>2135394.9976343922</v>
      </c>
      <c r="T49">
        <f t="shared" si="4"/>
        <v>0</v>
      </c>
      <c r="U49" s="5">
        <f t="shared" si="5"/>
        <v>1693366.9292526203</v>
      </c>
      <c r="V49" s="5">
        <f t="shared" si="6"/>
        <v>488.56518443526267</v>
      </c>
      <c r="W49">
        <f t="shared" si="7"/>
        <v>0</v>
      </c>
      <c r="X49" s="5">
        <f t="shared" si="8"/>
        <v>0</v>
      </c>
    </row>
    <row r="50" spans="1:24" x14ac:dyDescent="0.55000000000000004">
      <c r="A50" t="s">
        <v>130</v>
      </c>
      <c r="B50">
        <v>35157</v>
      </c>
      <c r="C50">
        <v>839289</v>
      </c>
      <c r="D50">
        <v>33247742</v>
      </c>
      <c r="E50">
        <v>20994918</v>
      </c>
      <c r="F50">
        <v>20790495</v>
      </c>
      <c r="G50">
        <v>204424</v>
      </c>
      <c r="H50">
        <v>-12252823</v>
      </c>
      <c r="I50">
        <v>-12688854</v>
      </c>
      <c r="J50">
        <v>-13088967</v>
      </c>
      <c r="K50">
        <v>-13037661</v>
      </c>
      <c r="L50">
        <v>-12534664</v>
      </c>
      <c r="M50">
        <v>-11559705</v>
      </c>
      <c r="N50">
        <v>-12628501</v>
      </c>
      <c r="O50">
        <v>900997</v>
      </c>
      <c r="P50">
        <f t="shared" si="0"/>
        <v>25.627812384446909</v>
      </c>
      <c r="Q50">
        <f t="shared" si="1"/>
        <v>0</v>
      </c>
      <c r="R50" s="5">
        <f t="shared" si="2"/>
        <v>900991.6276595745</v>
      </c>
      <c r="S50" s="4">
        <f t="shared" si="3"/>
        <v>0</v>
      </c>
      <c r="T50">
        <f t="shared" si="4"/>
        <v>1</v>
      </c>
      <c r="U50" s="5">
        <f t="shared" si="5"/>
        <v>900991.6276595745</v>
      </c>
      <c r="V50" s="5">
        <f t="shared" si="6"/>
        <v>25.627659574468087</v>
      </c>
      <c r="W50">
        <f t="shared" si="7"/>
        <v>0</v>
      </c>
      <c r="X50" s="5">
        <f t="shared" si="8"/>
        <v>0</v>
      </c>
    </row>
    <row r="51" spans="1:24" x14ac:dyDescent="0.55000000000000004">
      <c r="A51" t="s">
        <v>131</v>
      </c>
      <c r="B51">
        <v>6064</v>
      </c>
      <c r="C51">
        <v>1134746</v>
      </c>
      <c r="D51">
        <v>7327537</v>
      </c>
      <c r="E51">
        <v>9691398</v>
      </c>
      <c r="F51">
        <v>6705726</v>
      </c>
      <c r="G51">
        <v>2985672</v>
      </c>
      <c r="H51">
        <v>2363862</v>
      </c>
      <c r="I51">
        <v>1595361</v>
      </c>
      <c r="J51">
        <v>1803795</v>
      </c>
      <c r="K51">
        <v>2088961</v>
      </c>
      <c r="L51">
        <v>2031874</v>
      </c>
      <c r="M51">
        <v>1940325</v>
      </c>
      <c r="N51">
        <v>1966239</v>
      </c>
      <c r="O51">
        <v>1354362</v>
      </c>
      <c r="P51">
        <f t="shared" si="0"/>
        <v>223.34465699208442</v>
      </c>
      <c r="Q51">
        <f t="shared" si="1"/>
        <v>1</v>
      </c>
      <c r="R51" s="5">
        <f t="shared" si="2"/>
        <v>155406.12765957447</v>
      </c>
      <c r="S51" s="4">
        <f t="shared" si="3"/>
        <v>1707900.2800416898</v>
      </c>
      <c r="T51">
        <f t="shared" si="4"/>
        <v>0</v>
      </c>
      <c r="U51" s="5">
        <f t="shared" si="5"/>
        <v>1354363.8792297351</v>
      </c>
      <c r="V51" s="5">
        <f t="shared" si="6"/>
        <v>223.34496689144709</v>
      </c>
      <c r="W51">
        <f t="shared" si="7"/>
        <v>0</v>
      </c>
      <c r="X51" s="5">
        <f t="shared" si="8"/>
        <v>0</v>
      </c>
    </row>
    <row r="52" spans="1:24" x14ac:dyDescent="0.55000000000000004">
      <c r="A52" t="s">
        <v>132</v>
      </c>
      <c r="B52">
        <v>1269</v>
      </c>
      <c r="C52">
        <v>1138491</v>
      </c>
      <c r="D52">
        <v>2742422</v>
      </c>
      <c r="E52">
        <v>3789277</v>
      </c>
      <c r="F52">
        <v>2587905</v>
      </c>
      <c r="G52">
        <v>1201371</v>
      </c>
      <c r="H52">
        <v>1046854</v>
      </c>
      <c r="I52">
        <v>951181</v>
      </c>
      <c r="J52">
        <v>1535161</v>
      </c>
      <c r="K52">
        <v>2010038</v>
      </c>
      <c r="L52">
        <v>2106317</v>
      </c>
      <c r="M52">
        <v>1917102</v>
      </c>
      <c r="N52">
        <v>1627289</v>
      </c>
      <c r="O52">
        <v>1120890</v>
      </c>
      <c r="P52">
        <f t="shared" si="0"/>
        <v>883.28605200945628</v>
      </c>
      <c r="Q52">
        <f t="shared" si="1"/>
        <v>1</v>
      </c>
      <c r="R52" s="5">
        <f t="shared" si="2"/>
        <v>32521.500000000004</v>
      </c>
      <c r="S52" s="4">
        <f t="shared" si="3"/>
        <v>1413483.9858271356</v>
      </c>
      <c r="T52">
        <f t="shared" si="4"/>
        <v>0</v>
      </c>
      <c r="U52" s="5">
        <f t="shared" si="5"/>
        <v>1120891.9376880818</v>
      </c>
      <c r="V52" s="5">
        <f t="shared" si="6"/>
        <v>883.28757895041906</v>
      </c>
      <c r="W52">
        <f t="shared" si="7"/>
        <v>0</v>
      </c>
      <c r="X52" s="5">
        <f t="shared" si="8"/>
        <v>0</v>
      </c>
    </row>
    <row r="53" spans="1:24" x14ac:dyDescent="0.55000000000000004">
      <c r="A53" t="s">
        <v>133</v>
      </c>
      <c r="B53">
        <v>987</v>
      </c>
      <c r="C53">
        <v>584089</v>
      </c>
      <c r="D53">
        <v>1772901</v>
      </c>
      <c r="E53">
        <v>2065720</v>
      </c>
      <c r="F53">
        <v>1522744</v>
      </c>
      <c r="G53">
        <v>542977</v>
      </c>
      <c r="H53">
        <v>292819</v>
      </c>
      <c r="I53">
        <v>340007</v>
      </c>
      <c r="J53">
        <v>598374</v>
      </c>
      <c r="K53">
        <v>830174</v>
      </c>
      <c r="L53">
        <v>1037009</v>
      </c>
      <c r="M53">
        <v>962089</v>
      </c>
      <c r="N53">
        <v>682661</v>
      </c>
      <c r="O53">
        <v>470223</v>
      </c>
      <c r="P53">
        <f t="shared" si="0"/>
        <v>476.41641337386017</v>
      </c>
      <c r="Q53">
        <f t="shared" si="1"/>
        <v>1</v>
      </c>
      <c r="R53" s="5">
        <f t="shared" si="2"/>
        <v>25294.5</v>
      </c>
      <c r="S53" s="4">
        <f t="shared" si="3"/>
        <v>592968.05376840755</v>
      </c>
      <c r="T53">
        <f t="shared" si="4"/>
        <v>0</v>
      </c>
      <c r="U53" s="5">
        <f t="shared" si="5"/>
        <v>470223.30457225704</v>
      </c>
      <c r="V53" s="5">
        <f t="shared" si="6"/>
        <v>476.41672195770724</v>
      </c>
      <c r="W53">
        <f t="shared" si="7"/>
        <v>0</v>
      </c>
      <c r="X53" s="5">
        <f t="shared" si="8"/>
        <v>0</v>
      </c>
    </row>
    <row r="54" spans="1:24" x14ac:dyDescent="0.55000000000000004">
      <c r="A54" t="s">
        <v>134</v>
      </c>
      <c r="B54">
        <v>137355</v>
      </c>
      <c r="C54">
        <v>3307386</v>
      </c>
      <c r="D54">
        <v>69497423</v>
      </c>
      <c r="E54">
        <v>76201188</v>
      </c>
      <c r="F54">
        <v>72026469</v>
      </c>
      <c r="G54">
        <v>4174720</v>
      </c>
      <c r="H54">
        <v>6703765</v>
      </c>
      <c r="I54">
        <v>6898981</v>
      </c>
      <c r="J54">
        <v>3717535</v>
      </c>
      <c r="K54">
        <v>640642</v>
      </c>
      <c r="L54">
        <v>324122</v>
      </c>
      <c r="M54">
        <v>1804829</v>
      </c>
      <c r="N54">
        <v>3216693</v>
      </c>
      <c r="O54">
        <v>3520107</v>
      </c>
      <c r="P54">
        <f t="shared" si="0"/>
        <v>25.627803865894943</v>
      </c>
      <c r="Q54">
        <f t="shared" si="1"/>
        <v>1</v>
      </c>
      <c r="R54" s="5">
        <f t="shared" si="2"/>
        <v>3520087.1808510642</v>
      </c>
      <c r="S54" s="4">
        <f t="shared" si="3"/>
        <v>2794060.577329685</v>
      </c>
      <c r="T54">
        <f t="shared" si="4"/>
        <v>1</v>
      </c>
      <c r="U54" s="5">
        <f t="shared" si="5"/>
        <v>3520087.1808510642</v>
      </c>
      <c r="V54" s="5">
        <f t="shared" si="6"/>
        <v>25.627659574468087</v>
      </c>
      <c r="W54">
        <f t="shared" si="7"/>
        <v>0</v>
      </c>
      <c r="X54" s="5">
        <f t="shared" si="8"/>
        <v>0</v>
      </c>
    </row>
    <row r="55" spans="1:24" x14ac:dyDescent="0.55000000000000004">
      <c r="A55" t="s">
        <v>135</v>
      </c>
      <c r="B55">
        <v>41914</v>
      </c>
      <c r="C55">
        <v>4999428</v>
      </c>
      <c r="D55">
        <v>28785804</v>
      </c>
      <c r="E55">
        <v>37952106</v>
      </c>
      <c r="F55">
        <v>29696471</v>
      </c>
      <c r="G55">
        <v>8255635</v>
      </c>
      <c r="H55">
        <v>9166302</v>
      </c>
      <c r="I55">
        <v>8931218</v>
      </c>
      <c r="J55">
        <v>8417844</v>
      </c>
      <c r="K55">
        <v>9591042</v>
      </c>
      <c r="L55">
        <v>8915246</v>
      </c>
      <c r="M55">
        <v>8227902</v>
      </c>
      <c r="N55">
        <v>8857652</v>
      </c>
      <c r="O55">
        <v>6101224</v>
      </c>
      <c r="P55">
        <f t="shared" si="0"/>
        <v>145.56530037696234</v>
      </c>
      <c r="Q55">
        <f t="shared" si="1"/>
        <v>1</v>
      </c>
      <c r="R55" s="5">
        <f t="shared" si="2"/>
        <v>1074157.7234042555</v>
      </c>
      <c r="S55" s="4">
        <f t="shared" si="3"/>
        <v>7693869.5302614952</v>
      </c>
      <c r="T55">
        <f t="shared" si="4"/>
        <v>0</v>
      </c>
      <c r="U55" s="5">
        <f t="shared" si="5"/>
        <v>6101233.8396232715</v>
      </c>
      <c r="V55" s="5">
        <f t="shared" si="6"/>
        <v>145.5655351344007</v>
      </c>
      <c r="W55">
        <f t="shared" si="7"/>
        <v>0</v>
      </c>
      <c r="X55" s="5">
        <f t="shared" si="8"/>
        <v>0</v>
      </c>
    </row>
    <row r="56" spans="1:24" x14ac:dyDescent="0.55000000000000004">
      <c r="A56" t="s">
        <v>136</v>
      </c>
      <c r="B56">
        <v>4136</v>
      </c>
      <c r="C56">
        <v>3843692</v>
      </c>
      <c r="D56">
        <v>2478504</v>
      </c>
      <c r="E56">
        <v>9727885</v>
      </c>
      <c r="F56">
        <v>4386916</v>
      </c>
      <c r="G56">
        <v>5340970</v>
      </c>
      <c r="H56">
        <v>7249382</v>
      </c>
      <c r="I56">
        <v>6497416</v>
      </c>
      <c r="J56">
        <v>6283730</v>
      </c>
      <c r="K56">
        <v>6263585</v>
      </c>
      <c r="L56">
        <v>6425452</v>
      </c>
      <c r="M56">
        <v>6067367</v>
      </c>
      <c r="N56">
        <v>6367546</v>
      </c>
      <c r="O56">
        <v>4386018</v>
      </c>
      <c r="P56">
        <f t="shared" si="0"/>
        <v>1060.4492263056093</v>
      </c>
      <c r="Q56">
        <f t="shared" si="1"/>
        <v>1</v>
      </c>
      <c r="R56" s="5">
        <f t="shared" si="2"/>
        <v>105996</v>
      </c>
      <c r="S56" s="4">
        <f t="shared" si="3"/>
        <v>5530931.6906939289</v>
      </c>
      <c r="T56">
        <f t="shared" si="4"/>
        <v>0</v>
      </c>
      <c r="U56" s="5">
        <f t="shared" si="5"/>
        <v>4386025.4535352942</v>
      </c>
      <c r="V56" s="5">
        <f t="shared" si="6"/>
        <v>1060.4510284176242</v>
      </c>
      <c r="W56">
        <f t="shared" si="7"/>
        <v>0</v>
      </c>
      <c r="X56" s="5">
        <f t="shared" si="8"/>
        <v>0</v>
      </c>
    </row>
    <row r="57" spans="1:24" x14ac:dyDescent="0.55000000000000004">
      <c r="A57" t="s">
        <v>137</v>
      </c>
      <c r="B57">
        <v>30790</v>
      </c>
      <c r="C57">
        <v>2796118</v>
      </c>
      <c r="D57">
        <v>18428092</v>
      </c>
      <c r="E57">
        <v>23210723</v>
      </c>
      <c r="F57">
        <v>18917706</v>
      </c>
      <c r="G57">
        <v>4293017</v>
      </c>
      <c r="H57">
        <v>4782631</v>
      </c>
      <c r="I57">
        <v>4255133</v>
      </c>
      <c r="J57">
        <v>4048827</v>
      </c>
      <c r="K57">
        <v>4443299</v>
      </c>
      <c r="L57">
        <v>4661765</v>
      </c>
      <c r="M57">
        <v>4925520</v>
      </c>
      <c r="N57">
        <v>4535707</v>
      </c>
      <c r="O57">
        <v>3124232</v>
      </c>
      <c r="P57">
        <f t="shared" si="0"/>
        <v>101.46904839233517</v>
      </c>
      <c r="Q57">
        <f t="shared" si="1"/>
        <v>1</v>
      </c>
      <c r="R57" s="5">
        <f t="shared" si="2"/>
        <v>789075.63829787239</v>
      </c>
      <c r="S57" s="4">
        <f t="shared" si="3"/>
        <v>3939772.9652840025</v>
      </c>
      <c r="T57">
        <f t="shared" si="4"/>
        <v>0</v>
      </c>
      <c r="U57" s="5">
        <f t="shared" si="5"/>
        <v>3124237.5558461938</v>
      </c>
      <c r="V57" s="5">
        <f t="shared" si="6"/>
        <v>101.46922883553731</v>
      </c>
      <c r="W57">
        <f t="shared" si="7"/>
        <v>0</v>
      </c>
      <c r="X57" s="5">
        <f t="shared" si="8"/>
        <v>0</v>
      </c>
    </row>
    <row r="58" spans="1:24" x14ac:dyDescent="0.55000000000000004">
      <c r="A58" t="s">
        <v>138</v>
      </c>
      <c r="B58">
        <v>3842</v>
      </c>
      <c r="C58">
        <v>396724</v>
      </c>
      <c r="D58">
        <v>4052455</v>
      </c>
      <c r="E58">
        <v>4159092</v>
      </c>
      <c r="F58">
        <v>2976226</v>
      </c>
      <c r="G58">
        <v>1182865</v>
      </c>
      <c r="H58">
        <v>106637</v>
      </c>
      <c r="I58">
        <v>316125</v>
      </c>
      <c r="J58">
        <v>321805</v>
      </c>
      <c r="K58">
        <v>836559</v>
      </c>
      <c r="L58">
        <v>728599</v>
      </c>
      <c r="M58">
        <v>724371</v>
      </c>
      <c r="N58">
        <v>522725</v>
      </c>
      <c r="O58">
        <v>360057</v>
      </c>
      <c r="P58">
        <f t="shared" si="0"/>
        <v>93.716033315981264</v>
      </c>
      <c r="Q58">
        <f t="shared" si="1"/>
        <v>1</v>
      </c>
      <c r="R58" s="5">
        <f t="shared" si="2"/>
        <v>98461.468085106389</v>
      </c>
      <c r="S58" s="4">
        <f t="shared" si="3"/>
        <v>454045.60375660955</v>
      </c>
      <c r="T58">
        <f t="shared" si="4"/>
        <v>0</v>
      </c>
      <c r="U58" s="5">
        <f t="shared" si="5"/>
        <v>360057.88653890154</v>
      </c>
      <c r="V58" s="5">
        <f t="shared" si="6"/>
        <v>93.716264065304927</v>
      </c>
      <c r="W58">
        <f t="shared" si="7"/>
        <v>0</v>
      </c>
      <c r="X58" s="5">
        <f t="shared" si="8"/>
        <v>0</v>
      </c>
    </row>
    <row r="59" spans="1:24" x14ac:dyDescent="0.55000000000000004">
      <c r="A59" t="s">
        <v>139</v>
      </c>
      <c r="B59">
        <v>1213</v>
      </c>
      <c r="C59">
        <v>946702</v>
      </c>
      <c r="D59">
        <v>3053587</v>
      </c>
      <c r="E59">
        <v>4584220</v>
      </c>
      <c r="F59">
        <v>2705131</v>
      </c>
      <c r="G59">
        <v>1879089</v>
      </c>
      <c r="H59">
        <v>1530633</v>
      </c>
      <c r="I59">
        <v>1080509</v>
      </c>
      <c r="J59">
        <v>1330222</v>
      </c>
      <c r="K59">
        <v>1580890</v>
      </c>
      <c r="L59">
        <v>1591630</v>
      </c>
      <c r="M59">
        <v>1467013</v>
      </c>
      <c r="N59">
        <v>1477190</v>
      </c>
      <c r="O59">
        <v>1017500</v>
      </c>
      <c r="P59">
        <f t="shared" si="0"/>
        <v>838.82934872217641</v>
      </c>
      <c r="Q59">
        <f t="shared" si="1"/>
        <v>1</v>
      </c>
      <c r="R59" s="5">
        <f t="shared" si="2"/>
        <v>31086.351063829788</v>
      </c>
      <c r="S59" s="4">
        <f t="shared" si="3"/>
        <v>1283106.079512604</v>
      </c>
      <c r="T59">
        <f t="shared" si="4"/>
        <v>0</v>
      </c>
      <c r="U59" s="5">
        <f t="shared" si="5"/>
        <v>1017502.3375893633</v>
      </c>
      <c r="V59" s="5">
        <f t="shared" si="6"/>
        <v>838.83127583624344</v>
      </c>
      <c r="W59">
        <f t="shared" si="7"/>
        <v>0</v>
      </c>
      <c r="X59" s="5">
        <f t="shared" si="8"/>
        <v>0</v>
      </c>
    </row>
    <row r="60" spans="1:24" x14ac:dyDescent="0.55000000000000004">
      <c r="A60" t="s">
        <v>140</v>
      </c>
      <c r="B60">
        <v>169657</v>
      </c>
      <c r="C60">
        <v>4147385</v>
      </c>
      <c r="D60">
        <v>107124544</v>
      </c>
      <c r="E60">
        <v>98352428</v>
      </c>
      <c r="F60">
        <v>94337988</v>
      </c>
      <c r="G60">
        <v>4014440</v>
      </c>
      <c r="H60">
        <v>-8772117</v>
      </c>
      <c r="I60">
        <v>-9065554</v>
      </c>
      <c r="J60">
        <v>-11274008</v>
      </c>
      <c r="K60">
        <v>-12641221</v>
      </c>
      <c r="L60">
        <v>-12924529</v>
      </c>
      <c r="M60">
        <v>-10420846</v>
      </c>
      <c r="N60">
        <v>-10850407</v>
      </c>
      <c r="O60">
        <v>4347936</v>
      </c>
      <c r="P60">
        <f t="shared" si="0"/>
        <v>25.627801976929923</v>
      </c>
      <c r="Q60">
        <f t="shared" si="1"/>
        <v>0</v>
      </c>
      <c r="R60" s="5">
        <f t="shared" si="2"/>
        <v>4347911.8404255323</v>
      </c>
      <c r="S60" s="4">
        <f t="shared" si="3"/>
        <v>0</v>
      </c>
      <c r="T60">
        <f t="shared" si="4"/>
        <v>1</v>
      </c>
      <c r="U60" s="5">
        <f t="shared" si="5"/>
        <v>4347911.8404255323</v>
      </c>
      <c r="V60" s="5">
        <f t="shared" si="6"/>
        <v>25.627659574468087</v>
      </c>
      <c r="W60">
        <f t="shared" si="7"/>
        <v>0</v>
      </c>
      <c r="X60" s="5">
        <f t="shared" si="8"/>
        <v>0</v>
      </c>
    </row>
    <row r="61" spans="1:24" x14ac:dyDescent="0.55000000000000004">
      <c r="A61" t="s">
        <v>141</v>
      </c>
      <c r="B61">
        <v>62670</v>
      </c>
      <c r="C61">
        <v>1535068</v>
      </c>
      <c r="D61">
        <v>37588763</v>
      </c>
      <c r="E61">
        <v>37816706</v>
      </c>
      <c r="F61">
        <v>36116892</v>
      </c>
      <c r="G61">
        <v>1699814</v>
      </c>
      <c r="H61">
        <v>227943</v>
      </c>
      <c r="I61">
        <v>-46158</v>
      </c>
      <c r="J61">
        <v>-735595</v>
      </c>
      <c r="K61">
        <v>-2448673</v>
      </c>
      <c r="L61">
        <v>-2129091</v>
      </c>
      <c r="M61">
        <v>-1175959</v>
      </c>
      <c r="N61">
        <v>-1021701</v>
      </c>
      <c r="O61">
        <v>1606094</v>
      </c>
      <c r="P61">
        <f t="shared" si="0"/>
        <v>25.62779639380884</v>
      </c>
      <c r="Q61">
        <f t="shared" si="1"/>
        <v>0</v>
      </c>
      <c r="R61" s="5">
        <f t="shared" si="2"/>
        <v>1606085.4255319149</v>
      </c>
      <c r="S61" s="4">
        <f t="shared" si="3"/>
        <v>0</v>
      </c>
      <c r="T61">
        <f t="shared" si="4"/>
        <v>1</v>
      </c>
      <c r="U61" s="5">
        <f t="shared" si="5"/>
        <v>1606085.4255319149</v>
      </c>
      <c r="V61" s="5">
        <f t="shared" si="6"/>
        <v>25.627659574468087</v>
      </c>
      <c r="W61">
        <f t="shared" si="7"/>
        <v>0</v>
      </c>
      <c r="X61" s="5">
        <f t="shared" si="8"/>
        <v>0</v>
      </c>
    </row>
    <row r="62" spans="1:24" x14ac:dyDescent="0.55000000000000004">
      <c r="A62" t="s">
        <v>142</v>
      </c>
      <c r="B62">
        <v>30775</v>
      </c>
      <c r="C62">
        <v>1834678</v>
      </c>
      <c r="D62">
        <v>28944587</v>
      </c>
      <c r="E62">
        <v>27375479</v>
      </c>
      <c r="F62">
        <v>22589329</v>
      </c>
      <c r="G62">
        <v>4786150</v>
      </c>
      <c r="H62">
        <v>-1569108</v>
      </c>
      <c r="I62">
        <v>2860301</v>
      </c>
      <c r="J62">
        <v>1832174</v>
      </c>
      <c r="K62">
        <v>2811499</v>
      </c>
      <c r="L62">
        <v>3437504</v>
      </c>
      <c r="M62">
        <v>3755708</v>
      </c>
      <c r="N62">
        <v>2735369</v>
      </c>
      <c r="O62">
        <v>1884145</v>
      </c>
      <c r="P62">
        <f t="shared" si="0"/>
        <v>61.223233143785542</v>
      </c>
      <c r="Q62">
        <f t="shared" si="1"/>
        <v>1</v>
      </c>
      <c r="R62" s="5">
        <f t="shared" si="2"/>
        <v>788691.22340425535</v>
      </c>
      <c r="S62" s="4">
        <f t="shared" si="3"/>
        <v>2375976.4103536531</v>
      </c>
      <c r="T62">
        <f t="shared" si="4"/>
        <v>0</v>
      </c>
      <c r="U62" s="5">
        <f t="shared" si="5"/>
        <v>1884147.8426400663</v>
      </c>
      <c r="V62" s="5">
        <f t="shared" si="6"/>
        <v>61.223325512268602</v>
      </c>
      <c r="W62">
        <f t="shared" si="7"/>
        <v>0</v>
      </c>
      <c r="X62" s="5">
        <f t="shared" si="8"/>
        <v>0</v>
      </c>
    </row>
    <row r="63" spans="1:24" x14ac:dyDescent="0.55000000000000004">
      <c r="A63" t="s">
        <v>143</v>
      </c>
      <c r="B63">
        <v>24237</v>
      </c>
      <c r="C63">
        <v>1427976</v>
      </c>
      <c r="D63">
        <v>22236832</v>
      </c>
      <c r="E63">
        <v>22852751</v>
      </c>
      <c r="F63">
        <v>16430851</v>
      </c>
      <c r="G63">
        <v>6421900</v>
      </c>
      <c r="H63">
        <v>615920</v>
      </c>
      <c r="I63">
        <v>2974865</v>
      </c>
      <c r="J63">
        <v>4866821</v>
      </c>
      <c r="K63">
        <v>5591393</v>
      </c>
      <c r="L63">
        <v>3868359</v>
      </c>
      <c r="M63">
        <v>1802795</v>
      </c>
      <c r="N63">
        <v>3378210</v>
      </c>
      <c r="O63">
        <v>2326939</v>
      </c>
      <c r="P63">
        <f t="shared" si="0"/>
        <v>96.007715476337836</v>
      </c>
      <c r="Q63">
        <f t="shared" si="1"/>
        <v>1</v>
      </c>
      <c r="R63" s="5">
        <f t="shared" si="2"/>
        <v>621137.58510638308</v>
      </c>
      <c r="S63" s="4">
        <f t="shared" si="3"/>
        <v>2934356.3041113699</v>
      </c>
      <c r="T63">
        <f t="shared" si="4"/>
        <v>0</v>
      </c>
      <c r="U63" s="5">
        <f t="shared" si="5"/>
        <v>2326942.7574433642</v>
      </c>
      <c r="V63" s="5">
        <f t="shared" si="6"/>
        <v>96.007870505564398</v>
      </c>
      <c r="W63">
        <f t="shared" si="7"/>
        <v>0</v>
      </c>
      <c r="X63" s="5">
        <f t="shared" si="8"/>
        <v>0</v>
      </c>
    </row>
    <row r="64" spans="1:24" x14ac:dyDescent="0.55000000000000004">
      <c r="A64" t="s">
        <v>144</v>
      </c>
      <c r="B64">
        <v>4290</v>
      </c>
      <c r="C64">
        <v>1981994</v>
      </c>
      <c r="D64">
        <v>3149470</v>
      </c>
      <c r="E64">
        <v>6409451</v>
      </c>
      <c r="F64">
        <v>4024461</v>
      </c>
      <c r="G64">
        <v>2384991</v>
      </c>
      <c r="H64">
        <v>3259981</v>
      </c>
      <c r="I64">
        <v>3184404</v>
      </c>
      <c r="J64">
        <v>3310464</v>
      </c>
      <c r="K64">
        <v>3387947</v>
      </c>
      <c r="L64">
        <v>3359751</v>
      </c>
      <c r="M64">
        <v>3167203</v>
      </c>
      <c r="N64">
        <v>3278650</v>
      </c>
      <c r="O64">
        <v>2258361</v>
      </c>
      <c r="P64">
        <f t="shared" si="0"/>
        <v>526.4244755244755</v>
      </c>
      <c r="Q64">
        <f t="shared" si="1"/>
        <v>1</v>
      </c>
      <c r="R64" s="5">
        <f t="shared" si="2"/>
        <v>109942.6595744681</v>
      </c>
      <c r="S64" s="4">
        <f t="shared" si="3"/>
        <v>2847877.2179570668</v>
      </c>
      <c r="T64">
        <f t="shared" si="4"/>
        <v>0</v>
      </c>
      <c r="U64" s="5">
        <f t="shared" si="5"/>
        <v>2258364.8949271026</v>
      </c>
      <c r="V64" s="5">
        <f t="shared" si="6"/>
        <v>526.42538343289107</v>
      </c>
      <c r="W64">
        <f t="shared" si="7"/>
        <v>0</v>
      </c>
      <c r="X64" s="5">
        <f t="shared" si="8"/>
        <v>0</v>
      </c>
    </row>
    <row r="65" spans="1:24" x14ac:dyDescent="0.55000000000000004">
      <c r="A65" t="s">
        <v>145</v>
      </c>
      <c r="B65">
        <v>1166</v>
      </c>
      <c r="C65">
        <v>1856384</v>
      </c>
      <c r="D65">
        <v>1426555</v>
      </c>
      <c r="E65">
        <v>3820709</v>
      </c>
      <c r="F65">
        <v>2339238</v>
      </c>
      <c r="G65">
        <v>1481471</v>
      </c>
      <c r="H65">
        <v>2394154</v>
      </c>
      <c r="I65">
        <v>2483387</v>
      </c>
      <c r="J65">
        <v>2825179</v>
      </c>
      <c r="K65">
        <v>3017843</v>
      </c>
      <c r="L65">
        <v>3074899</v>
      </c>
      <c r="M65">
        <v>2939680</v>
      </c>
      <c r="N65">
        <v>2816522</v>
      </c>
      <c r="O65">
        <v>1940044</v>
      </c>
      <c r="P65">
        <f t="shared" si="0"/>
        <v>1663.8456260720411</v>
      </c>
      <c r="Q65">
        <f t="shared" si="1"/>
        <v>1</v>
      </c>
      <c r="R65" s="5">
        <f t="shared" si="2"/>
        <v>29881.851063829788</v>
      </c>
      <c r="S65" s="4">
        <f t="shared" si="3"/>
        <v>2446466.9414773989</v>
      </c>
      <c r="T65">
        <f t="shared" si="4"/>
        <v>0</v>
      </c>
      <c r="U65" s="5">
        <f t="shared" si="5"/>
        <v>1940046.7907797028</v>
      </c>
      <c r="V65" s="5">
        <f t="shared" si="6"/>
        <v>1663.8480195366233</v>
      </c>
      <c r="W65">
        <f t="shared" si="7"/>
        <v>0</v>
      </c>
      <c r="X65" s="5">
        <f t="shared" si="8"/>
        <v>0</v>
      </c>
    </row>
    <row r="66" spans="1:24" x14ac:dyDescent="0.55000000000000004">
      <c r="A66" t="s">
        <v>146</v>
      </c>
      <c r="B66">
        <v>524</v>
      </c>
      <c r="C66">
        <v>1471708</v>
      </c>
      <c r="D66">
        <v>2190317</v>
      </c>
      <c r="E66">
        <v>3921342</v>
      </c>
      <c r="F66">
        <v>2619282</v>
      </c>
      <c r="G66">
        <v>1302060</v>
      </c>
      <c r="H66">
        <v>1731025</v>
      </c>
      <c r="I66">
        <v>1658291</v>
      </c>
      <c r="J66">
        <v>2068869</v>
      </c>
      <c r="K66">
        <v>2388490</v>
      </c>
      <c r="L66">
        <v>2512482</v>
      </c>
      <c r="M66">
        <v>2297777</v>
      </c>
      <c r="N66">
        <v>2121540</v>
      </c>
      <c r="O66">
        <v>1461334</v>
      </c>
      <c r="P66">
        <f t="shared" si="0"/>
        <v>2788.8053435114502</v>
      </c>
      <c r="Q66">
        <f t="shared" si="1"/>
        <v>1</v>
      </c>
      <c r="R66" s="5">
        <f t="shared" si="2"/>
        <v>13428.893617021278</v>
      </c>
      <c r="S66" s="4">
        <f t="shared" si="3"/>
        <v>1842796.7099216555</v>
      </c>
      <c r="T66">
        <f t="shared" si="4"/>
        <v>0</v>
      </c>
      <c r="U66" s="5">
        <f t="shared" si="5"/>
        <v>1461336.6657568342</v>
      </c>
      <c r="V66" s="5">
        <f t="shared" si="6"/>
        <v>2788.8104308336528</v>
      </c>
      <c r="W66">
        <f t="shared" si="7"/>
        <v>0</v>
      </c>
      <c r="X66" s="5">
        <f t="shared" si="8"/>
        <v>0.01</v>
      </c>
    </row>
    <row r="67" spans="1:24" x14ac:dyDescent="0.55000000000000004">
      <c r="A67" t="s">
        <v>147</v>
      </c>
      <c r="B67">
        <v>1967</v>
      </c>
      <c r="C67">
        <v>916008</v>
      </c>
      <c r="D67">
        <v>2793589</v>
      </c>
      <c r="E67">
        <v>3377783</v>
      </c>
      <c r="F67">
        <v>2613842</v>
      </c>
      <c r="G67">
        <v>763942</v>
      </c>
      <c r="H67">
        <v>584194</v>
      </c>
      <c r="I67">
        <v>724672</v>
      </c>
      <c r="J67">
        <v>1134930</v>
      </c>
      <c r="K67">
        <v>1274227</v>
      </c>
      <c r="L67">
        <v>1352482</v>
      </c>
      <c r="M67">
        <v>1375745</v>
      </c>
      <c r="N67">
        <v>1121578</v>
      </c>
      <c r="O67">
        <v>772552</v>
      </c>
      <c r="P67">
        <f t="shared" ref="P67:P130" si="9">O67/B67</f>
        <v>392.75648195221152</v>
      </c>
      <c r="Q67">
        <f t="shared" ref="Q67:Q130" si="10">IF(N67&lt;0, 0, 1)</f>
        <v>1</v>
      </c>
      <c r="R67" s="5">
        <f t="shared" ref="R67:R130" si="11" xml:space="preserve"> $AA$8 * $AA$6 * B67</f>
        <v>50409.606382978724</v>
      </c>
      <c r="S67" s="4">
        <f t="shared" ref="S67:S130" si="12" xml:space="preserve"> (N67 * Q67)/$AA$11 * $AA$5</f>
        <v>974216.95952963922</v>
      </c>
      <c r="T67">
        <f t="shared" ref="T67:T130" si="13">IF($AA$8=0%, IF(S67&gt;0, 0, 1), IF(S67&lt;R67, 1, 0))</f>
        <v>0</v>
      </c>
      <c r="U67" s="5">
        <f t="shared" ref="U67:U130" si="14">IF(T67=1, R67*T67, N67*($AA$9)/$AA$12)</f>
        <v>772553.45405046281</v>
      </c>
      <c r="V67" s="5">
        <f t="shared" ref="V67:V130" si="15">U67/B67</f>
        <v>392.75722117461254</v>
      </c>
      <c r="W67">
        <f t="shared" ref="W67:W130" si="16">ROUND((U67-O67)/O67 * 100, 2)</f>
        <v>0</v>
      </c>
      <c r="X67" s="5">
        <f t="shared" ref="X67:X130" si="17">ROUND(V67-P67, 2)</f>
        <v>0</v>
      </c>
    </row>
    <row r="68" spans="1:24" x14ac:dyDescent="0.55000000000000004">
      <c r="A68" t="s">
        <v>148</v>
      </c>
      <c r="B68">
        <v>858</v>
      </c>
      <c r="C68">
        <v>1872133</v>
      </c>
      <c r="D68">
        <v>2751166</v>
      </c>
      <c r="E68">
        <v>4823255</v>
      </c>
      <c r="F68">
        <v>3043991</v>
      </c>
      <c r="G68">
        <v>1779264</v>
      </c>
      <c r="H68">
        <v>2072089</v>
      </c>
      <c r="I68">
        <v>2110607</v>
      </c>
      <c r="J68">
        <v>2573913</v>
      </c>
      <c r="K68">
        <v>3070266</v>
      </c>
      <c r="L68">
        <v>3132010</v>
      </c>
      <c r="M68">
        <v>2952540</v>
      </c>
      <c r="N68">
        <v>2676832</v>
      </c>
      <c r="O68">
        <v>1843824</v>
      </c>
      <c r="P68">
        <f t="shared" si="9"/>
        <v>2148.9790209790208</v>
      </c>
      <c r="Q68">
        <f t="shared" si="10"/>
        <v>1</v>
      </c>
      <c r="R68" s="5">
        <f t="shared" si="11"/>
        <v>21988.531914893618</v>
      </c>
      <c r="S68" s="4">
        <f t="shared" si="12"/>
        <v>2325130.4253575257</v>
      </c>
      <c r="T68">
        <f t="shared" si="13"/>
        <v>0</v>
      </c>
      <c r="U68" s="5">
        <f t="shared" si="14"/>
        <v>1843827.0075846782</v>
      </c>
      <c r="V68" s="5">
        <f t="shared" si="15"/>
        <v>2148.9825263224689</v>
      </c>
      <c r="W68">
        <f t="shared" si="16"/>
        <v>0</v>
      </c>
      <c r="X68" s="5">
        <f t="shared" si="17"/>
        <v>0</v>
      </c>
    </row>
    <row r="69" spans="1:24" x14ac:dyDescent="0.55000000000000004">
      <c r="A69" t="s">
        <v>149</v>
      </c>
      <c r="B69">
        <v>371</v>
      </c>
      <c r="C69">
        <v>1518803</v>
      </c>
      <c r="D69">
        <v>1175811</v>
      </c>
      <c r="E69">
        <v>2903497</v>
      </c>
      <c r="F69">
        <v>2054577</v>
      </c>
      <c r="G69">
        <v>848921</v>
      </c>
      <c r="H69">
        <v>1727686</v>
      </c>
      <c r="I69">
        <v>1941206</v>
      </c>
      <c r="J69">
        <v>2438353</v>
      </c>
      <c r="K69">
        <v>2671339</v>
      </c>
      <c r="L69">
        <v>2484338</v>
      </c>
      <c r="M69">
        <v>2298596</v>
      </c>
      <c r="N69">
        <v>2290623</v>
      </c>
      <c r="O69">
        <v>1577800</v>
      </c>
      <c r="P69">
        <f t="shared" si="9"/>
        <v>4252.8301886792451</v>
      </c>
      <c r="Q69">
        <f t="shared" si="10"/>
        <v>1</v>
      </c>
      <c r="R69" s="5">
        <f t="shared" si="11"/>
        <v>9507.8617021276605</v>
      </c>
      <c r="S69" s="4">
        <f t="shared" si="12"/>
        <v>1989664.3608279235</v>
      </c>
      <c r="T69">
        <f t="shared" si="13"/>
        <v>0</v>
      </c>
      <c r="U69" s="5">
        <f t="shared" si="14"/>
        <v>1577802.6232481673</v>
      </c>
      <c r="V69" s="5">
        <f t="shared" si="15"/>
        <v>4252.8372594290222</v>
      </c>
      <c r="W69">
        <f t="shared" si="16"/>
        <v>0</v>
      </c>
      <c r="X69" s="5">
        <f t="shared" si="17"/>
        <v>0.01</v>
      </c>
    </row>
    <row r="70" spans="1:24" x14ac:dyDescent="0.55000000000000004">
      <c r="A70" t="s">
        <v>150</v>
      </c>
      <c r="B70">
        <v>794</v>
      </c>
      <c r="C70">
        <v>1716724</v>
      </c>
      <c r="D70">
        <v>2233598</v>
      </c>
      <c r="E70">
        <v>4370824</v>
      </c>
      <c r="F70">
        <v>3124750</v>
      </c>
      <c r="G70">
        <v>1246074</v>
      </c>
      <c r="H70">
        <v>2137225</v>
      </c>
      <c r="I70">
        <v>2175173</v>
      </c>
      <c r="J70">
        <v>2754644</v>
      </c>
      <c r="K70">
        <v>3157864</v>
      </c>
      <c r="L70">
        <v>3120391</v>
      </c>
      <c r="M70">
        <v>2568534</v>
      </c>
      <c r="N70">
        <v>2654686</v>
      </c>
      <c r="O70">
        <v>1828569</v>
      </c>
      <c r="P70">
        <f t="shared" si="9"/>
        <v>2302.9836272040302</v>
      </c>
      <c r="Q70">
        <f t="shared" si="10"/>
        <v>1</v>
      </c>
      <c r="R70" s="5">
        <f t="shared" si="11"/>
        <v>20348.361702127662</v>
      </c>
      <c r="S70" s="4">
        <f t="shared" si="12"/>
        <v>2305894.1272260151</v>
      </c>
      <c r="T70">
        <f t="shared" si="13"/>
        <v>0</v>
      </c>
      <c r="U70" s="5">
        <f t="shared" si="14"/>
        <v>1828572.6349120673</v>
      </c>
      <c r="V70" s="5">
        <f t="shared" si="15"/>
        <v>2302.9882051789259</v>
      </c>
      <c r="W70">
        <f t="shared" si="16"/>
        <v>0</v>
      </c>
      <c r="X70" s="5">
        <f t="shared" si="17"/>
        <v>0</v>
      </c>
    </row>
    <row r="71" spans="1:24" x14ac:dyDescent="0.55000000000000004">
      <c r="A71" t="s">
        <v>151</v>
      </c>
      <c r="B71">
        <v>52103</v>
      </c>
      <c r="C71">
        <v>1245205</v>
      </c>
      <c r="D71">
        <v>29160239</v>
      </c>
      <c r="E71">
        <v>31129242</v>
      </c>
      <c r="F71">
        <v>29099101</v>
      </c>
      <c r="G71">
        <v>2030141</v>
      </c>
      <c r="H71">
        <v>1969003</v>
      </c>
      <c r="I71">
        <v>1897563</v>
      </c>
      <c r="J71">
        <v>1496070</v>
      </c>
      <c r="K71">
        <v>1226651</v>
      </c>
      <c r="L71">
        <v>1079200</v>
      </c>
      <c r="M71">
        <v>1107625</v>
      </c>
      <c r="N71">
        <v>1431977</v>
      </c>
      <c r="O71">
        <v>1335285</v>
      </c>
      <c r="P71">
        <f t="shared" si="9"/>
        <v>25.627794944628906</v>
      </c>
      <c r="Q71">
        <f t="shared" si="10"/>
        <v>1</v>
      </c>
      <c r="R71" s="5">
        <f t="shared" si="11"/>
        <v>1335277.9468085107</v>
      </c>
      <c r="S71" s="4">
        <f t="shared" si="12"/>
        <v>1243833.4908997626</v>
      </c>
      <c r="T71">
        <f t="shared" si="13"/>
        <v>1</v>
      </c>
      <c r="U71" s="5">
        <f t="shared" si="14"/>
        <v>1335277.9468085107</v>
      </c>
      <c r="V71" s="5">
        <f t="shared" si="15"/>
        <v>25.627659574468087</v>
      </c>
      <c r="W71">
        <f t="shared" si="16"/>
        <v>0</v>
      </c>
      <c r="X71" s="5">
        <f t="shared" si="17"/>
        <v>0</v>
      </c>
    </row>
    <row r="72" spans="1:24" x14ac:dyDescent="0.55000000000000004">
      <c r="A72" t="s">
        <v>152</v>
      </c>
      <c r="B72">
        <v>1301</v>
      </c>
      <c r="C72">
        <v>2064197</v>
      </c>
      <c r="D72">
        <v>4120282</v>
      </c>
      <c r="E72">
        <v>6544288</v>
      </c>
      <c r="F72">
        <v>4925014</v>
      </c>
      <c r="G72">
        <v>1619274</v>
      </c>
      <c r="H72">
        <v>2424006</v>
      </c>
      <c r="I72">
        <v>2213328</v>
      </c>
      <c r="J72">
        <v>3042969</v>
      </c>
      <c r="K72">
        <v>3394723</v>
      </c>
      <c r="L72">
        <v>3560899</v>
      </c>
      <c r="M72">
        <v>3206866</v>
      </c>
      <c r="N72">
        <v>3017141</v>
      </c>
      <c r="O72">
        <v>2078232</v>
      </c>
      <c r="P72">
        <f t="shared" si="9"/>
        <v>1597.4112221368177</v>
      </c>
      <c r="Q72">
        <f t="shared" si="10"/>
        <v>1</v>
      </c>
      <c r="R72" s="5">
        <f t="shared" si="11"/>
        <v>33341.585106382983</v>
      </c>
      <c r="S72" s="4">
        <f t="shared" si="12"/>
        <v>2620727.1643097624</v>
      </c>
      <c r="T72">
        <f t="shared" si="13"/>
        <v>0</v>
      </c>
      <c r="U72" s="5">
        <f t="shared" si="14"/>
        <v>2078235.0410825347</v>
      </c>
      <c r="V72" s="5">
        <f t="shared" si="15"/>
        <v>1597.4135596330013</v>
      </c>
      <c r="W72">
        <f t="shared" si="16"/>
        <v>0</v>
      </c>
      <c r="X72" s="5">
        <f t="shared" si="17"/>
        <v>0</v>
      </c>
    </row>
    <row r="73" spans="1:24" x14ac:dyDescent="0.55000000000000004">
      <c r="A73" t="s">
        <v>153</v>
      </c>
      <c r="B73">
        <v>1439</v>
      </c>
      <c r="C73">
        <v>1925010</v>
      </c>
      <c r="D73">
        <v>7499428</v>
      </c>
      <c r="E73">
        <v>7441543</v>
      </c>
      <c r="F73">
        <v>4384103</v>
      </c>
      <c r="G73">
        <v>3057440</v>
      </c>
      <c r="H73">
        <v>-57885</v>
      </c>
      <c r="I73">
        <v>2872668</v>
      </c>
      <c r="J73">
        <v>2926742</v>
      </c>
      <c r="K73">
        <v>3251236</v>
      </c>
      <c r="L73">
        <v>3620559</v>
      </c>
      <c r="M73">
        <v>3488093</v>
      </c>
      <c r="N73">
        <v>3134685</v>
      </c>
      <c r="O73">
        <v>2159197</v>
      </c>
      <c r="P73">
        <f t="shared" si="9"/>
        <v>1500.4843641417651</v>
      </c>
      <c r="Q73">
        <f t="shared" si="10"/>
        <v>1</v>
      </c>
      <c r="R73" s="5">
        <f t="shared" si="11"/>
        <v>36878.202127659577</v>
      </c>
      <c r="S73" s="4">
        <f t="shared" si="12"/>
        <v>2722827.382298125</v>
      </c>
      <c r="T73">
        <f t="shared" si="13"/>
        <v>0</v>
      </c>
      <c r="U73" s="5">
        <f t="shared" si="14"/>
        <v>2159200.4516049484</v>
      </c>
      <c r="V73" s="5">
        <f t="shared" si="15"/>
        <v>1500.4867627553499</v>
      </c>
      <c r="W73">
        <f t="shared" si="16"/>
        <v>0</v>
      </c>
      <c r="X73" s="5">
        <f t="shared" si="17"/>
        <v>0</v>
      </c>
    </row>
    <row r="74" spans="1:24" x14ac:dyDescent="0.55000000000000004">
      <c r="A74" t="s">
        <v>154</v>
      </c>
      <c r="B74">
        <v>1732</v>
      </c>
      <c r="C74">
        <v>559199</v>
      </c>
      <c r="D74">
        <v>11283285</v>
      </c>
      <c r="E74">
        <v>6413481</v>
      </c>
      <c r="F74">
        <v>4054511</v>
      </c>
      <c r="G74">
        <v>2358970</v>
      </c>
      <c r="H74">
        <v>-4869805</v>
      </c>
      <c r="I74">
        <v>51311</v>
      </c>
      <c r="J74">
        <v>135128</v>
      </c>
      <c r="K74">
        <v>522604</v>
      </c>
      <c r="L74">
        <v>557176</v>
      </c>
      <c r="M74">
        <v>1174239</v>
      </c>
      <c r="N74">
        <v>316555</v>
      </c>
      <c r="O74">
        <v>218045</v>
      </c>
      <c r="P74">
        <f t="shared" si="9"/>
        <v>125.89203233256352</v>
      </c>
      <c r="Q74">
        <f t="shared" si="10"/>
        <v>1</v>
      </c>
      <c r="R74" s="5">
        <f t="shared" si="11"/>
        <v>44387.106382978724</v>
      </c>
      <c r="S74" s="4">
        <f t="shared" si="12"/>
        <v>274963.71150638204</v>
      </c>
      <c r="T74">
        <f t="shared" si="13"/>
        <v>0</v>
      </c>
      <c r="U74" s="5">
        <f t="shared" si="14"/>
        <v>218046.05533181306</v>
      </c>
      <c r="V74" s="5">
        <f t="shared" si="15"/>
        <v>125.89264164654334</v>
      </c>
      <c r="W74">
        <f t="shared" si="16"/>
        <v>0</v>
      </c>
      <c r="X74" s="5">
        <f t="shared" si="17"/>
        <v>0</v>
      </c>
    </row>
    <row r="75" spans="1:24" x14ac:dyDescent="0.55000000000000004">
      <c r="A75" t="s">
        <v>155</v>
      </c>
      <c r="B75">
        <v>99272</v>
      </c>
      <c r="C75">
        <v>2377848</v>
      </c>
      <c r="D75">
        <v>63762745</v>
      </c>
      <c r="E75">
        <v>63363850</v>
      </c>
      <c r="F75">
        <v>58885495</v>
      </c>
      <c r="G75">
        <v>4478355</v>
      </c>
      <c r="H75">
        <v>-398895</v>
      </c>
      <c r="I75">
        <v>-51984</v>
      </c>
      <c r="J75">
        <v>-2396034</v>
      </c>
      <c r="K75">
        <v>-2890447</v>
      </c>
      <c r="L75">
        <v>-2813774</v>
      </c>
      <c r="M75">
        <v>-2345242</v>
      </c>
      <c r="N75">
        <v>-1988486</v>
      </c>
      <c r="O75">
        <v>2544123</v>
      </c>
      <c r="P75">
        <f t="shared" si="9"/>
        <v>25.62780038681602</v>
      </c>
      <c r="Q75">
        <f t="shared" si="10"/>
        <v>0</v>
      </c>
      <c r="R75" s="5">
        <f t="shared" si="11"/>
        <v>2544109.021276596</v>
      </c>
      <c r="S75" s="4">
        <f t="shared" si="12"/>
        <v>0</v>
      </c>
      <c r="T75">
        <f t="shared" si="13"/>
        <v>1</v>
      </c>
      <c r="U75" s="5">
        <f t="shared" si="14"/>
        <v>2544109.021276596</v>
      </c>
      <c r="V75" s="5">
        <f t="shared" si="15"/>
        <v>25.627659574468087</v>
      </c>
      <c r="W75">
        <f t="shared" si="16"/>
        <v>0</v>
      </c>
      <c r="X75" s="5">
        <f t="shared" si="17"/>
        <v>0</v>
      </c>
    </row>
    <row r="76" spans="1:24" x14ac:dyDescent="0.55000000000000004">
      <c r="A76" t="s">
        <v>156</v>
      </c>
      <c r="B76">
        <v>9438</v>
      </c>
      <c r="C76">
        <v>3127017</v>
      </c>
      <c r="D76">
        <v>7835598</v>
      </c>
      <c r="E76">
        <v>11663601</v>
      </c>
      <c r="F76">
        <v>8726597</v>
      </c>
      <c r="G76">
        <v>2937003</v>
      </c>
      <c r="H76">
        <v>3828003</v>
      </c>
      <c r="I76">
        <v>4050988</v>
      </c>
      <c r="J76">
        <v>4461541</v>
      </c>
      <c r="K76">
        <v>5005186</v>
      </c>
      <c r="L76">
        <v>5125003</v>
      </c>
      <c r="M76">
        <v>4806031</v>
      </c>
      <c r="N76">
        <v>4580936</v>
      </c>
      <c r="O76">
        <v>3155387</v>
      </c>
      <c r="P76">
        <f t="shared" si="9"/>
        <v>334.32792964611144</v>
      </c>
      <c r="Q76">
        <f t="shared" si="10"/>
        <v>1</v>
      </c>
      <c r="R76" s="5">
        <f t="shared" si="11"/>
        <v>241873.85106382982</v>
      </c>
      <c r="S76" s="4">
        <f t="shared" si="12"/>
        <v>3979059.4517009663</v>
      </c>
      <c r="T76">
        <f t="shared" si="13"/>
        <v>0</v>
      </c>
      <c r="U76" s="5">
        <f t="shared" si="14"/>
        <v>3155391.715586531</v>
      </c>
      <c r="V76" s="5">
        <f t="shared" si="15"/>
        <v>334.32842928443853</v>
      </c>
      <c r="W76">
        <f t="shared" si="16"/>
        <v>0</v>
      </c>
      <c r="X76" s="5">
        <f t="shared" si="17"/>
        <v>0</v>
      </c>
    </row>
    <row r="77" spans="1:24" x14ac:dyDescent="0.55000000000000004">
      <c r="A77" t="s">
        <v>157</v>
      </c>
      <c r="B77">
        <v>1294</v>
      </c>
      <c r="C77">
        <v>2989967</v>
      </c>
      <c r="D77">
        <v>6738445</v>
      </c>
      <c r="E77">
        <v>9124954</v>
      </c>
      <c r="F77">
        <v>6002119</v>
      </c>
      <c r="G77">
        <v>3122835</v>
      </c>
      <c r="H77">
        <v>2386510</v>
      </c>
      <c r="I77">
        <v>5260542</v>
      </c>
      <c r="J77">
        <v>6187369</v>
      </c>
      <c r="K77">
        <v>5450188</v>
      </c>
      <c r="L77">
        <v>5078162</v>
      </c>
      <c r="M77">
        <v>4522966</v>
      </c>
      <c r="N77">
        <v>5077964</v>
      </c>
      <c r="O77">
        <v>3497744</v>
      </c>
      <c r="P77">
        <f t="shared" si="9"/>
        <v>2703.0479134466768</v>
      </c>
      <c r="Q77">
        <f t="shared" si="10"/>
        <v>1</v>
      </c>
      <c r="R77" s="5">
        <f t="shared" si="11"/>
        <v>33162.191489361707</v>
      </c>
      <c r="S77" s="4">
        <f t="shared" si="12"/>
        <v>4410784.3134235553</v>
      </c>
      <c r="T77">
        <f t="shared" si="13"/>
        <v>0</v>
      </c>
      <c r="U77" s="5">
        <f t="shared" si="14"/>
        <v>3497749.2673214916</v>
      </c>
      <c r="V77" s="5">
        <f t="shared" si="15"/>
        <v>2703.0519840196998</v>
      </c>
      <c r="W77">
        <f t="shared" si="16"/>
        <v>0</v>
      </c>
      <c r="X77" s="5">
        <f t="shared" si="17"/>
        <v>0</v>
      </c>
    </row>
    <row r="78" spans="1:24" x14ac:dyDescent="0.55000000000000004">
      <c r="A78" t="s">
        <v>158</v>
      </c>
      <c r="B78">
        <v>110426</v>
      </c>
      <c r="C78">
        <v>2672107</v>
      </c>
      <c r="D78">
        <v>77928352</v>
      </c>
      <c r="E78">
        <v>61916202</v>
      </c>
      <c r="F78">
        <v>61173113</v>
      </c>
      <c r="G78">
        <v>743089</v>
      </c>
      <c r="H78">
        <v>-16012150</v>
      </c>
      <c r="I78">
        <v>-16944141</v>
      </c>
      <c r="J78">
        <v>-18521217</v>
      </c>
      <c r="K78">
        <v>-18247957</v>
      </c>
      <c r="L78">
        <v>-18106170</v>
      </c>
      <c r="M78">
        <v>-16437748</v>
      </c>
      <c r="N78">
        <v>-17434004</v>
      </c>
      <c r="O78">
        <v>2829976</v>
      </c>
      <c r="P78">
        <f t="shared" si="9"/>
        <v>25.627805045913099</v>
      </c>
      <c r="Q78">
        <f t="shared" si="10"/>
        <v>0</v>
      </c>
      <c r="R78" s="5">
        <f t="shared" si="11"/>
        <v>2829959.9361702129</v>
      </c>
      <c r="S78" s="4">
        <f t="shared" si="12"/>
        <v>0</v>
      </c>
      <c r="T78">
        <f t="shared" si="13"/>
        <v>1</v>
      </c>
      <c r="U78" s="5">
        <f t="shared" si="14"/>
        <v>2829959.9361702129</v>
      </c>
      <c r="V78" s="5">
        <f t="shared" si="15"/>
        <v>25.627659574468087</v>
      </c>
      <c r="W78">
        <f t="shared" si="16"/>
        <v>0</v>
      </c>
      <c r="X78" s="5">
        <f t="shared" si="17"/>
        <v>0</v>
      </c>
    </row>
    <row r="79" spans="1:24" x14ac:dyDescent="0.55000000000000004">
      <c r="A79" t="s">
        <v>159</v>
      </c>
      <c r="B79">
        <v>575</v>
      </c>
      <c r="C79">
        <v>1754446</v>
      </c>
      <c r="D79">
        <v>6037756</v>
      </c>
      <c r="E79">
        <v>6022775</v>
      </c>
      <c r="F79">
        <v>2811632</v>
      </c>
      <c r="G79">
        <v>3211143</v>
      </c>
      <c r="H79">
        <v>-14981</v>
      </c>
      <c r="I79">
        <v>2157816</v>
      </c>
      <c r="J79">
        <v>2581689</v>
      </c>
      <c r="K79">
        <v>2438055</v>
      </c>
      <c r="L79">
        <v>2642104</v>
      </c>
      <c r="M79">
        <v>2525197</v>
      </c>
      <c r="N79">
        <v>2425689</v>
      </c>
      <c r="O79">
        <v>1670835</v>
      </c>
      <c r="P79">
        <f t="shared" si="9"/>
        <v>2905.8</v>
      </c>
      <c r="Q79">
        <f t="shared" si="10"/>
        <v>1</v>
      </c>
      <c r="R79" s="5">
        <f t="shared" si="11"/>
        <v>14735.90425531915</v>
      </c>
      <c r="S79" s="4">
        <f t="shared" si="12"/>
        <v>2106984.4115562988</v>
      </c>
      <c r="T79">
        <f t="shared" si="13"/>
        <v>0</v>
      </c>
      <c r="U79" s="5">
        <f t="shared" si="14"/>
        <v>1670837.3518401866</v>
      </c>
      <c r="V79" s="5">
        <f t="shared" si="15"/>
        <v>2905.8040901568465</v>
      </c>
      <c r="W79">
        <f t="shared" si="16"/>
        <v>0</v>
      </c>
      <c r="X79" s="5">
        <f t="shared" si="17"/>
        <v>0</v>
      </c>
    </row>
    <row r="80" spans="1:24" x14ac:dyDescent="0.55000000000000004">
      <c r="A80" t="s">
        <v>160</v>
      </c>
      <c r="B80">
        <v>3268</v>
      </c>
      <c r="C80">
        <v>1966252</v>
      </c>
      <c r="D80">
        <v>3387967</v>
      </c>
      <c r="E80">
        <v>6043184</v>
      </c>
      <c r="F80">
        <v>4530159</v>
      </c>
      <c r="G80">
        <v>1513025</v>
      </c>
      <c r="H80">
        <v>2655218</v>
      </c>
      <c r="I80">
        <v>2620744</v>
      </c>
      <c r="J80">
        <v>3090229</v>
      </c>
      <c r="K80">
        <v>3429226</v>
      </c>
      <c r="L80">
        <v>3450057</v>
      </c>
      <c r="M80">
        <v>3116801</v>
      </c>
      <c r="N80">
        <v>3072868</v>
      </c>
      <c r="O80">
        <v>2116617</v>
      </c>
      <c r="P80">
        <f t="shared" si="9"/>
        <v>647.67962056303554</v>
      </c>
      <c r="Q80">
        <f t="shared" si="10"/>
        <v>1</v>
      </c>
      <c r="R80" s="5">
        <f t="shared" si="11"/>
        <v>83751.191489361707</v>
      </c>
      <c r="S80" s="4">
        <f t="shared" si="12"/>
        <v>2669132.347456818</v>
      </c>
      <c r="T80">
        <f t="shared" si="13"/>
        <v>0</v>
      </c>
      <c r="U80" s="5">
        <f t="shared" si="14"/>
        <v>2116620.3217619616</v>
      </c>
      <c r="V80" s="5">
        <f t="shared" si="15"/>
        <v>647.68063701406413</v>
      </c>
      <c r="W80">
        <f t="shared" si="16"/>
        <v>0</v>
      </c>
      <c r="X80" s="5">
        <f t="shared" si="17"/>
        <v>0</v>
      </c>
    </row>
    <row r="81" spans="1:24" x14ac:dyDescent="0.55000000000000004">
      <c r="A81" t="s">
        <v>161</v>
      </c>
      <c r="B81">
        <v>417</v>
      </c>
      <c r="C81">
        <v>438710</v>
      </c>
      <c r="D81">
        <v>1179535</v>
      </c>
      <c r="E81">
        <v>1569404</v>
      </c>
      <c r="F81">
        <v>868677</v>
      </c>
      <c r="G81">
        <v>700726</v>
      </c>
      <c r="H81">
        <v>389868</v>
      </c>
      <c r="I81">
        <v>377630</v>
      </c>
      <c r="J81">
        <v>570708</v>
      </c>
      <c r="K81">
        <v>702722</v>
      </c>
      <c r="L81">
        <v>892431</v>
      </c>
      <c r="M81">
        <v>811043</v>
      </c>
      <c r="N81">
        <v>618585</v>
      </c>
      <c r="O81">
        <v>426087</v>
      </c>
      <c r="P81">
        <f t="shared" si="9"/>
        <v>1021.7913669064748</v>
      </c>
      <c r="Q81">
        <f t="shared" si="10"/>
        <v>1</v>
      </c>
      <c r="R81" s="5">
        <f t="shared" si="11"/>
        <v>10686.734042553193</v>
      </c>
      <c r="S81" s="4">
        <f t="shared" si="12"/>
        <v>537310.82270750834</v>
      </c>
      <c r="T81">
        <f t="shared" si="13"/>
        <v>0</v>
      </c>
      <c r="U81" s="5">
        <f t="shared" si="14"/>
        <v>426087.15432525019</v>
      </c>
      <c r="V81" s="5">
        <f t="shared" si="15"/>
        <v>1021.7917369910076</v>
      </c>
      <c r="W81">
        <f t="shared" si="16"/>
        <v>0</v>
      </c>
      <c r="X81" s="5">
        <f t="shared" si="17"/>
        <v>0</v>
      </c>
    </row>
    <row r="82" spans="1:24" x14ac:dyDescent="0.55000000000000004">
      <c r="A82" t="s">
        <v>162</v>
      </c>
      <c r="B82">
        <v>2392</v>
      </c>
      <c r="C82">
        <v>1210198</v>
      </c>
      <c r="D82">
        <v>3596905</v>
      </c>
      <c r="E82">
        <v>5022175</v>
      </c>
      <c r="F82">
        <v>3504518</v>
      </c>
      <c r="G82">
        <v>1517657</v>
      </c>
      <c r="H82">
        <v>1425271</v>
      </c>
      <c r="I82">
        <v>1389969</v>
      </c>
      <c r="J82">
        <v>1690321</v>
      </c>
      <c r="K82">
        <v>2005737</v>
      </c>
      <c r="L82">
        <v>1972609</v>
      </c>
      <c r="M82">
        <v>1958904</v>
      </c>
      <c r="N82">
        <v>1761776</v>
      </c>
      <c r="O82">
        <v>1213526</v>
      </c>
      <c r="P82">
        <f t="shared" si="9"/>
        <v>507.32692307692309</v>
      </c>
      <c r="Q82">
        <f t="shared" si="10"/>
        <v>1</v>
      </c>
      <c r="R82" s="5">
        <f t="shared" si="11"/>
        <v>61301.361702127666</v>
      </c>
      <c r="S82" s="4">
        <f t="shared" si="12"/>
        <v>1530301.1097688163</v>
      </c>
      <c r="T82">
        <f t="shared" si="13"/>
        <v>0</v>
      </c>
      <c r="U82" s="5">
        <f t="shared" si="14"/>
        <v>1213527.845645339</v>
      </c>
      <c r="V82" s="5">
        <f t="shared" si="15"/>
        <v>507.32769466778387</v>
      </c>
      <c r="W82">
        <f t="shared" si="16"/>
        <v>0</v>
      </c>
      <c r="X82" s="5">
        <f t="shared" si="17"/>
        <v>0</v>
      </c>
    </row>
    <row r="83" spans="1:24" x14ac:dyDescent="0.55000000000000004">
      <c r="A83" t="s">
        <v>163</v>
      </c>
      <c r="B83">
        <v>679</v>
      </c>
      <c r="C83">
        <v>1435376</v>
      </c>
      <c r="D83">
        <v>1648234</v>
      </c>
      <c r="E83">
        <v>3629621</v>
      </c>
      <c r="F83">
        <v>2034240</v>
      </c>
      <c r="G83">
        <v>1595380</v>
      </c>
      <c r="H83">
        <v>1981387</v>
      </c>
      <c r="I83">
        <v>1887848</v>
      </c>
      <c r="J83">
        <v>2204557</v>
      </c>
      <c r="K83">
        <v>2430893</v>
      </c>
      <c r="L83">
        <v>2399926</v>
      </c>
      <c r="M83">
        <v>2264068</v>
      </c>
      <c r="N83">
        <v>2212484</v>
      </c>
      <c r="O83">
        <v>1523978</v>
      </c>
      <c r="P83">
        <f t="shared" si="9"/>
        <v>2244.4447717231224</v>
      </c>
      <c r="Q83">
        <f t="shared" si="10"/>
        <v>1</v>
      </c>
      <c r="R83" s="5">
        <f t="shared" si="11"/>
        <v>17401.180851063829</v>
      </c>
      <c r="S83" s="4">
        <f t="shared" si="12"/>
        <v>1921791.8285558154</v>
      </c>
      <c r="T83">
        <f t="shared" si="13"/>
        <v>0</v>
      </c>
      <c r="U83" s="5">
        <f t="shared" si="14"/>
        <v>1523979.7465993306</v>
      </c>
      <c r="V83" s="5">
        <f t="shared" si="15"/>
        <v>2244.4473440343604</v>
      </c>
      <c r="W83">
        <f t="shared" si="16"/>
        <v>0</v>
      </c>
      <c r="X83" s="5">
        <f t="shared" si="17"/>
        <v>0</v>
      </c>
    </row>
    <row r="84" spans="1:24" x14ac:dyDescent="0.55000000000000004">
      <c r="A84" t="s">
        <v>164</v>
      </c>
      <c r="B84">
        <v>10032</v>
      </c>
      <c r="C84">
        <v>238634</v>
      </c>
      <c r="D84">
        <v>7858594</v>
      </c>
      <c r="E84">
        <v>5586114</v>
      </c>
      <c r="F84">
        <v>5534826</v>
      </c>
      <c r="G84">
        <v>51287</v>
      </c>
      <c r="H84">
        <v>-2272480</v>
      </c>
      <c r="I84">
        <v>-2250244</v>
      </c>
      <c r="J84">
        <v>-2357912</v>
      </c>
      <c r="K84">
        <v>-2441178</v>
      </c>
      <c r="L84">
        <v>-2369917</v>
      </c>
      <c r="M84">
        <v>-2431838</v>
      </c>
      <c r="N84">
        <v>-2358037</v>
      </c>
      <c r="O84">
        <v>257098</v>
      </c>
      <c r="P84">
        <f t="shared" si="9"/>
        <v>25.627791068580542</v>
      </c>
      <c r="Q84">
        <f t="shared" si="10"/>
        <v>0</v>
      </c>
      <c r="R84" s="5">
        <f t="shared" si="11"/>
        <v>257096.68085106384</v>
      </c>
      <c r="S84" s="4">
        <f t="shared" si="12"/>
        <v>0</v>
      </c>
      <c r="T84">
        <f t="shared" si="13"/>
        <v>1</v>
      </c>
      <c r="U84" s="5">
        <f t="shared" si="14"/>
        <v>257096.68085106384</v>
      </c>
      <c r="V84" s="5">
        <f t="shared" si="15"/>
        <v>25.627659574468087</v>
      </c>
      <c r="W84">
        <f t="shared" si="16"/>
        <v>0</v>
      </c>
      <c r="X84" s="5">
        <f t="shared" si="17"/>
        <v>0</v>
      </c>
    </row>
    <row r="85" spans="1:24" x14ac:dyDescent="0.55000000000000004">
      <c r="A85" t="s">
        <v>165</v>
      </c>
      <c r="B85">
        <v>701</v>
      </c>
      <c r="C85">
        <v>1866450</v>
      </c>
      <c r="D85">
        <v>1597330</v>
      </c>
      <c r="E85">
        <v>4531061</v>
      </c>
      <c r="F85">
        <v>2071507</v>
      </c>
      <c r="G85">
        <v>2459554</v>
      </c>
      <c r="H85">
        <v>2933731</v>
      </c>
      <c r="I85">
        <v>3426205</v>
      </c>
      <c r="J85">
        <v>3091643</v>
      </c>
      <c r="K85">
        <v>3084608</v>
      </c>
      <c r="L85">
        <v>3029652</v>
      </c>
      <c r="M85">
        <v>2878344</v>
      </c>
      <c r="N85">
        <v>3034909</v>
      </c>
      <c r="O85">
        <v>2090470</v>
      </c>
      <c r="P85">
        <f t="shared" si="9"/>
        <v>2982.1255349500711</v>
      </c>
      <c r="Q85">
        <f t="shared" si="10"/>
        <v>1</v>
      </c>
      <c r="R85" s="5">
        <f t="shared" si="11"/>
        <v>17964.98936170213</v>
      </c>
      <c r="S85" s="4">
        <f t="shared" si="12"/>
        <v>2636160.6757881641</v>
      </c>
      <c r="T85">
        <f t="shared" si="13"/>
        <v>0</v>
      </c>
      <c r="U85" s="5">
        <f t="shared" si="14"/>
        <v>2090473.8062612105</v>
      </c>
      <c r="V85" s="5">
        <f t="shared" si="15"/>
        <v>2982.1309647092876</v>
      </c>
      <c r="W85">
        <f t="shared" si="16"/>
        <v>0</v>
      </c>
      <c r="X85" s="5">
        <f t="shared" si="17"/>
        <v>0.01</v>
      </c>
    </row>
    <row r="86" spans="1:24" x14ac:dyDescent="0.55000000000000004">
      <c r="A86" t="s">
        <v>166</v>
      </c>
      <c r="B86">
        <v>461</v>
      </c>
      <c r="C86">
        <v>1906592</v>
      </c>
      <c r="D86">
        <v>1858551</v>
      </c>
      <c r="E86">
        <v>4229291</v>
      </c>
      <c r="F86">
        <v>2763147</v>
      </c>
      <c r="G86">
        <v>1466144</v>
      </c>
      <c r="H86">
        <v>2370740</v>
      </c>
      <c r="I86">
        <v>2114368</v>
      </c>
      <c r="J86">
        <v>2711044</v>
      </c>
      <c r="K86">
        <v>3005710</v>
      </c>
      <c r="L86">
        <v>3201598</v>
      </c>
      <c r="M86">
        <v>3037301</v>
      </c>
      <c r="N86">
        <v>2781199</v>
      </c>
      <c r="O86">
        <v>1915713</v>
      </c>
      <c r="P86">
        <f t="shared" si="9"/>
        <v>4155.5596529284167</v>
      </c>
      <c r="Q86">
        <f t="shared" si="10"/>
        <v>1</v>
      </c>
      <c r="R86" s="5">
        <f t="shared" si="11"/>
        <v>11814.351063829788</v>
      </c>
      <c r="S86" s="4">
        <f t="shared" si="12"/>
        <v>2415784.9330379814</v>
      </c>
      <c r="T86">
        <f t="shared" si="13"/>
        <v>0</v>
      </c>
      <c r="U86" s="5">
        <f t="shared" si="14"/>
        <v>1915715.9768216682</v>
      </c>
      <c r="V86" s="5">
        <f t="shared" si="15"/>
        <v>4155.56611024223</v>
      </c>
      <c r="W86">
        <f t="shared" si="16"/>
        <v>0</v>
      </c>
      <c r="X86" s="5">
        <f t="shared" si="17"/>
        <v>0.01</v>
      </c>
    </row>
    <row r="87" spans="1:24" x14ac:dyDescent="0.55000000000000004">
      <c r="A87" t="s">
        <v>167</v>
      </c>
      <c r="B87">
        <v>600</v>
      </c>
      <c r="C87">
        <v>1254521</v>
      </c>
      <c r="D87">
        <v>1230979</v>
      </c>
      <c r="E87">
        <v>2852957</v>
      </c>
      <c r="F87">
        <v>1859326</v>
      </c>
      <c r="G87">
        <v>993631</v>
      </c>
      <c r="H87">
        <v>1621977</v>
      </c>
      <c r="I87">
        <v>1392963</v>
      </c>
      <c r="J87">
        <v>1970079</v>
      </c>
      <c r="K87">
        <v>2200487</v>
      </c>
      <c r="L87">
        <v>2189584</v>
      </c>
      <c r="M87">
        <v>1835559</v>
      </c>
      <c r="N87">
        <v>1904300</v>
      </c>
      <c r="O87">
        <v>1311697</v>
      </c>
      <c r="P87">
        <f t="shared" si="9"/>
        <v>2186.1616666666669</v>
      </c>
      <c r="Q87">
        <f t="shared" si="10"/>
        <v>1</v>
      </c>
      <c r="R87" s="5">
        <f t="shared" si="11"/>
        <v>15376.595744680852</v>
      </c>
      <c r="S87" s="4">
        <f t="shared" si="12"/>
        <v>1654099.2744439456</v>
      </c>
      <c r="T87">
        <f t="shared" si="13"/>
        <v>0</v>
      </c>
      <c r="U87" s="5">
        <f t="shared" si="14"/>
        <v>1311699.7146415997</v>
      </c>
      <c r="V87" s="5">
        <f t="shared" si="15"/>
        <v>2186.1661910693329</v>
      </c>
      <c r="W87">
        <f t="shared" si="16"/>
        <v>0</v>
      </c>
      <c r="X87" s="5">
        <f t="shared" si="17"/>
        <v>0</v>
      </c>
    </row>
    <row r="88" spans="1:24" x14ac:dyDescent="0.55000000000000004">
      <c r="A88" t="s">
        <v>168</v>
      </c>
      <c r="B88">
        <v>41421</v>
      </c>
      <c r="C88">
        <v>1803806</v>
      </c>
      <c r="D88">
        <v>23284323</v>
      </c>
      <c r="E88">
        <v>24438988</v>
      </c>
      <c r="F88">
        <v>23234117</v>
      </c>
      <c r="G88">
        <v>1204871</v>
      </c>
      <c r="H88">
        <v>1154664</v>
      </c>
      <c r="I88">
        <v>2560979</v>
      </c>
      <c r="J88">
        <v>2743437</v>
      </c>
      <c r="K88">
        <v>3108154</v>
      </c>
      <c r="L88">
        <v>3166056</v>
      </c>
      <c r="M88">
        <v>3381317</v>
      </c>
      <c r="N88">
        <v>2894656</v>
      </c>
      <c r="O88">
        <v>1993863</v>
      </c>
      <c r="P88">
        <f t="shared" si="9"/>
        <v>48.136524951111753</v>
      </c>
      <c r="Q88">
        <f t="shared" si="10"/>
        <v>1</v>
      </c>
      <c r="R88" s="5">
        <f t="shared" si="11"/>
        <v>1061523.2872340425</v>
      </c>
      <c r="S88" s="4">
        <f t="shared" si="12"/>
        <v>2514335.1306857187</v>
      </c>
      <c r="T88">
        <f t="shared" si="13"/>
        <v>0</v>
      </c>
      <c r="U88" s="5">
        <f t="shared" si="14"/>
        <v>1993866.2233816071</v>
      </c>
      <c r="V88" s="5">
        <f t="shared" si="15"/>
        <v>48.13660277109696</v>
      </c>
      <c r="W88">
        <f t="shared" si="16"/>
        <v>0</v>
      </c>
      <c r="X88" s="5">
        <f t="shared" si="17"/>
        <v>0</v>
      </c>
    </row>
    <row r="89" spans="1:24" x14ac:dyDescent="0.55000000000000004">
      <c r="A89" t="s">
        <v>169</v>
      </c>
      <c r="B89">
        <v>106</v>
      </c>
      <c r="C89">
        <v>3587855</v>
      </c>
      <c r="D89">
        <v>875394</v>
      </c>
      <c r="E89">
        <v>6007031</v>
      </c>
      <c r="F89">
        <v>2656973</v>
      </c>
      <c r="G89">
        <v>3350058</v>
      </c>
      <c r="H89">
        <v>5131637</v>
      </c>
      <c r="I89">
        <v>5258340</v>
      </c>
      <c r="J89">
        <v>5916499</v>
      </c>
      <c r="K89">
        <v>6190132</v>
      </c>
      <c r="L89">
        <v>5981474</v>
      </c>
      <c r="M89">
        <v>5423440</v>
      </c>
      <c r="N89">
        <v>5644939</v>
      </c>
      <c r="O89">
        <v>3888280</v>
      </c>
      <c r="P89">
        <f t="shared" si="9"/>
        <v>36681.886792452831</v>
      </c>
      <c r="Q89">
        <f t="shared" si="10"/>
        <v>1</v>
      </c>
      <c r="R89" s="5">
        <f t="shared" si="11"/>
        <v>2716.5319148936173</v>
      </c>
      <c r="S89" s="4">
        <f t="shared" si="12"/>
        <v>4903266.0317073641</v>
      </c>
      <c r="T89">
        <f t="shared" si="13"/>
        <v>0</v>
      </c>
      <c r="U89" s="5">
        <f t="shared" si="14"/>
        <v>3888286.9692113833</v>
      </c>
      <c r="V89" s="5">
        <f t="shared" si="15"/>
        <v>36681.952539730031</v>
      </c>
      <c r="W89">
        <f t="shared" si="16"/>
        <v>0</v>
      </c>
      <c r="X89" s="5">
        <f t="shared" si="17"/>
        <v>7.0000000000000007E-2</v>
      </c>
    </row>
    <row r="90" spans="1:24" x14ac:dyDescent="0.55000000000000004">
      <c r="A90" t="s">
        <v>170</v>
      </c>
      <c r="B90">
        <v>19823</v>
      </c>
      <c r="C90">
        <v>1186665</v>
      </c>
      <c r="D90">
        <v>13106344</v>
      </c>
      <c r="E90">
        <v>15791524</v>
      </c>
      <c r="F90">
        <v>13512543</v>
      </c>
      <c r="G90">
        <v>2278981</v>
      </c>
      <c r="H90">
        <v>2685181</v>
      </c>
      <c r="I90">
        <v>1921702</v>
      </c>
      <c r="J90">
        <v>1981410</v>
      </c>
      <c r="K90">
        <v>1965306</v>
      </c>
      <c r="L90">
        <v>2400358</v>
      </c>
      <c r="M90">
        <v>2014035</v>
      </c>
      <c r="N90">
        <v>2090277</v>
      </c>
      <c r="O90">
        <v>1439800</v>
      </c>
      <c r="P90">
        <f t="shared" si="9"/>
        <v>72.632800282500128</v>
      </c>
      <c r="Q90">
        <f t="shared" si="10"/>
        <v>1</v>
      </c>
      <c r="R90" s="5">
        <f t="shared" si="11"/>
        <v>508017.0957446809</v>
      </c>
      <c r="S90" s="4">
        <f t="shared" si="12"/>
        <v>1815641.2692784055</v>
      </c>
      <c r="T90">
        <f t="shared" si="13"/>
        <v>0</v>
      </c>
      <c r="U90" s="5">
        <f t="shared" si="14"/>
        <v>1439802.4179078396</v>
      </c>
      <c r="V90" s="5">
        <f t="shared" si="15"/>
        <v>72.6329222573697</v>
      </c>
      <c r="W90">
        <f t="shared" si="16"/>
        <v>0</v>
      </c>
      <c r="X90" s="5">
        <f t="shared" si="17"/>
        <v>0</v>
      </c>
    </row>
    <row r="91" spans="1:24" x14ac:dyDescent="0.55000000000000004">
      <c r="A91" t="s">
        <v>171</v>
      </c>
      <c r="B91">
        <v>1632</v>
      </c>
      <c r="C91">
        <v>1035505</v>
      </c>
      <c r="D91">
        <v>1710133</v>
      </c>
      <c r="E91">
        <v>2861290</v>
      </c>
      <c r="F91">
        <v>2349452</v>
      </c>
      <c r="G91">
        <v>511837</v>
      </c>
      <c r="H91">
        <v>1151157</v>
      </c>
      <c r="I91">
        <v>1314429</v>
      </c>
      <c r="J91">
        <v>1592040</v>
      </c>
      <c r="K91">
        <v>1741396</v>
      </c>
      <c r="L91">
        <v>1811188</v>
      </c>
      <c r="M91">
        <v>1616888</v>
      </c>
      <c r="N91">
        <v>1566188</v>
      </c>
      <c r="O91">
        <v>1078803</v>
      </c>
      <c r="P91">
        <f t="shared" si="9"/>
        <v>661.03125</v>
      </c>
      <c r="Q91">
        <f t="shared" si="10"/>
        <v>1</v>
      </c>
      <c r="R91" s="5">
        <f t="shared" si="11"/>
        <v>41824.340425531918</v>
      </c>
      <c r="S91" s="4">
        <f t="shared" si="12"/>
        <v>1360410.8777203248</v>
      </c>
      <c r="T91">
        <f t="shared" si="13"/>
        <v>0</v>
      </c>
      <c r="U91" s="5">
        <f t="shared" si="14"/>
        <v>1078804.9953658027</v>
      </c>
      <c r="V91" s="5">
        <f t="shared" si="15"/>
        <v>661.03247265061441</v>
      </c>
      <c r="W91">
        <f t="shared" si="16"/>
        <v>0</v>
      </c>
      <c r="X91" s="5">
        <f t="shared" si="17"/>
        <v>0</v>
      </c>
    </row>
    <row r="92" spans="1:24" x14ac:dyDescent="0.55000000000000004">
      <c r="A92" t="s">
        <v>172</v>
      </c>
      <c r="B92">
        <v>833</v>
      </c>
      <c r="C92">
        <v>1547692</v>
      </c>
      <c r="D92">
        <v>1890983</v>
      </c>
      <c r="E92">
        <v>3796803</v>
      </c>
      <c r="F92">
        <v>2930539</v>
      </c>
      <c r="G92">
        <v>866264</v>
      </c>
      <c r="H92">
        <v>1905820</v>
      </c>
      <c r="I92">
        <v>1808099</v>
      </c>
      <c r="J92">
        <v>2334947</v>
      </c>
      <c r="K92">
        <v>2674087</v>
      </c>
      <c r="L92">
        <v>2726944</v>
      </c>
      <c r="M92">
        <v>2385553</v>
      </c>
      <c r="N92">
        <v>2325102</v>
      </c>
      <c r="O92">
        <v>1601549</v>
      </c>
      <c r="P92">
        <f t="shared" si="9"/>
        <v>1922.6278511404562</v>
      </c>
      <c r="Q92">
        <f t="shared" si="10"/>
        <v>1</v>
      </c>
      <c r="R92" s="5">
        <f t="shared" si="11"/>
        <v>21347.840425531915</v>
      </c>
      <c r="S92" s="4">
        <f t="shared" si="12"/>
        <v>2019613.260099862</v>
      </c>
      <c r="T92">
        <f t="shared" si="13"/>
        <v>0</v>
      </c>
      <c r="U92" s="5">
        <f t="shared" si="14"/>
        <v>1601552.0820840271</v>
      </c>
      <c r="V92" s="5">
        <f t="shared" si="15"/>
        <v>1922.6315511212811</v>
      </c>
      <c r="W92">
        <f t="shared" si="16"/>
        <v>0</v>
      </c>
      <c r="X92" s="5">
        <f t="shared" si="17"/>
        <v>0</v>
      </c>
    </row>
    <row r="93" spans="1:24" x14ac:dyDescent="0.55000000000000004">
      <c r="A93" t="s">
        <v>173</v>
      </c>
      <c r="B93">
        <v>4983</v>
      </c>
      <c r="C93">
        <v>1777082</v>
      </c>
      <c r="D93">
        <v>3860103</v>
      </c>
      <c r="E93">
        <v>6347088</v>
      </c>
      <c r="F93">
        <v>4634871</v>
      </c>
      <c r="G93">
        <v>1712217</v>
      </c>
      <c r="H93">
        <v>2486986</v>
      </c>
      <c r="I93">
        <v>2111962</v>
      </c>
      <c r="J93">
        <v>2224660</v>
      </c>
      <c r="K93">
        <v>2578018</v>
      </c>
      <c r="L93">
        <v>2659560</v>
      </c>
      <c r="M93">
        <v>2600232</v>
      </c>
      <c r="N93">
        <v>2472474</v>
      </c>
      <c r="O93">
        <v>1703060</v>
      </c>
      <c r="P93">
        <f t="shared" si="9"/>
        <v>341.77403170780656</v>
      </c>
      <c r="Q93">
        <f t="shared" si="10"/>
        <v>1</v>
      </c>
      <c r="R93" s="5">
        <f t="shared" si="11"/>
        <v>127702.62765957447</v>
      </c>
      <c r="S93" s="4">
        <f t="shared" si="12"/>
        <v>2147622.4594242084</v>
      </c>
      <c r="T93">
        <f t="shared" si="13"/>
        <v>0</v>
      </c>
      <c r="U93" s="5">
        <f t="shared" si="14"/>
        <v>1703063.2989858608</v>
      </c>
      <c r="V93" s="5">
        <f t="shared" si="15"/>
        <v>341.77469375594234</v>
      </c>
      <c r="W93">
        <f t="shared" si="16"/>
        <v>0</v>
      </c>
      <c r="X93" s="5">
        <f t="shared" si="17"/>
        <v>0</v>
      </c>
    </row>
    <row r="94" spans="1:24" x14ac:dyDescent="0.55000000000000004">
      <c r="A94" t="s">
        <v>174</v>
      </c>
      <c r="B94">
        <v>24127</v>
      </c>
      <c r="C94">
        <v>585049</v>
      </c>
      <c r="D94">
        <v>20838013</v>
      </c>
      <c r="E94">
        <v>13249319</v>
      </c>
      <c r="F94">
        <v>13149955</v>
      </c>
      <c r="G94">
        <v>99363</v>
      </c>
      <c r="H94">
        <v>-7588694</v>
      </c>
      <c r="I94">
        <v>-7570103</v>
      </c>
      <c r="J94">
        <v>-7586656</v>
      </c>
      <c r="K94">
        <v>-7597353</v>
      </c>
      <c r="L94">
        <v>-7549939</v>
      </c>
      <c r="M94">
        <v>-7455486</v>
      </c>
      <c r="N94">
        <v>-7573848</v>
      </c>
      <c r="O94">
        <v>618322</v>
      </c>
      <c r="P94">
        <f t="shared" si="9"/>
        <v>25.627802876445475</v>
      </c>
      <c r="Q94">
        <f t="shared" si="10"/>
        <v>0</v>
      </c>
      <c r="R94" s="5">
        <f t="shared" si="11"/>
        <v>618318.54255319154</v>
      </c>
      <c r="S94" s="4">
        <f t="shared" si="12"/>
        <v>0</v>
      </c>
      <c r="T94">
        <f t="shared" si="13"/>
        <v>1</v>
      </c>
      <c r="U94" s="5">
        <f t="shared" si="14"/>
        <v>618318.54255319154</v>
      </c>
      <c r="V94" s="5">
        <f t="shared" si="15"/>
        <v>25.627659574468087</v>
      </c>
      <c r="W94">
        <f t="shared" si="16"/>
        <v>0</v>
      </c>
      <c r="X94" s="5">
        <f t="shared" si="17"/>
        <v>0</v>
      </c>
    </row>
    <row r="95" spans="1:24" x14ac:dyDescent="0.55000000000000004">
      <c r="A95" t="s">
        <v>175</v>
      </c>
      <c r="B95">
        <v>1479</v>
      </c>
      <c r="C95">
        <v>3838135</v>
      </c>
      <c r="D95">
        <v>416382</v>
      </c>
      <c r="E95">
        <v>7443856</v>
      </c>
      <c r="F95">
        <v>2535933</v>
      </c>
      <c r="G95">
        <v>4907923</v>
      </c>
      <c r="H95">
        <v>7027474</v>
      </c>
      <c r="I95">
        <v>6516441</v>
      </c>
      <c r="J95">
        <v>6962821</v>
      </c>
      <c r="K95">
        <v>6534230</v>
      </c>
      <c r="L95">
        <v>5925013</v>
      </c>
      <c r="M95">
        <v>6404659</v>
      </c>
      <c r="N95">
        <v>6604538</v>
      </c>
      <c r="O95">
        <v>4549260</v>
      </c>
      <c r="P95">
        <f t="shared" si="9"/>
        <v>3075.9026369168355</v>
      </c>
      <c r="Q95">
        <f t="shared" si="10"/>
        <v>1</v>
      </c>
      <c r="R95" s="5">
        <f t="shared" si="11"/>
        <v>37903.308510638301</v>
      </c>
      <c r="S95" s="4">
        <f t="shared" si="12"/>
        <v>5736785.9653612711</v>
      </c>
      <c r="T95">
        <f t="shared" si="13"/>
        <v>0</v>
      </c>
      <c r="U95" s="5">
        <f t="shared" si="14"/>
        <v>4549267.7676519463</v>
      </c>
      <c r="V95" s="5">
        <f t="shared" si="15"/>
        <v>3075.9078888789359</v>
      </c>
      <c r="W95">
        <f t="shared" si="16"/>
        <v>0</v>
      </c>
      <c r="X95" s="5">
        <f t="shared" si="17"/>
        <v>0.01</v>
      </c>
    </row>
    <row r="96" spans="1:24" x14ac:dyDescent="0.55000000000000004">
      <c r="A96" t="s">
        <v>176</v>
      </c>
      <c r="B96">
        <v>12193</v>
      </c>
      <c r="C96">
        <v>2740839</v>
      </c>
      <c r="D96">
        <v>8172478</v>
      </c>
      <c r="E96">
        <v>17706258</v>
      </c>
      <c r="F96">
        <v>9400255</v>
      </c>
      <c r="G96">
        <v>8306003</v>
      </c>
      <c r="H96">
        <v>9533780</v>
      </c>
      <c r="I96">
        <v>4462910</v>
      </c>
      <c r="J96">
        <v>4221749</v>
      </c>
      <c r="K96">
        <v>4680867</v>
      </c>
      <c r="L96">
        <v>4642737</v>
      </c>
      <c r="M96">
        <v>4483184</v>
      </c>
      <c r="N96">
        <v>4567424</v>
      </c>
      <c r="O96">
        <v>3146080</v>
      </c>
      <c r="P96">
        <f t="shared" si="9"/>
        <v>258.02345608135818</v>
      </c>
      <c r="Q96">
        <f t="shared" si="10"/>
        <v>1</v>
      </c>
      <c r="R96" s="5">
        <f t="shared" si="11"/>
        <v>312478.05319148937</v>
      </c>
      <c r="S96" s="4">
        <f t="shared" si="12"/>
        <v>3967322.7561192373</v>
      </c>
      <c r="T96">
        <f t="shared" si="13"/>
        <v>0</v>
      </c>
      <c r="U96" s="5">
        <f t="shared" si="14"/>
        <v>3146084.5231566424</v>
      </c>
      <c r="V96" s="5">
        <f t="shared" si="15"/>
        <v>258.02382704475048</v>
      </c>
      <c r="W96">
        <f t="shared" si="16"/>
        <v>0</v>
      </c>
      <c r="X96" s="5">
        <f t="shared" si="17"/>
        <v>0</v>
      </c>
    </row>
    <row r="97" spans="1:24" x14ac:dyDescent="0.55000000000000004">
      <c r="A97" t="s">
        <v>177</v>
      </c>
      <c r="B97">
        <v>3369</v>
      </c>
      <c r="C97">
        <v>1595140</v>
      </c>
      <c r="D97">
        <v>4679009</v>
      </c>
      <c r="E97">
        <v>7143494</v>
      </c>
      <c r="F97">
        <v>4783630</v>
      </c>
      <c r="G97">
        <v>2359865</v>
      </c>
      <c r="H97">
        <v>2464485</v>
      </c>
      <c r="I97">
        <v>2206588</v>
      </c>
      <c r="J97">
        <v>2411736</v>
      </c>
      <c r="K97">
        <v>2647867</v>
      </c>
      <c r="L97">
        <v>2890514</v>
      </c>
      <c r="M97">
        <v>2828620</v>
      </c>
      <c r="N97">
        <v>2588177</v>
      </c>
      <c r="O97">
        <v>1782758</v>
      </c>
      <c r="P97">
        <f t="shared" si="9"/>
        <v>529.16533095874149</v>
      </c>
      <c r="Q97">
        <f t="shared" si="10"/>
        <v>1</v>
      </c>
      <c r="R97" s="5">
        <f t="shared" si="11"/>
        <v>86339.58510638299</v>
      </c>
      <c r="S97" s="4">
        <f t="shared" si="12"/>
        <v>2248123.5613256884</v>
      </c>
      <c r="T97">
        <f t="shared" si="13"/>
        <v>0</v>
      </c>
      <c r="U97" s="5">
        <f t="shared" si="14"/>
        <v>1782760.6114277958</v>
      </c>
      <c r="V97" s="5">
        <f t="shared" si="15"/>
        <v>529.16610609314216</v>
      </c>
      <c r="W97">
        <f t="shared" si="16"/>
        <v>0</v>
      </c>
      <c r="X97" s="5">
        <f t="shared" si="17"/>
        <v>0</v>
      </c>
    </row>
    <row r="98" spans="1:24" x14ac:dyDescent="0.55000000000000004">
      <c r="A98" t="s">
        <v>178</v>
      </c>
      <c r="B98">
        <v>256</v>
      </c>
      <c r="C98">
        <v>1163706</v>
      </c>
      <c r="D98">
        <v>536893</v>
      </c>
      <c r="E98">
        <v>1855125</v>
      </c>
      <c r="F98">
        <v>931811</v>
      </c>
      <c r="G98">
        <v>923313</v>
      </c>
      <c r="H98">
        <v>1318231</v>
      </c>
      <c r="I98">
        <v>1601411</v>
      </c>
      <c r="J98">
        <v>1822423</v>
      </c>
      <c r="K98">
        <v>1925605</v>
      </c>
      <c r="L98">
        <v>1902530</v>
      </c>
      <c r="M98">
        <v>1798263</v>
      </c>
      <c r="N98">
        <v>1781157</v>
      </c>
      <c r="O98">
        <v>1226875</v>
      </c>
      <c r="P98">
        <f t="shared" si="9"/>
        <v>4792.48046875</v>
      </c>
      <c r="Q98">
        <f t="shared" si="10"/>
        <v>1</v>
      </c>
      <c r="R98" s="5">
        <f t="shared" si="11"/>
        <v>6560.6808510638302</v>
      </c>
      <c r="S98" s="4">
        <f t="shared" si="12"/>
        <v>1547135.6936253505</v>
      </c>
      <c r="T98">
        <f t="shared" si="13"/>
        <v>0</v>
      </c>
      <c r="U98" s="5">
        <f t="shared" si="14"/>
        <v>1226877.6603643794</v>
      </c>
      <c r="V98" s="5">
        <f t="shared" si="15"/>
        <v>4792.4908607983571</v>
      </c>
      <c r="W98">
        <f t="shared" si="16"/>
        <v>0</v>
      </c>
      <c r="X98" s="5">
        <f t="shared" si="17"/>
        <v>0.01</v>
      </c>
    </row>
    <row r="99" spans="1:24" x14ac:dyDescent="0.55000000000000004">
      <c r="A99" t="s">
        <v>179</v>
      </c>
      <c r="B99">
        <v>1736</v>
      </c>
      <c r="C99">
        <v>45380</v>
      </c>
      <c r="D99">
        <v>2047093</v>
      </c>
      <c r="E99">
        <v>981111</v>
      </c>
      <c r="F99">
        <v>968930</v>
      </c>
      <c r="G99">
        <v>12182</v>
      </c>
      <c r="H99">
        <v>-1065981</v>
      </c>
      <c r="I99">
        <v>-1096312</v>
      </c>
      <c r="J99">
        <v>-1039915</v>
      </c>
      <c r="K99">
        <v>-1047468</v>
      </c>
      <c r="L99">
        <v>-979780</v>
      </c>
      <c r="M99">
        <v>-904865</v>
      </c>
      <c r="N99">
        <v>-1033286</v>
      </c>
      <c r="O99">
        <v>44490</v>
      </c>
      <c r="P99">
        <f t="shared" si="9"/>
        <v>25.627880184331797</v>
      </c>
      <c r="Q99">
        <f t="shared" si="10"/>
        <v>0</v>
      </c>
      <c r="R99" s="5">
        <f t="shared" si="11"/>
        <v>44489.617021276601</v>
      </c>
      <c r="S99" s="4">
        <f t="shared" si="12"/>
        <v>0</v>
      </c>
      <c r="T99">
        <f t="shared" si="13"/>
        <v>1</v>
      </c>
      <c r="U99" s="5">
        <f t="shared" si="14"/>
        <v>44489.617021276601</v>
      </c>
      <c r="V99" s="5">
        <f t="shared" si="15"/>
        <v>25.627659574468087</v>
      </c>
      <c r="W99">
        <f t="shared" si="16"/>
        <v>0</v>
      </c>
      <c r="X99" s="5">
        <f t="shared" si="17"/>
        <v>0</v>
      </c>
    </row>
    <row r="100" spans="1:24" x14ac:dyDescent="0.55000000000000004">
      <c r="A100" t="s">
        <v>180</v>
      </c>
      <c r="B100">
        <v>649</v>
      </c>
      <c r="C100">
        <v>1698948</v>
      </c>
      <c r="D100">
        <v>2444162</v>
      </c>
      <c r="E100">
        <v>4152575</v>
      </c>
      <c r="F100">
        <v>2821219</v>
      </c>
      <c r="G100">
        <v>1331356</v>
      </c>
      <c r="H100">
        <v>1708413</v>
      </c>
      <c r="I100">
        <v>1708696</v>
      </c>
      <c r="J100">
        <v>2436400</v>
      </c>
      <c r="K100">
        <v>2938957</v>
      </c>
      <c r="L100">
        <v>3008913</v>
      </c>
      <c r="M100">
        <v>2827880</v>
      </c>
      <c r="N100">
        <v>2477983</v>
      </c>
      <c r="O100">
        <v>1706855</v>
      </c>
      <c r="P100">
        <f t="shared" si="9"/>
        <v>2629.9768875192603</v>
      </c>
      <c r="Q100">
        <f t="shared" si="10"/>
        <v>1</v>
      </c>
      <c r="R100" s="5">
        <f t="shared" si="11"/>
        <v>16632.351063829788</v>
      </c>
      <c r="S100" s="4">
        <f t="shared" si="12"/>
        <v>2152407.6471062503</v>
      </c>
      <c r="T100">
        <f t="shared" si="13"/>
        <v>0</v>
      </c>
      <c r="U100" s="5">
        <f t="shared" si="14"/>
        <v>1706857.9498958858</v>
      </c>
      <c r="V100" s="5">
        <f t="shared" si="15"/>
        <v>2629.9814328133834</v>
      </c>
      <c r="W100">
        <f t="shared" si="16"/>
        <v>0</v>
      </c>
      <c r="X100" s="5">
        <f t="shared" si="17"/>
        <v>0</v>
      </c>
    </row>
    <row r="101" spans="1:24" x14ac:dyDescent="0.55000000000000004">
      <c r="A101" t="s">
        <v>181</v>
      </c>
      <c r="B101">
        <v>32856</v>
      </c>
      <c r="C101">
        <v>806857</v>
      </c>
      <c r="D101">
        <v>79973242</v>
      </c>
      <c r="E101">
        <v>23183395</v>
      </c>
      <c r="F101">
        <v>21253828</v>
      </c>
      <c r="G101">
        <v>1929567</v>
      </c>
      <c r="H101">
        <v>-56789846</v>
      </c>
      <c r="I101">
        <v>-59711652</v>
      </c>
      <c r="J101">
        <v>-58803742</v>
      </c>
      <c r="K101">
        <v>-58443139</v>
      </c>
      <c r="L101">
        <v>-56875457</v>
      </c>
      <c r="M101">
        <v>-60209545</v>
      </c>
      <c r="N101">
        <v>-58458497</v>
      </c>
      <c r="O101">
        <v>842027</v>
      </c>
      <c r="P101">
        <f t="shared" si="9"/>
        <v>25.62780009739469</v>
      </c>
      <c r="Q101">
        <f t="shared" si="10"/>
        <v>0</v>
      </c>
      <c r="R101" s="5">
        <f t="shared" si="11"/>
        <v>842022.3829787235</v>
      </c>
      <c r="S101" s="4">
        <f t="shared" si="12"/>
        <v>0</v>
      </c>
      <c r="T101">
        <f t="shared" si="13"/>
        <v>1</v>
      </c>
      <c r="U101" s="5">
        <f t="shared" si="14"/>
        <v>842022.3829787235</v>
      </c>
      <c r="V101" s="5">
        <f t="shared" si="15"/>
        <v>25.627659574468087</v>
      </c>
      <c r="W101">
        <f t="shared" si="16"/>
        <v>0</v>
      </c>
      <c r="X101" s="5">
        <f t="shared" si="17"/>
        <v>0</v>
      </c>
    </row>
    <row r="102" spans="1:24" x14ac:dyDescent="0.55000000000000004">
      <c r="A102" t="s">
        <v>182</v>
      </c>
      <c r="B102">
        <v>1084</v>
      </c>
      <c r="C102">
        <v>1175003</v>
      </c>
      <c r="D102">
        <v>1417420</v>
      </c>
      <c r="E102">
        <v>3230313</v>
      </c>
      <c r="F102">
        <v>1536943</v>
      </c>
      <c r="G102">
        <v>1693370</v>
      </c>
      <c r="H102">
        <v>1812893</v>
      </c>
      <c r="I102">
        <v>1770851</v>
      </c>
      <c r="J102">
        <v>2021120</v>
      </c>
      <c r="K102">
        <v>2159862</v>
      </c>
      <c r="L102">
        <v>1977779</v>
      </c>
      <c r="M102">
        <v>1772590</v>
      </c>
      <c r="N102">
        <v>1896095</v>
      </c>
      <c r="O102">
        <v>1306046</v>
      </c>
      <c r="P102">
        <f t="shared" si="9"/>
        <v>1204.8394833948339</v>
      </c>
      <c r="Q102">
        <f t="shared" si="10"/>
        <v>1</v>
      </c>
      <c r="R102" s="5">
        <f t="shared" si="11"/>
        <v>27780.382978723406</v>
      </c>
      <c r="S102" s="4">
        <f t="shared" si="12"/>
        <v>1646972.3067672076</v>
      </c>
      <c r="T102">
        <f t="shared" si="13"/>
        <v>0</v>
      </c>
      <c r="U102" s="5">
        <f t="shared" si="14"/>
        <v>1306048.0336256702</v>
      </c>
      <c r="V102" s="5">
        <f t="shared" si="15"/>
        <v>1204.8413594332751</v>
      </c>
      <c r="W102">
        <f t="shared" si="16"/>
        <v>0</v>
      </c>
      <c r="X102" s="5">
        <f t="shared" si="17"/>
        <v>0</v>
      </c>
    </row>
    <row r="103" spans="1:24" x14ac:dyDescent="0.55000000000000004">
      <c r="A103" t="s">
        <v>183</v>
      </c>
      <c r="B103">
        <v>5669</v>
      </c>
      <c r="C103">
        <v>1460185</v>
      </c>
      <c r="D103">
        <v>5272582</v>
      </c>
      <c r="E103">
        <v>7121043</v>
      </c>
      <c r="F103">
        <v>5725649</v>
      </c>
      <c r="G103">
        <v>1395394</v>
      </c>
      <c r="H103">
        <v>1848462</v>
      </c>
      <c r="I103">
        <v>1682197</v>
      </c>
      <c r="J103">
        <v>2085785</v>
      </c>
      <c r="K103">
        <v>2711704</v>
      </c>
      <c r="L103">
        <v>2686363</v>
      </c>
      <c r="M103">
        <v>2467613</v>
      </c>
      <c r="N103">
        <v>2272056</v>
      </c>
      <c r="O103">
        <v>1565011</v>
      </c>
      <c r="P103">
        <f t="shared" si="9"/>
        <v>276.06473804903862</v>
      </c>
      <c r="Q103">
        <f t="shared" si="10"/>
        <v>1</v>
      </c>
      <c r="R103" s="5">
        <f t="shared" si="11"/>
        <v>145283.20212765958</v>
      </c>
      <c r="S103" s="4">
        <f t="shared" si="12"/>
        <v>1973536.8277561383</v>
      </c>
      <c r="T103">
        <f t="shared" si="13"/>
        <v>0</v>
      </c>
      <c r="U103" s="5">
        <f t="shared" si="14"/>
        <v>1565013.4993697079</v>
      </c>
      <c r="V103" s="5">
        <f t="shared" si="15"/>
        <v>276.06517893274088</v>
      </c>
      <c r="W103">
        <f t="shared" si="16"/>
        <v>0</v>
      </c>
      <c r="X103" s="5">
        <f t="shared" si="17"/>
        <v>0</v>
      </c>
    </row>
    <row r="104" spans="1:24" x14ac:dyDescent="0.55000000000000004">
      <c r="A104" t="s">
        <v>184</v>
      </c>
      <c r="B104">
        <v>17247</v>
      </c>
      <c r="C104">
        <v>680357</v>
      </c>
      <c r="D104">
        <v>17365601</v>
      </c>
      <c r="E104">
        <v>15364538</v>
      </c>
      <c r="F104">
        <v>11266783</v>
      </c>
      <c r="G104">
        <v>4097756</v>
      </c>
      <c r="H104">
        <v>-2001063</v>
      </c>
      <c r="I104">
        <v>-2898848</v>
      </c>
      <c r="J104">
        <v>-1455266</v>
      </c>
      <c r="K104">
        <v>370949</v>
      </c>
      <c r="L104">
        <v>-977935</v>
      </c>
      <c r="M104">
        <v>-2837918</v>
      </c>
      <c r="N104">
        <v>-1818045</v>
      </c>
      <c r="O104">
        <v>442003</v>
      </c>
      <c r="P104">
        <f t="shared" si="9"/>
        <v>25.627819330898127</v>
      </c>
      <c r="Q104">
        <f t="shared" si="10"/>
        <v>0</v>
      </c>
      <c r="R104" s="5">
        <f t="shared" si="11"/>
        <v>442000.24468085112</v>
      </c>
      <c r="S104" s="4">
        <f t="shared" si="12"/>
        <v>0</v>
      </c>
      <c r="T104">
        <f t="shared" si="13"/>
        <v>1</v>
      </c>
      <c r="U104" s="5">
        <f t="shared" si="14"/>
        <v>442000.24468085112</v>
      </c>
      <c r="V104" s="5">
        <f t="shared" si="15"/>
        <v>25.627659574468087</v>
      </c>
      <c r="W104">
        <f t="shared" si="16"/>
        <v>0</v>
      </c>
      <c r="X104" s="5">
        <f t="shared" si="17"/>
        <v>0</v>
      </c>
    </row>
    <row r="105" spans="1:24" x14ac:dyDescent="0.55000000000000004">
      <c r="A105" t="s">
        <v>185</v>
      </c>
      <c r="B105">
        <v>973</v>
      </c>
      <c r="C105">
        <v>1495004</v>
      </c>
      <c r="D105">
        <v>1656280</v>
      </c>
      <c r="E105">
        <v>3318902</v>
      </c>
      <c r="F105">
        <v>2325216</v>
      </c>
      <c r="G105">
        <v>993686</v>
      </c>
      <c r="H105">
        <v>1662622</v>
      </c>
      <c r="I105">
        <v>2038993</v>
      </c>
      <c r="J105">
        <v>2342098</v>
      </c>
      <c r="K105">
        <v>2576448</v>
      </c>
      <c r="L105">
        <v>2547423</v>
      </c>
      <c r="M105">
        <v>2310493</v>
      </c>
      <c r="N105">
        <v>2309751</v>
      </c>
      <c r="O105">
        <v>1590976</v>
      </c>
      <c r="P105">
        <f t="shared" si="9"/>
        <v>1635.1243576567317</v>
      </c>
      <c r="Q105">
        <f t="shared" si="10"/>
        <v>1</v>
      </c>
      <c r="R105" s="5">
        <f t="shared" si="11"/>
        <v>24935.712765957447</v>
      </c>
      <c r="S105" s="4">
        <f t="shared" si="12"/>
        <v>2006279.1856567652</v>
      </c>
      <c r="T105">
        <f t="shared" si="13"/>
        <v>0</v>
      </c>
      <c r="U105" s="5">
        <f t="shared" si="14"/>
        <v>1590978.1691924327</v>
      </c>
      <c r="V105" s="5">
        <f t="shared" si="15"/>
        <v>1635.1265870425823</v>
      </c>
      <c r="W105">
        <f t="shared" si="16"/>
        <v>0</v>
      </c>
      <c r="X105" s="5">
        <f t="shared" si="17"/>
        <v>0</v>
      </c>
    </row>
    <row r="106" spans="1:24" x14ac:dyDescent="0.55000000000000004">
      <c r="A106" t="s">
        <v>186</v>
      </c>
      <c r="B106">
        <v>2277</v>
      </c>
      <c r="C106">
        <v>1475790</v>
      </c>
      <c r="D106">
        <v>4348543</v>
      </c>
      <c r="E106">
        <v>5789240</v>
      </c>
      <c r="F106">
        <v>3478248</v>
      </c>
      <c r="G106">
        <v>2310992</v>
      </c>
      <c r="H106">
        <v>1440697</v>
      </c>
      <c r="I106">
        <v>1483630</v>
      </c>
      <c r="J106">
        <v>1998034</v>
      </c>
      <c r="K106">
        <v>2383955</v>
      </c>
      <c r="L106">
        <v>2544495</v>
      </c>
      <c r="M106">
        <v>2394037</v>
      </c>
      <c r="N106">
        <v>2064914</v>
      </c>
      <c r="O106">
        <v>1422330</v>
      </c>
      <c r="P106">
        <f t="shared" si="9"/>
        <v>624.65085638998687</v>
      </c>
      <c r="Q106">
        <f t="shared" si="10"/>
        <v>1</v>
      </c>
      <c r="R106" s="5">
        <f t="shared" si="11"/>
        <v>58354.180851063837</v>
      </c>
      <c r="S106" s="4">
        <f t="shared" si="12"/>
        <v>1793610.6439054485</v>
      </c>
      <c r="T106">
        <f t="shared" si="13"/>
        <v>0</v>
      </c>
      <c r="U106" s="5">
        <f t="shared" si="14"/>
        <v>1422332.1454389771</v>
      </c>
      <c r="V106" s="5">
        <f t="shared" si="15"/>
        <v>624.65179861175977</v>
      </c>
      <c r="W106">
        <f t="shared" si="16"/>
        <v>0</v>
      </c>
      <c r="X106" s="5">
        <f t="shared" si="17"/>
        <v>0</v>
      </c>
    </row>
    <row r="107" spans="1:24" x14ac:dyDescent="0.55000000000000004">
      <c r="A107" t="s">
        <v>187</v>
      </c>
      <c r="B107">
        <v>148822</v>
      </c>
      <c r="C107">
        <v>3639715</v>
      </c>
      <c r="D107">
        <v>79815616</v>
      </c>
      <c r="E107">
        <v>89613956</v>
      </c>
      <c r="F107">
        <v>85501066</v>
      </c>
      <c r="G107">
        <v>4112891</v>
      </c>
      <c r="H107">
        <v>9798340</v>
      </c>
      <c r="I107">
        <v>6214419</v>
      </c>
      <c r="J107">
        <v>3621316</v>
      </c>
      <c r="K107">
        <v>1861562</v>
      </c>
      <c r="L107">
        <v>636704</v>
      </c>
      <c r="M107">
        <v>1953268</v>
      </c>
      <c r="N107">
        <v>3412641</v>
      </c>
      <c r="O107">
        <v>3813981</v>
      </c>
      <c r="P107">
        <f t="shared" si="9"/>
        <v>25.627803684939053</v>
      </c>
      <c r="Q107">
        <f t="shared" si="10"/>
        <v>1</v>
      </c>
      <c r="R107" s="5">
        <f t="shared" si="11"/>
        <v>3813959.5531914895</v>
      </c>
      <c r="S107" s="4">
        <f t="shared" si="12"/>
        <v>2964263.5099709406</v>
      </c>
      <c r="T107">
        <f t="shared" si="13"/>
        <v>1</v>
      </c>
      <c r="U107" s="5">
        <f t="shared" si="14"/>
        <v>3813959.5531914895</v>
      </c>
      <c r="V107" s="5">
        <f t="shared" si="15"/>
        <v>25.627659574468087</v>
      </c>
      <c r="W107">
        <f t="shared" si="16"/>
        <v>0</v>
      </c>
      <c r="X107" s="5">
        <f t="shared" si="17"/>
        <v>0</v>
      </c>
    </row>
    <row r="108" spans="1:24" x14ac:dyDescent="0.55000000000000004">
      <c r="A108" t="s">
        <v>188</v>
      </c>
      <c r="B108">
        <v>116</v>
      </c>
      <c r="C108">
        <v>1892961</v>
      </c>
      <c r="D108">
        <v>1307326</v>
      </c>
      <c r="E108">
        <v>3487083</v>
      </c>
      <c r="F108">
        <v>1683973</v>
      </c>
      <c r="G108">
        <v>1803110</v>
      </c>
      <c r="H108">
        <v>2179758</v>
      </c>
      <c r="I108">
        <v>2793146</v>
      </c>
      <c r="J108">
        <v>3007639</v>
      </c>
      <c r="K108">
        <v>3182542</v>
      </c>
      <c r="L108">
        <v>3217616</v>
      </c>
      <c r="M108">
        <v>2908362</v>
      </c>
      <c r="N108">
        <v>2972922</v>
      </c>
      <c r="O108">
        <v>2047774</v>
      </c>
      <c r="P108">
        <f t="shared" si="9"/>
        <v>17653.224137931036</v>
      </c>
      <c r="Q108">
        <f t="shared" si="10"/>
        <v>1</v>
      </c>
      <c r="R108" s="5">
        <f t="shared" si="11"/>
        <v>2972.8085106382982</v>
      </c>
      <c r="S108" s="4">
        <f t="shared" si="12"/>
        <v>2582317.9767780518</v>
      </c>
      <c r="T108">
        <f t="shared" si="13"/>
        <v>0</v>
      </c>
      <c r="U108" s="5">
        <f t="shared" si="14"/>
        <v>2047776.5788225245</v>
      </c>
      <c r="V108" s="5">
        <f t="shared" si="15"/>
        <v>17653.246369159693</v>
      </c>
      <c r="W108">
        <f t="shared" si="16"/>
        <v>0</v>
      </c>
      <c r="X108" s="5">
        <f t="shared" si="17"/>
        <v>0.02</v>
      </c>
    </row>
    <row r="109" spans="1:24" x14ac:dyDescent="0.55000000000000004">
      <c r="A109" t="s">
        <v>189</v>
      </c>
      <c r="B109">
        <v>36739</v>
      </c>
      <c r="C109">
        <v>1702547</v>
      </c>
      <c r="D109">
        <v>18795602</v>
      </c>
      <c r="E109">
        <v>22913546</v>
      </c>
      <c r="F109">
        <v>20950648</v>
      </c>
      <c r="G109">
        <v>1962898</v>
      </c>
      <c r="H109">
        <v>4117944</v>
      </c>
      <c r="I109">
        <v>2686498</v>
      </c>
      <c r="J109">
        <v>2473809</v>
      </c>
      <c r="K109">
        <v>2829022</v>
      </c>
      <c r="L109">
        <v>2993165</v>
      </c>
      <c r="M109">
        <v>2235208</v>
      </c>
      <c r="N109">
        <v>2745624</v>
      </c>
      <c r="O109">
        <v>1891208</v>
      </c>
      <c r="P109">
        <f t="shared" si="9"/>
        <v>51.476850213669401</v>
      </c>
      <c r="Q109">
        <f t="shared" si="10"/>
        <v>1</v>
      </c>
      <c r="R109" s="5">
        <f t="shared" si="11"/>
        <v>941534.58510638308</v>
      </c>
      <c r="S109" s="4">
        <f t="shared" si="12"/>
        <v>2384884.0341836284</v>
      </c>
      <c r="T109">
        <f t="shared" si="13"/>
        <v>0</v>
      </c>
      <c r="U109" s="5">
        <f t="shared" si="14"/>
        <v>1891211.5828982447</v>
      </c>
      <c r="V109" s="5">
        <f t="shared" si="15"/>
        <v>51.476947736689752</v>
      </c>
      <c r="W109">
        <f t="shared" si="16"/>
        <v>0</v>
      </c>
      <c r="X109" s="5">
        <f t="shared" si="17"/>
        <v>0</v>
      </c>
    </row>
    <row r="110" spans="1:24" x14ac:dyDescent="0.55000000000000004">
      <c r="A110" t="s">
        <v>190</v>
      </c>
      <c r="B110">
        <v>1129</v>
      </c>
      <c r="C110">
        <v>1700790</v>
      </c>
      <c r="D110">
        <v>1202795</v>
      </c>
      <c r="E110">
        <v>3647742</v>
      </c>
      <c r="F110">
        <v>1981041</v>
      </c>
      <c r="G110">
        <v>1666701</v>
      </c>
      <c r="H110">
        <v>2444947</v>
      </c>
      <c r="I110">
        <v>2405947</v>
      </c>
      <c r="J110">
        <v>2655868</v>
      </c>
      <c r="K110">
        <v>2994719</v>
      </c>
      <c r="L110">
        <v>2786781</v>
      </c>
      <c r="M110">
        <v>2584367</v>
      </c>
      <c r="N110">
        <v>2617991</v>
      </c>
      <c r="O110">
        <v>1803294</v>
      </c>
      <c r="P110">
        <f t="shared" si="9"/>
        <v>1597.2488928255093</v>
      </c>
      <c r="Q110">
        <f t="shared" si="10"/>
        <v>1</v>
      </c>
      <c r="R110" s="5">
        <f t="shared" si="11"/>
        <v>28933.627659574471</v>
      </c>
      <c r="S110" s="4">
        <f t="shared" si="12"/>
        <v>2274020.3820830644</v>
      </c>
      <c r="T110">
        <f t="shared" si="13"/>
        <v>0</v>
      </c>
      <c r="U110" s="5">
        <f t="shared" si="14"/>
        <v>1803296.7744758055</v>
      </c>
      <c r="V110" s="5">
        <f t="shared" si="15"/>
        <v>1597.2513502885788</v>
      </c>
      <c r="W110">
        <f t="shared" si="16"/>
        <v>0</v>
      </c>
      <c r="X110" s="5">
        <f t="shared" si="17"/>
        <v>0</v>
      </c>
    </row>
    <row r="111" spans="1:24" x14ac:dyDescent="0.55000000000000004">
      <c r="A111" t="s">
        <v>191</v>
      </c>
      <c r="B111">
        <v>46701</v>
      </c>
      <c r="C111">
        <v>1127766</v>
      </c>
      <c r="D111">
        <v>33383218</v>
      </c>
      <c r="E111">
        <v>26587188</v>
      </c>
      <c r="F111">
        <v>26328679</v>
      </c>
      <c r="G111">
        <v>258509</v>
      </c>
      <c r="H111">
        <v>-6796030</v>
      </c>
      <c r="I111">
        <v>-7046592</v>
      </c>
      <c r="J111">
        <v>-8177179</v>
      </c>
      <c r="K111">
        <v>-8262785</v>
      </c>
      <c r="L111">
        <v>-8417685</v>
      </c>
      <c r="M111">
        <v>-7343337</v>
      </c>
      <c r="N111">
        <v>-7707473</v>
      </c>
      <c r="O111">
        <v>1196844</v>
      </c>
      <c r="P111">
        <f t="shared" si="9"/>
        <v>25.627802402518146</v>
      </c>
      <c r="Q111">
        <f t="shared" si="10"/>
        <v>0</v>
      </c>
      <c r="R111" s="5">
        <f t="shared" si="11"/>
        <v>1196837.3297872341</v>
      </c>
      <c r="S111" s="4">
        <f t="shared" si="12"/>
        <v>0</v>
      </c>
      <c r="T111">
        <f t="shared" si="13"/>
        <v>1</v>
      </c>
      <c r="U111" s="5">
        <f t="shared" si="14"/>
        <v>1196837.3297872341</v>
      </c>
      <c r="V111" s="5">
        <f t="shared" si="15"/>
        <v>25.627659574468087</v>
      </c>
      <c r="W111">
        <f t="shared" si="16"/>
        <v>0</v>
      </c>
      <c r="X111" s="5">
        <f t="shared" si="17"/>
        <v>0</v>
      </c>
    </row>
    <row r="112" spans="1:24" x14ac:dyDescent="0.55000000000000004">
      <c r="A112" t="s">
        <v>192</v>
      </c>
      <c r="B112">
        <v>243871</v>
      </c>
      <c r="C112">
        <v>5871734</v>
      </c>
      <c r="D112">
        <v>165132344</v>
      </c>
      <c r="E112">
        <v>140307539</v>
      </c>
      <c r="F112">
        <v>138239739</v>
      </c>
      <c r="G112">
        <v>2067800</v>
      </c>
      <c r="H112">
        <v>-24824805</v>
      </c>
      <c r="I112">
        <v>-24714684</v>
      </c>
      <c r="J112">
        <v>-33482116</v>
      </c>
      <c r="K112">
        <v>-34497098</v>
      </c>
      <c r="L112">
        <v>-35817965</v>
      </c>
      <c r="M112">
        <v>-32470141</v>
      </c>
      <c r="N112">
        <v>-31318540</v>
      </c>
      <c r="O112">
        <v>6249878</v>
      </c>
      <c r="P112">
        <f t="shared" si="9"/>
        <v>25.627803223835553</v>
      </c>
      <c r="Q112">
        <f t="shared" si="10"/>
        <v>0</v>
      </c>
      <c r="R112" s="5">
        <f t="shared" si="11"/>
        <v>6249842.9680851065</v>
      </c>
      <c r="S112" s="4">
        <f t="shared" si="12"/>
        <v>0</v>
      </c>
      <c r="T112">
        <f t="shared" si="13"/>
        <v>1</v>
      </c>
      <c r="U112" s="5">
        <f t="shared" si="14"/>
        <v>6249842.9680851065</v>
      </c>
      <c r="V112" s="5">
        <f t="shared" si="15"/>
        <v>25.627659574468087</v>
      </c>
      <c r="W112">
        <f t="shared" si="16"/>
        <v>0</v>
      </c>
      <c r="X112" s="5">
        <f t="shared" si="17"/>
        <v>0</v>
      </c>
    </row>
    <row r="113" spans="1:24" x14ac:dyDescent="0.55000000000000004">
      <c r="A113" t="s">
        <v>193</v>
      </c>
      <c r="B113">
        <v>18870</v>
      </c>
      <c r="C113">
        <v>447317</v>
      </c>
      <c r="D113">
        <v>19043532</v>
      </c>
      <c r="E113">
        <v>11092345</v>
      </c>
      <c r="F113">
        <v>10926590</v>
      </c>
      <c r="G113">
        <v>165755</v>
      </c>
      <c r="H113">
        <v>-7951187</v>
      </c>
      <c r="I113">
        <v>-8125431</v>
      </c>
      <c r="J113">
        <v>-8635210</v>
      </c>
      <c r="K113">
        <v>-8504185</v>
      </c>
      <c r="L113">
        <v>-8332337</v>
      </c>
      <c r="M113">
        <v>-8251984</v>
      </c>
      <c r="N113">
        <v>-8303484</v>
      </c>
      <c r="O113">
        <v>483597</v>
      </c>
      <c r="P113">
        <f t="shared" si="9"/>
        <v>25.627821939586646</v>
      </c>
      <c r="Q113">
        <f t="shared" si="10"/>
        <v>0</v>
      </c>
      <c r="R113" s="5">
        <f t="shared" si="11"/>
        <v>483593.93617021281</v>
      </c>
      <c r="S113" s="4">
        <f t="shared" si="12"/>
        <v>0</v>
      </c>
      <c r="T113">
        <f t="shared" si="13"/>
        <v>1</v>
      </c>
      <c r="U113" s="5">
        <f t="shared" si="14"/>
        <v>483593.93617021281</v>
      </c>
      <c r="V113" s="5">
        <f t="shared" si="15"/>
        <v>25.627659574468087</v>
      </c>
      <c r="W113">
        <f t="shared" si="16"/>
        <v>0</v>
      </c>
      <c r="X113" s="5">
        <f t="shared" si="17"/>
        <v>0</v>
      </c>
    </row>
    <row r="114" spans="1:24" x14ac:dyDescent="0.55000000000000004">
      <c r="A114" t="s">
        <v>194</v>
      </c>
      <c r="B114">
        <v>171588</v>
      </c>
      <c r="C114">
        <v>4075546</v>
      </c>
      <c r="D114">
        <v>115553739</v>
      </c>
      <c r="E114">
        <v>107259128</v>
      </c>
      <c r="F114">
        <v>96979987</v>
      </c>
      <c r="G114">
        <v>10279140</v>
      </c>
      <c r="H114">
        <v>-8294612</v>
      </c>
      <c r="I114">
        <v>-9307883</v>
      </c>
      <c r="J114">
        <v>-11301153</v>
      </c>
      <c r="K114">
        <v>-10982668</v>
      </c>
      <c r="L114">
        <v>-12154547</v>
      </c>
      <c r="M114">
        <v>-12555434</v>
      </c>
      <c r="N114">
        <v>-10936563</v>
      </c>
      <c r="O114">
        <v>4397423</v>
      </c>
      <c r="P114">
        <f t="shared" si="9"/>
        <v>25.627800312376156</v>
      </c>
      <c r="Q114">
        <f t="shared" si="10"/>
        <v>0</v>
      </c>
      <c r="R114" s="5">
        <f t="shared" si="11"/>
        <v>4397398.8510638298</v>
      </c>
      <c r="S114" s="4">
        <f t="shared" si="12"/>
        <v>0</v>
      </c>
      <c r="T114">
        <f t="shared" si="13"/>
        <v>1</v>
      </c>
      <c r="U114" s="5">
        <f t="shared" si="14"/>
        <v>4397398.8510638298</v>
      </c>
      <c r="V114" s="5">
        <f t="shared" si="15"/>
        <v>25.627659574468087</v>
      </c>
      <c r="W114">
        <f t="shared" si="16"/>
        <v>0</v>
      </c>
      <c r="X114" s="5">
        <f t="shared" si="17"/>
        <v>0</v>
      </c>
    </row>
    <row r="115" spans="1:24" x14ac:dyDescent="0.55000000000000004">
      <c r="A115" t="s">
        <v>195</v>
      </c>
      <c r="B115">
        <v>404</v>
      </c>
      <c r="C115">
        <v>941711</v>
      </c>
      <c r="D115">
        <v>740927</v>
      </c>
      <c r="E115">
        <v>1894739</v>
      </c>
      <c r="F115">
        <v>815261</v>
      </c>
      <c r="G115">
        <v>1079478</v>
      </c>
      <c r="H115">
        <v>1153812</v>
      </c>
      <c r="I115">
        <v>1285293</v>
      </c>
      <c r="J115">
        <v>1418086</v>
      </c>
      <c r="K115">
        <v>1589591</v>
      </c>
      <c r="L115">
        <v>1622714</v>
      </c>
      <c r="M115">
        <v>1502787</v>
      </c>
      <c r="N115">
        <v>1448939</v>
      </c>
      <c r="O115">
        <v>998041</v>
      </c>
      <c r="P115">
        <f t="shared" si="9"/>
        <v>2470.3985148514853</v>
      </c>
      <c r="Q115">
        <f t="shared" si="10"/>
        <v>1</v>
      </c>
      <c r="R115" s="5">
        <f t="shared" si="11"/>
        <v>10353.574468085108</v>
      </c>
      <c r="S115" s="4">
        <f t="shared" si="12"/>
        <v>1258566.9004954768</v>
      </c>
      <c r="T115">
        <f t="shared" si="13"/>
        <v>0</v>
      </c>
      <c r="U115" s="5">
        <f t="shared" si="14"/>
        <v>998042.78361239552</v>
      </c>
      <c r="V115" s="5">
        <f t="shared" si="15"/>
        <v>2470.4029297336524</v>
      </c>
      <c r="W115">
        <f t="shared" si="16"/>
        <v>0</v>
      </c>
      <c r="X115" s="5">
        <f t="shared" si="17"/>
        <v>0</v>
      </c>
    </row>
    <row r="116" spans="1:24" x14ac:dyDescent="0.55000000000000004">
      <c r="A116" t="s">
        <v>196</v>
      </c>
      <c r="B116">
        <v>593</v>
      </c>
      <c r="C116">
        <v>973709</v>
      </c>
      <c r="D116">
        <v>1528525</v>
      </c>
      <c r="E116">
        <v>2838211</v>
      </c>
      <c r="F116">
        <v>1619646</v>
      </c>
      <c r="G116">
        <v>1218565</v>
      </c>
      <c r="H116">
        <v>1309686</v>
      </c>
      <c r="I116">
        <v>1013275</v>
      </c>
      <c r="J116">
        <v>1315562</v>
      </c>
      <c r="K116">
        <v>1504480</v>
      </c>
      <c r="L116">
        <v>1565387</v>
      </c>
      <c r="M116">
        <v>1516709</v>
      </c>
      <c r="N116">
        <v>1411609</v>
      </c>
      <c r="O116">
        <v>972328</v>
      </c>
      <c r="P116">
        <f t="shared" si="9"/>
        <v>1639.6762225969646</v>
      </c>
      <c r="Q116">
        <f t="shared" si="10"/>
        <v>1</v>
      </c>
      <c r="R116" s="5">
        <f t="shared" si="11"/>
        <v>15197.202127659575</v>
      </c>
      <c r="S116" s="4">
        <f t="shared" si="12"/>
        <v>1226141.5862514016</v>
      </c>
      <c r="T116">
        <f t="shared" si="13"/>
        <v>0</v>
      </c>
      <c r="U116" s="5">
        <f t="shared" si="14"/>
        <v>972329.52921572956</v>
      </c>
      <c r="V116" s="5">
        <f t="shared" si="15"/>
        <v>1639.6788013755979</v>
      </c>
      <c r="W116">
        <f t="shared" si="16"/>
        <v>0</v>
      </c>
      <c r="X116" s="5">
        <f t="shared" si="17"/>
        <v>0</v>
      </c>
    </row>
    <row r="117" spans="1:24" x14ac:dyDescent="0.55000000000000004">
      <c r="A117" t="s">
        <v>197</v>
      </c>
      <c r="B117">
        <v>4954</v>
      </c>
      <c r="C117">
        <v>1001598</v>
      </c>
      <c r="D117">
        <v>3995678</v>
      </c>
      <c r="E117">
        <v>5556914</v>
      </c>
      <c r="F117">
        <v>4537538</v>
      </c>
      <c r="G117">
        <v>1019376</v>
      </c>
      <c r="H117">
        <v>1561236</v>
      </c>
      <c r="I117">
        <v>1363642</v>
      </c>
      <c r="J117">
        <v>1417692</v>
      </c>
      <c r="K117">
        <v>1698641</v>
      </c>
      <c r="L117">
        <v>1677925</v>
      </c>
      <c r="M117">
        <v>1453773</v>
      </c>
      <c r="N117">
        <v>1527656</v>
      </c>
      <c r="O117">
        <v>1052262</v>
      </c>
      <c r="P117">
        <f t="shared" si="9"/>
        <v>212.40654016955995</v>
      </c>
      <c r="Q117">
        <f t="shared" si="10"/>
        <v>1</v>
      </c>
      <c r="R117" s="5">
        <f t="shared" si="11"/>
        <v>126959.42553191491</v>
      </c>
      <c r="S117" s="4">
        <f t="shared" si="12"/>
        <v>1326941.4909415222</v>
      </c>
      <c r="T117">
        <f t="shared" si="13"/>
        <v>0</v>
      </c>
      <c r="U117" s="5">
        <f t="shared" si="14"/>
        <v>1052263.792086608</v>
      </c>
      <c r="V117" s="5">
        <f t="shared" si="15"/>
        <v>212.40690191493903</v>
      </c>
      <c r="W117">
        <f t="shared" si="16"/>
        <v>0</v>
      </c>
      <c r="X117" s="5">
        <f t="shared" si="17"/>
        <v>0</v>
      </c>
    </row>
    <row r="118" spans="1:24" x14ac:dyDescent="0.55000000000000004">
      <c r="A118" t="s">
        <v>198</v>
      </c>
      <c r="B118">
        <v>303</v>
      </c>
      <c r="C118">
        <v>1606174</v>
      </c>
      <c r="D118">
        <v>866237</v>
      </c>
      <c r="E118">
        <v>3223020</v>
      </c>
      <c r="F118">
        <v>1543695</v>
      </c>
      <c r="G118">
        <v>1679325</v>
      </c>
      <c r="H118">
        <v>2356782</v>
      </c>
      <c r="I118">
        <v>2203847</v>
      </c>
      <c r="J118">
        <v>2607963</v>
      </c>
      <c r="K118">
        <v>2856734</v>
      </c>
      <c r="L118">
        <v>2763468</v>
      </c>
      <c r="M118">
        <v>2539350</v>
      </c>
      <c r="N118">
        <v>2566891</v>
      </c>
      <c r="O118">
        <v>1768096</v>
      </c>
      <c r="P118">
        <f t="shared" si="9"/>
        <v>5835.3003300330029</v>
      </c>
      <c r="Q118">
        <f t="shared" si="10"/>
        <v>1</v>
      </c>
      <c r="R118" s="5">
        <f t="shared" si="11"/>
        <v>7765.1808510638302</v>
      </c>
      <c r="S118" s="4">
        <f t="shared" si="12"/>
        <v>2229634.2701657801</v>
      </c>
      <c r="T118">
        <f t="shared" si="13"/>
        <v>0</v>
      </c>
      <c r="U118" s="5">
        <f t="shared" si="14"/>
        <v>1768098.6148275433</v>
      </c>
      <c r="V118" s="5">
        <f t="shared" si="15"/>
        <v>5835.3089598268753</v>
      </c>
      <c r="W118">
        <f t="shared" si="16"/>
        <v>0</v>
      </c>
      <c r="X118" s="5">
        <f t="shared" si="17"/>
        <v>0.01</v>
      </c>
    </row>
    <row r="119" spans="1:24" x14ac:dyDescent="0.55000000000000004">
      <c r="A119" t="s">
        <v>199</v>
      </c>
      <c r="B119">
        <v>201</v>
      </c>
      <c r="C119">
        <v>3693161</v>
      </c>
      <c r="D119">
        <v>1157543</v>
      </c>
      <c r="E119">
        <v>7608711</v>
      </c>
      <c r="F119">
        <v>4710239</v>
      </c>
      <c r="G119">
        <v>2898472</v>
      </c>
      <c r="H119">
        <v>6451169</v>
      </c>
      <c r="I119">
        <v>5717305</v>
      </c>
      <c r="J119">
        <v>6140623</v>
      </c>
      <c r="K119">
        <v>6412178</v>
      </c>
      <c r="L119">
        <v>6432274</v>
      </c>
      <c r="M119">
        <v>5904722</v>
      </c>
      <c r="N119">
        <v>6222449</v>
      </c>
      <c r="O119">
        <v>4286074</v>
      </c>
      <c r="P119">
        <f t="shared" si="9"/>
        <v>21323.751243781095</v>
      </c>
      <c r="Q119">
        <f t="shared" si="10"/>
        <v>1</v>
      </c>
      <c r="R119" s="5">
        <f t="shared" si="11"/>
        <v>5151.1595744680853</v>
      </c>
      <c r="S119" s="4">
        <f t="shared" si="12"/>
        <v>5404898.5853932975</v>
      </c>
      <c r="T119">
        <f t="shared" si="13"/>
        <v>0</v>
      </c>
      <c r="U119" s="5">
        <f t="shared" si="14"/>
        <v>4286081.2779876636</v>
      </c>
      <c r="V119" s="5">
        <f t="shared" si="15"/>
        <v>21323.787452674944</v>
      </c>
      <c r="W119">
        <f t="shared" si="16"/>
        <v>0</v>
      </c>
      <c r="X119" s="5">
        <f t="shared" si="17"/>
        <v>0.04</v>
      </c>
    </row>
    <row r="120" spans="1:24" x14ac:dyDescent="0.55000000000000004">
      <c r="A120" t="s">
        <v>200</v>
      </c>
      <c r="B120">
        <v>40782</v>
      </c>
      <c r="C120">
        <v>970372</v>
      </c>
      <c r="D120">
        <v>30508351</v>
      </c>
      <c r="E120">
        <v>23699271</v>
      </c>
      <c r="F120">
        <v>23379841</v>
      </c>
      <c r="G120">
        <v>319430</v>
      </c>
      <c r="H120">
        <v>-6809081</v>
      </c>
      <c r="I120">
        <v>-7490705</v>
      </c>
      <c r="J120">
        <v>-8597371</v>
      </c>
      <c r="K120">
        <v>-8732594</v>
      </c>
      <c r="L120">
        <v>-9038082</v>
      </c>
      <c r="M120">
        <v>-7896791</v>
      </c>
      <c r="N120">
        <v>-8179365</v>
      </c>
      <c r="O120">
        <v>1045153</v>
      </c>
      <c r="P120">
        <f t="shared" si="9"/>
        <v>25.627801481045559</v>
      </c>
      <c r="Q120">
        <f t="shared" si="10"/>
        <v>0</v>
      </c>
      <c r="R120" s="5">
        <f t="shared" si="11"/>
        <v>1045147.2127659575</v>
      </c>
      <c r="S120" s="4">
        <f t="shared" si="12"/>
        <v>0</v>
      </c>
      <c r="T120">
        <f t="shared" si="13"/>
        <v>1</v>
      </c>
      <c r="U120" s="5">
        <f t="shared" si="14"/>
        <v>1045147.2127659575</v>
      </c>
      <c r="V120" s="5">
        <f t="shared" si="15"/>
        <v>25.627659574468087</v>
      </c>
      <c r="W120">
        <f t="shared" si="16"/>
        <v>0</v>
      </c>
      <c r="X120" s="5">
        <f t="shared" si="17"/>
        <v>0</v>
      </c>
    </row>
    <row r="121" spans="1:24" x14ac:dyDescent="0.55000000000000004">
      <c r="A121" t="s">
        <v>201</v>
      </c>
      <c r="B121">
        <v>824</v>
      </c>
      <c r="C121">
        <v>751422</v>
      </c>
      <c r="D121">
        <v>2040762</v>
      </c>
      <c r="E121">
        <v>3057084</v>
      </c>
      <c r="F121">
        <v>2319023</v>
      </c>
      <c r="G121">
        <v>738061</v>
      </c>
      <c r="H121">
        <v>1016322</v>
      </c>
      <c r="I121">
        <v>868198</v>
      </c>
      <c r="J121">
        <v>1149208</v>
      </c>
      <c r="K121">
        <v>1154813</v>
      </c>
      <c r="L121">
        <v>1235680</v>
      </c>
      <c r="M121">
        <v>1181917</v>
      </c>
      <c r="N121">
        <v>1125565</v>
      </c>
      <c r="O121">
        <v>775298</v>
      </c>
      <c r="P121">
        <f t="shared" si="9"/>
        <v>940.89563106796118</v>
      </c>
      <c r="Q121">
        <f t="shared" si="10"/>
        <v>1</v>
      </c>
      <c r="R121" s="5">
        <f t="shared" si="11"/>
        <v>21117.191489361703</v>
      </c>
      <c r="S121" s="4">
        <f t="shared" si="12"/>
        <v>977680.11859449651</v>
      </c>
      <c r="T121">
        <f t="shared" si="13"/>
        <v>0</v>
      </c>
      <c r="U121" s="5">
        <f t="shared" si="14"/>
        <v>775299.73707429098</v>
      </c>
      <c r="V121" s="5">
        <f t="shared" si="15"/>
        <v>940.89773916782883</v>
      </c>
      <c r="W121">
        <f t="shared" si="16"/>
        <v>0</v>
      </c>
      <c r="X121" s="5">
        <f t="shared" si="17"/>
        <v>0</v>
      </c>
    </row>
    <row r="122" spans="1:24" x14ac:dyDescent="0.55000000000000004">
      <c r="A122" t="s">
        <v>202</v>
      </c>
      <c r="B122">
        <v>40125</v>
      </c>
      <c r="C122">
        <v>956850</v>
      </c>
      <c r="D122">
        <v>31195541</v>
      </c>
      <c r="E122">
        <v>23851358</v>
      </c>
      <c r="F122">
        <v>23499723</v>
      </c>
      <c r="G122">
        <v>351634</v>
      </c>
      <c r="H122">
        <v>-7344184</v>
      </c>
      <c r="I122">
        <v>-7744303</v>
      </c>
      <c r="J122">
        <v>-8620500</v>
      </c>
      <c r="K122">
        <v>-8720421</v>
      </c>
      <c r="L122">
        <v>-8891390</v>
      </c>
      <c r="M122">
        <v>-8031236</v>
      </c>
      <c r="N122">
        <v>-8279115</v>
      </c>
      <c r="O122">
        <v>1028316</v>
      </c>
      <c r="P122">
        <f t="shared" si="9"/>
        <v>25.627813084112148</v>
      </c>
      <c r="Q122">
        <f t="shared" si="10"/>
        <v>0</v>
      </c>
      <c r="R122" s="5">
        <f t="shared" si="11"/>
        <v>1028309.840425532</v>
      </c>
      <c r="S122" s="4">
        <f t="shared" si="12"/>
        <v>0</v>
      </c>
      <c r="T122">
        <f t="shared" si="13"/>
        <v>1</v>
      </c>
      <c r="U122" s="5">
        <f t="shared" si="14"/>
        <v>1028309.840425532</v>
      </c>
      <c r="V122" s="5">
        <f t="shared" si="15"/>
        <v>25.627659574468087</v>
      </c>
      <c r="W122">
        <f t="shared" si="16"/>
        <v>0</v>
      </c>
      <c r="X122" s="5">
        <f t="shared" si="17"/>
        <v>0</v>
      </c>
    </row>
    <row r="123" spans="1:24" x14ac:dyDescent="0.55000000000000004">
      <c r="A123" t="s">
        <v>203</v>
      </c>
      <c r="B123">
        <v>1816</v>
      </c>
      <c r="C123">
        <v>1178132</v>
      </c>
      <c r="D123">
        <v>2233695</v>
      </c>
      <c r="E123">
        <v>3881567</v>
      </c>
      <c r="F123">
        <v>2692222</v>
      </c>
      <c r="G123">
        <v>1189346</v>
      </c>
      <c r="H123">
        <v>1647872</v>
      </c>
      <c r="I123">
        <v>1561978</v>
      </c>
      <c r="J123">
        <v>1816247</v>
      </c>
      <c r="K123">
        <v>2035156</v>
      </c>
      <c r="L123">
        <v>2033334</v>
      </c>
      <c r="M123">
        <v>1844486</v>
      </c>
      <c r="N123">
        <v>1835485</v>
      </c>
      <c r="O123">
        <v>1264297</v>
      </c>
      <c r="P123">
        <f t="shared" si="9"/>
        <v>696.19878854625551</v>
      </c>
      <c r="Q123">
        <f t="shared" si="10"/>
        <v>1</v>
      </c>
      <c r="R123" s="5">
        <f t="shared" si="11"/>
        <v>46539.829787234048</v>
      </c>
      <c r="S123" s="4">
        <f t="shared" si="12"/>
        <v>1594325.6875244163</v>
      </c>
      <c r="T123">
        <f t="shared" si="13"/>
        <v>0</v>
      </c>
      <c r="U123" s="5">
        <f t="shared" si="14"/>
        <v>1264299.2967121445</v>
      </c>
      <c r="V123" s="5">
        <f t="shared" si="15"/>
        <v>696.20005325558623</v>
      </c>
      <c r="W123">
        <f t="shared" si="16"/>
        <v>0</v>
      </c>
      <c r="X123" s="5">
        <f t="shared" si="17"/>
        <v>0</v>
      </c>
    </row>
    <row r="124" spans="1:24" x14ac:dyDescent="0.55000000000000004">
      <c r="A124" t="s">
        <v>204</v>
      </c>
      <c r="B124">
        <v>545</v>
      </c>
      <c r="C124">
        <v>367846</v>
      </c>
      <c r="D124">
        <v>934954</v>
      </c>
      <c r="E124">
        <v>1186474</v>
      </c>
      <c r="F124">
        <v>593364</v>
      </c>
      <c r="G124">
        <v>593110</v>
      </c>
      <c r="H124">
        <v>251520</v>
      </c>
      <c r="I124">
        <v>301215</v>
      </c>
      <c r="J124">
        <v>442395</v>
      </c>
      <c r="K124">
        <v>565964</v>
      </c>
      <c r="L124">
        <v>666747</v>
      </c>
      <c r="M124">
        <v>609267</v>
      </c>
      <c r="N124">
        <v>479710</v>
      </c>
      <c r="O124">
        <v>330428</v>
      </c>
      <c r="P124">
        <f t="shared" si="9"/>
        <v>606.28990825688072</v>
      </c>
      <c r="Q124">
        <f t="shared" si="10"/>
        <v>1</v>
      </c>
      <c r="R124" s="5">
        <f t="shared" si="11"/>
        <v>13967.074468085108</v>
      </c>
      <c r="S124" s="4">
        <f t="shared" si="12"/>
        <v>416682.22598514165</v>
      </c>
      <c r="T124">
        <f t="shared" si="13"/>
        <v>0</v>
      </c>
      <c r="U124" s="5">
        <f t="shared" si="14"/>
        <v>330428.75078019319</v>
      </c>
      <c r="V124" s="5">
        <f t="shared" si="15"/>
        <v>606.29128583521685</v>
      </c>
      <c r="W124">
        <f t="shared" si="16"/>
        <v>0</v>
      </c>
      <c r="X124" s="5">
        <f t="shared" si="17"/>
        <v>0</v>
      </c>
    </row>
    <row r="125" spans="1:24" x14ac:dyDescent="0.55000000000000004">
      <c r="A125" t="s">
        <v>205</v>
      </c>
      <c r="B125">
        <v>229438</v>
      </c>
      <c r="C125">
        <v>5575630</v>
      </c>
      <c r="D125">
        <v>128091694</v>
      </c>
      <c r="E125">
        <v>133983056</v>
      </c>
      <c r="F125">
        <v>129024601</v>
      </c>
      <c r="G125">
        <v>4958455</v>
      </c>
      <c r="H125">
        <v>5891362</v>
      </c>
      <c r="I125">
        <v>2639143</v>
      </c>
      <c r="J125">
        <v>-415265</v>
      </c>
      <c r="K125">
        <v>-15603006</v>
      </c>
      <c r="L125">
        <v>-14754818</v>
      </c>
      <c r="M125">
        <v>-13712337</v>
      </c>
      <c r="N125">
        <v>-6560819</v>
      </c>
      <c r="O125">
        <v>5879992</v>
      </c>
      <c r="P125">
        <f t="shared" si="9"/>
        <v>25.627803589640774</v>
      </c>
      <c r="Q125">
        <f t="shared" si="10"/>
        <v>0</v>
      </c>
      <c r="R125" s="5">
        <f t="shared" si="11"/>
        <v>5879958.9574468089</v>
      </c>
      <c r="S125" s="4">
        <f t="shared" si="12"/>
        <v>0</v>
      </c>
      <c r="T125">
        <f t="shared" si="13"/>
        <v>1</v>
      </c>
      <c r="U125" s="5">
        <f t="shared" si="14"/>
        <v>5879958.9574468089</v>
      </c>
      <c r="V125" s="5">
        <f t="shared" si="15"/>
        <v>25.627659574468087</v>
      </c>
      <c r="W125">
        <f t="shared" si="16"/>
        <v>0</v>
      </c>
      <c r="X125" s="5">
        <f t="shared" si="17"/>
        <v>0</v>
      </c>
    </row>
    <row r="126" spans="1:24" x14ac:dyDescent="0.55000000000000004">
      <c r="A126" t="s">
        <v>206</v>
      </c>
      <c r="B126">
        <v>4457</v>
      </c>
      <c r="C126">
        <v>1103335</v>
      </c>
      <c r="D126">
        <v>3561798</v>
      </c>
      <c r="E126">
        <v>5113128</v>
      </c>
      <c r="F126">
        <v>3219038</v>
      </c>
      <c r="G126">
        <v>1894090</v>
      </c>
      <c r="H126">
        <v>1551329</v>
      </c>
      <c r="I126">
        <v>1435355</v>
      </c>
      <c r="J126">
        <v>1547425</v>
      </c>
      <c r="K126">
        <v>1627751</v>
      </c>
      <c r="L126">
        <v>1797087</v>
      </c>
      <c r="M126">
        <v>1930874</v>
      </c>
      <c r="N126">
        <v>1630898</v>
      </c>
      <c r="O126">
        <v>1123376</v>
      </c>
      <c r="P126">
        <f t="shared" si="9"/>
        <v>252.04756562710344</v>
      </c>
      <c r="Q126">
        <f t="shared" si="10"/>
        <v>1</v>
      </c>
      <c r="R126" s="5">
        <f t="shared" si="11"/>
        <v>114222.47872340426</v>
      </c>
      <c r="S126" s="4">
        <f t="shared" si="12"/>
        <v>1416618.809269591</v>
      </c>
      <c r="T126">
        <f t="shared" si="13"/>
        <v>0</v>
      </c>
      <c r="U126" s="5">
        <f t="shared" si="14"/>
        <v>1123377.8507638269</v>
      </c>
      <c r="V126" s="5">
        <f t="shared" si="15"/>
        <v>252.04798087588665</v>
      </c>
      <c r="W126">
        <f t="shared" si="16"/>
        <v>0</v>
      </c>
      <c r="X126" s="5">
        <f t="shared" si="17"/>
        <v>0</v>
      </c>
    </row>
    <row r="127" spans="1:24" x14ac:dyDescent="0.55000000000000004">
      <c r="A127" t="s">
        <v>207</v>
      </c>
      <c r="B127">
        <v>787</v>
      </c>
      <c r="C127">
        <v>733096</v>
      </c>
      <c r="D127">
        <v>1867885</v>
      </c>
      <c r="E127">
        <v>2882325</v>
      </c>
      <c r="F127">
        <v>2010428</v>
      </c>
      <c r="G127">
        <v>871897</v>
      </c>
      <c r="H127">
        <v>1014439</v>
      </c>
      <c r="I127">
        <v>717538</v>
      </c>
      <c r="J127">
        <v>953294</v>
      </c>
      <c r="K127">
        <v>1118385</v>
      </c>
      <c r="L127">
        <v>1279349</v>
      </c>
      <c r="M127">
        <v>1236445</v>
      </c>
      <c r="N127">
        <v>1080641</v>
      </c>
      <c r="O127">
        <v>744354</v>
      </c>
      <c r="P127">
        <f t="shared" si="9"/>
        <v>945.81194409148668</v>
      </c>
      <c r="Q127">
        <f t="shared" si="10"/>
        <v>1</v>
      </c>
      <c r="R127" s="5">
        <f t="shared" si="11"/>
        <v>20168.968085106386</v>
      </c>
      <c r="S127" s="4">
        <f t="shared" si="12"/>
        <v>938658.5590686237</v>
      </c>
      <c r="T127">
        <f t="shared" si="13"/>
        <v>0</v>
      </c>
      <c r="U127" s="5">
        <f t="shared" si="14"/>
        <v>744355.66419682465</v>
      </c>
      <c r="V127" s="5">
        <f t="shared" si="15"/>
        <v>945.81405869990431</v>
      </c>
      <c r="W127">
        <f t="shared" si="16"/>
        <v>0</v>
      </c>
      <c r="X127" s="5">
        <f t="shared" si="17"/>
        <v>0</v>
      </c>
    </row>
    <row r="128" spans="1:24" x14ac:dyDescent="0.55000000000000004">
      <c r="A128" t="s">
        <v>208</v>
      </c>
      <c r="B128">
        <v>244</v>
      </c>
      <c r="C128">
        <v>1177971</v>
      </c>
      <c r="D128">
        <v>1094965</v>
      </c>
      <c r="E128">
        <v>2495512</v>
      </c>
      <c r="F128">
        <v>1558670</v>
      </c>
      <c r="G128">
        <v>936842</v>
      </c>
      <c r="H128">
        <v>1400547</v>
      </c>
      <c r="I128">
        <v>1359425</v>
      </c>
      <c r="J128">
        <v>1744305</v>
      </c>
      <c r="K128">
        <v>1968846</v>
      </c>
      <c r="L128">
        <v>1941249</v>
      </c>
      <c r="M128">
        <v>1822417</v>
      </c>
      <c r="N128">
        <v>1727130</v>
      </c>
      <c r="O128">
        <v>1189661</v>
      </c>
      <c r="P128">
        <f t="shared" si="9"/>
        <v>4875.6598360655735</v>
      </c>
      <c r="Q128">
        <f t="shared" si="10"/>
        <v>1</v>
      </c>
      <c r="R128" s="5">
        <f t="shared" si="11"/>
        <v>6253.1489361702133</v>
      </c>
      <c r="S128" s="4">
        <f t="shared" si="12"/>
        <v>1500207.1521663456</v>
      </c>
      <c r="T128">
        <f t="shared" si="13"/>
        <v>0</v>
      </c>
      <c r="U128" s="5">
        <f t="shared" si="14"/>
        <v>1189663.3556419399</v>
      </c>
      <c r="V128" s="5">
        <f t="shared" si="15"/>
        <v>4875.6694903358193</v>
      </c>
      <c r="W128">
        <f t="shared" si="16"/>
        <v>0</v>
      </c>
      <c r="X128" s="5">
        <f t="shared" si="17"/>
        <v>0.01</v>
      </c>
    </row>
    <row r="129" spans="1:24" x14ac:dyDescent="0.55000000000000004">
      <c r="A129" t="s">
        <v>209</v>
      </c>
      <c r="B129">
        <v>701</v>
      </c>
      <c r="C129">
        <v>1156701</v>
      </c>
      <c r="D129">
        <v>1570323</v>
      </c>
      <c r="E129">
        <v>3005989</v>
      </c>
      <c r="F129">
        <v>1998518</v>
      </c>
      <c r="G129">
        <v>1007471</v>
      </c>
      <c r="H129">
        <v>1435666</v>
      </c>
      <c r="I129">
        <v>1336133</v>
      </c>
      <c r="J129">
        <v>1666284</v>
      </c>
      <c r="K129">
        <v>1971284</v>
      </c>
      <c r="L129">
        <v>1892766</v>
      </c>
      <c r="M129">
        <v>1721364</v>
      </c>
      <c r="N129">
        <v>1679020</v>
      </c>
      <c r="O129">
        <v>1156523</v>
      </c>
      <c r="P129">
        <f t="shared" si="9"/>
        <v>1649.8188302425108</v>
      </c>
      <c r="Q129">
        <f t="shared" si="10"/>
        <v>1</v>
      </c>
      <c r="R129" s="5">
        <f t="shared" si="11"/>
        <v>17964.98936170213</v>
      </c>
      <c r="S129" s="4">
        <f t="shared" si="12"/>
        <v>1458418.1923945143</v>
      </c>
      <c r="T129">
        <f t="shared" si="13"/>
        <v>0</v>
      </c>
      <c r="U129" s="5">
        <f t="shared" si="14"/>
        <v>1156524.7360592023</v>
      </c>
      <c r="V129" s="5">
        <f t="shared" si="15"/>
        <v>1649.8213067891618</v>
      </c>
      <c r="W129">
        <f t="shared" si="16"/>
        <v>0</v>
      </c>
      <c r="X129" s="5">
        <f t="shared" si="17"/>
        <v>0</v>
      </c>
    </row>
    <row r="130" spans="1:24" x14ac:dyDescent="0.55000000000000004">
      <c r="A130" t="s">
        <v>210</v>
      </c>
      <c r="B130">
        <v>1060</v>
      </c>
      <c r="C130">
        <v>381983</v>
      </c>
      <c r="D130">
        <v>1675524</v>
      </c>
      <c r="E130">
        <v>2135460</v>
      </c>
      <c r="F130">
        <v>1539303</v>
      </c>
      <c r="G130">
        <v>596157</v>
      </c>
      <c r="H130">
        <v>459935</v>
      </c>
      <c r="I130">
        <v>376328</v>
      </c>
      <c r="J130">
        <v>604441</v>
      </c>
      <c r="K130">
        <v>671120</v>
      </c>
      <c r="L130">
        <v>650574</v>
      </c>
      <c r="M130">
        <v>612620</v>
      </c>
      <c r="N130">
        <v>581893</v>
      </c>
      <c r="O130">
        <v>400812</v>
      </c>
      <c r="P130">
        <f t="shared" si="9"/>
        <v>378.12452830188681</v>
      </c>
      <c r="Q130">
        <f t="shared" si="10"/>
        <v>1</v>
      </c>
      <c r="R130" s="5">
        <f t="shared" si="11"/>
        <v>27165.319148936171</v>
      </c>
      <c r="S130" s="4">
        <f t="shared" si="12"/>
        <v>505439.68340283091</v>
      </c>
      <c r="T130">
        <f t="shared" si="13"/>
        <v>0</v>
      </c>
      <c r="U130" s="5">
        <f t="shared" si="14"/>
        <v>400813.36031714769</v>
      </c>
      <c r="V130" s="5">
        <f t="shared" si="15"/>
        <v>378.12581161995064</v>
      </c>
      <c r="W130">
        <f t="shared" si="16"/>
        <v>0</v>
      </c>
      <c r="X130" s="5">
        <f t="shared" si="17"/>
        <v>0</v>
      </c>
    </row>
    <row r="131" spans="1:24" x14ac:dyDescent="0.55000000000000004">
      <c r="A131" t="s">
        <v>211</v>
      </c>
      <c r="B131">
        <v>568</v>
      </c>
      <c r="C131">
        <v>2285377</v>
      </c>
      <c r="D131">
        <v>5918175</v>
      </c>
      <c r="E131">
        <v>6257799</v>
      </c>
      <c r="F131">
        <v>3321768</v>
      </c>
      <c r="G131">
        <v>2936032</v>
      </c>
      <c r="H131">
        <v>339625</v>
      </c>
      <c r="I131">
        <v>3045932</v>
      </c>
      <c r="J131">
        <v>3463562</v>
      </c>
      <c r="K131">
        <v>3390442</v>
      </c>
      <c r="L131">
        <v>3801752</v>
      </c>
      <c r="M131">
        <v>4007518</v>
      </c>
      <c r="N131">
        <v>3425422</v>
      </c>
      <c r="O131">
        <v>2359459</v>
      </c>
      <c r="P131">
        <f t="shared" ref="P131:P138" si="18">O131/B131</f>
        <v>4153.9771126760561</v>
      </c>
      <c r="Q131">
        <f t="shared" ref="Q131:Q138" si="19">IF(N131&lt;0, 0, 1)</f>
        <v>1</v>
      </c>
      <c r="R131" s="5">
        <f t="shared" ref="R131:R138" si="20" xml:space="preserve"> $AA$8 * $AA$6 * B131</f>
        <v>14556.510638297874</v>
      </c>
      <c r="S131" s="4">
        <f t="shared" ref="S131:S138" si="21" xml:space="preserve"> (N131 * Q131)/$AA$11 * $AA$5</f>
        <v>2975365.2496268074</v>
      </c>
      <c r="T131">
        <f t="shared" ref="T131:T138" si="22">IF($AA$8=0%, IF(S131&gt;0, 0, 1), IF(S131&lt;R131, 1, 0))</f>
        <v>0</v>
      </c>
      <c r="U131" s="5">
        <f t="shared" ref="U131:U138" si="23">IF(T131=1, R131*T131, N131*($AA$9)/$AA$12)</f>
        <v>2359462.8261970584</v>
      </c>
      <c r="V131" s="5">
        <f t="shared" ref="V131:V138" si="24">U131/B131</f>
        <v>4153.9838489384829</v>
      </c>
      <c r="W131">
        <f t="shared" ref="W131:W138" si="25">ROUND((U131-O131)/O131 * 100, 2)</f>
        <v>0</v>
      </c>
      <c r="X131" s="5">
        <f t="shared" ref="X131:X138" si="26">ROUND(V131-P131, 2)</f>
        <v>0.01</v>
      </c>
    </row>
    <row r="132" spans="1:24" x14ac:dyDescent="0.55000000000000004">
      <c r="A132" t="s">
        <v>212</v>
      </c>
      <c r="B132">
        <v>1336</v>
      </c>
      <c r="C132">
        <v>1666802</v>
      </c>
      <c r="D132">
        <v>2366209</v>
      </c>
      <c r="E132">
        <v>4598981</v>
      </c>
      <c r="F132">
        <v>3383126</v>
      </c>
      <c r="G132">
        <v>1215854</v>
      </c>
      <c r="H132">
        <v>2232772</v>
      </c>
      <c r="I132">
        <v>2132334</v>
      </c>
      <c r="J132">
        <v>2457441</v>
      </c>
      <c r="K132">
        <v>2696300</v>
      </c>
      <c r="L132">
        <v>2760838</v>
      </c>
      <c r="M132">
        <v>2573234</v>
      </c>
      <c r="N132">
        <v>2489937</v>
      </c>
      <c r="O132">
        <v>1715089</v>
      </c>
      <c r="P132">
        <f t="shared" si="18"/>
        <v>1283.7492514970061</v>
      </c>
      <c r="Q132">
        <f t="shared" si="19"/>
        <v>1</v>
      </c>
      <c r="R132" s="5">
        <f t="shared" si="20"/>
        <v>34238.553191489365</v>
      </c>
      <c r="S132" s="4">
        <f t="shared" si="21"/>
        <v>2162791.0440115188</v>
      </c>
      <c r="T132">
        <f t="shared" si="22"/>
        <v>0</v>
      </c>
      <c r="U132" s="5">
        <f t="shared" si="23"/>
        <v>1715091.9773016651</v>
      </c>
      <c r="V132" s="5">
        <f t="shared" si="24"/>
        <v>1283.7514800162164</v>
      </c>
      <c r="W132">
        <f t="shared" si="25"/>
        <v>0</v>
      </c>
      <c r="X132" s="5">
        <f t="shared" si="26"/>
        <v>0</v>
      </c>
    </row>
    <row r="133" spans="1:24" x14ac:dyDescent="0.55000000000000004">
      <c r="A133" t="s">
        <v>213</v>
      </c>
      <c r="B133">
        <v>479</v>
      </c>
      <c r="C133">
        <v>604421</v>
      </c>
      <c r="D133">
        <v>919492</v>
      </c>
      <c r="E133">
        <v>1887029</v>
      </c>
      <c r="F133">
        <v>1262633</v>
      </c>
      <c r="G133">
        <v>624396</v>
      </c>
      <c r="H133">
        <v>967537</v>
      </c>
      <c r="I133">
        <v>747811</v>
      </c>
      <c r="J133">
        <v>967464</v>
      </c>
      <c r="K133">
        <v>1040127</v>
      </c>
      <c r="L133">
        <v>1078183</v>
      </c>
      <c r="M133">
        <v>904288</v>
      </c>
      <c r="N133">
        <v>969854</v>
      </c>
      <c r="O133">
        <v>668043</v>
      </c>
      <c r="P133">
        <f t="shared" si="18"/>
        <v>1394.6617954070982</v>
      </c>
      <c r="Q133">
        <f t="shared" si="19"/>
        <v>1</v>
      </c>
      <c r="R133" s="5">
        <f t="shared" si="20"/>
        <v>12275.648936170213</v>
      </c>
      <c r="S133" s="4">
        <f t="shared" si="21"/>
        <v>842427.55748388311</v>
      </c>
      <c r="T133">
        <f t="shared" si="22"/>
        <v>0</v>
      </c>
      <c r="U133" s="5">
        <f t="shared" si="23"/>
        <v>668044.53869874193</v>
      </c>
      <c r="V133" s="5">
        <f t="shared" si="24"/>
        <v>1394.6650077217994</v>
      </c>
      <c r="W133">
        <f t="shared" si="25"/>
        <v>0</v>
      </c>
      <c r="X133" s="5">
        <f t="shared" si="26"/>
        <v>0</v>
      </c>
    </row>
    <row r="134" spans="1:24" x14ac:dyDescent="0.55000000000000004">
      <c r="A134" t="s">
        <v>214</v>
      </c>
      <c r="B134">
        <v>491</v>
      </c>
      <c r="C134">
        <v>1511918</v>
      </c>
      <c r="D134">
        <v>966112</v>
      </c>
      <c r="E134">
        <v>3273490</v>
      </c>
      <c r="F134">
        <v>1514164</v>
      </c>
      <c r="G134">
        <v>1759326</v>
      </c>
      <c r="H134">
        <v>2307378</v>
      </c>
      <c r="I134">
        <v>2207025</v>
      </c>
      <c r="J134">
        <v>2561466</v>
      </c>
      <c r="K134">
        <v>2722185</v>
      </c>
      <c r="L134">
        <v>2607171</v>
      </c>
      <c r="M134">
        <v>2410160</v>
      </c>
      <c r="N134">
        <v>2471544</v>
      </c>
      <c r="O134">
        <v>1702420</v>
      </c>
      <c r="P134">
        <f t="shared" si="18"/>
        <v>3467.2505091649696</v>
      </c>
      <c r="Q134">
        <f t="shared" si="19"/>
        <v>1</v>
      </c>
      <c r="R134" s="5">
        <f t="shared" si="20"/>
        <v>12583.180851063831</v>
      </c>
      <c r="S134" s="4">
        <f t="shared" si="21"/>
        <v>2146814.6495595691</v>
      </c>
      <c r="T134">
        <f t="shared" si="22"/>
        <v>0</v>
      </c>
      <c r="U134" s="5">
        <f t="shared" si="23"/>
        <v>1702422.7062564502</v>
      </c>
      <c r="V134" s="5">
        <f t="shared" si="24"/>
        <v>3467.2560208889004</v>
      </c>
      <c r="W134">
        <f t="shared" si="25"/>
        <v>0</v>
      </c>
      <c r="X134" s="5">
        <f t="shared" si="26"/>
        <v>0.01</v>
      </c>
    </row>
    <row r="135" spans="1:24" x14ac:dyDescent="0.55000000000000004">
      <c r="A135" t="s">
        <v>215</v>
      </c>
      <c r="B135">
        <v>8209</v>
      </c>
      <c r="C135">
        <v>3077985</v>
      </c>
      <c r="D135">
        <v>5652832</v>
      </c>
      <c r="E135">
        <v>11200568</v>
      </c>
      <c r="F135">
        <v>6755261</v>
      </c>
      <c r="G135">
        <v>4445307</v>
      </c>
      <c r="H135">
        <v>5547736</v>
      </c>
      <c r="I135">
        <v>5448546</v>
      </c>
      <c r="J135">
        <v>6076330</v>
      </c>
      <c r="K135">
        <v>4772593</v>
      </c>
      <c r="L135">
        <v>4775491</v>
      </c>
      <c r="M135">
        <v>4768293</v>
      </c>
      <c r="N135">
        <v>5136091</v>
      </c>
      <c r="O135">
        <v>3537782</v>
      </c>
      <c r="P135">
        <f t="shared" si="18"/>
        <v>430.96382019734438</v>
      </c>
      <c r="Q135">
        <f t="shared" si="19"/>
        <v>1</v>
      </c>
      <c r="R135" s="5">
        <f t="shared" si="20"/>
        <v>210377.45744680852</v>
      </c>
      <c r="S135" s="4">
        <f t="shared" si="21"/>
        <v>4461274.1671890356</v>
      </c>
      <c r="T135">
        <f t="shared" si="22"/>
        <v>0</v>
      </c>
      <c r="U135" s="5">
        <f t="shared" si="23"/>
        <v>3537787.6905284296</v>
      </c>
      <c r="V135" s="5">
        <f t="shared" si="24"/>
        <v>430.96451340339013</v>
      </c>
      <c r="W135">
        <f t="shared" si="25"/>
        <v>0</v>
      </c>
      <c r="X135" s="5">
        <f t="shared" si="26"/>
        <v>0</v>
      </c>
    </row>
    <row r="136" spans="1:24" x14ac:dyDescent="0.55000000000000004">
      <c r="A136" t="s">
        <v>216</v>
      </c>
      <c r="B136">
        <v>357</v>
      </c>
      <c r="C136">
        <v>2063314</v>
      </c>
      <c r="D136">
        <v>2258365</v>
      </c>
      <c r="E136">
        <v>4750385</v>
      </c>
      <c r="F136">
        <v>2406491</v>
      </c>
      <c r="G136">
        <v>2343894</v>
      </c>
      <c r="H136">
        <v>2492020</v>
      </c>
      <c r="I136">
        <v>3004270</v>
      </c>
      <c r="J136">
        <v>3204622</v>
      </c>
      <c r="K136">
        <v>3384234</v>
      </c>
      <c r="L136">
        <v>3376618</v>
      </c>
      <c r="M136">
        <v>3253176</v>
      </c>
      <c r="N136">
        <v>3209671</v>
      </c>
      <c r="O136">
        <v>2210848</v>
      </c>
      <c r="P136">
        <f t="shared" si="18"/>
        <v>6192.8515406162469</v>
      </c>
      <c r="Q136">
        <f t="shared" si="19"/>
        <v>1</v>
      </c>
      <c r="R136" s="5">
        <f t="shared" si="20"/>
        <v>9149.0744680851076</v>
      </c>
      <c r="S136" s="4">
        <f t="shared" si="21"/>
        <v>2787961.1785452785</v>
      </c>
      <c r="T136">
        <f t="shared" si="22"/>
        <v>0</v>
      </c>
      <c r="U136" s="5">
        <f t="shared" si="23"/>
        <v>2210851.5122582675</v>
      </c>
      <c r="V136" s="5">
        <f t="shared" si="24"/>
        <v>6192.8613788746989</v>
      </c>
      <c r="W136">
        <f t="shared" si="25"/>
        <v>0</v>
      </c>
      <c r="X136" s="5">
        <f t="shared" si="26"/>
        <v>0.01</v>
      </c>
    </row>
    <row r="137" spans="1:24" x14ac:dyDescent="0.55000000000000004">
      <c r="A137" t="s">
        <v>217</v>
      </c>
      <c r="B137">
        <v>1198</v>
      </c>
      <c r="C137">
        <v>2597959</v>
      </c>
      <c r="D137">
        <v>5544362</v>
      </c>
      <c r="E137">
        <v>6948894</v>
      </c>
      <c r="F137">
        <v>5360318</v>
      </c>
      <c r="G137">
        <v>1588576</v>
      </c>
      <c r="H137">
        <v>1404532</v>
      </c>
      <c r="I137">
        <v>3083905</v>
      </c>
      <c r="J137">
        <v>3801517</v>
      </c>
      <c r="K137">
        <v>4302455</v>
      </c>
      <c r="L137">
        <v>4219374</v>
      </c>
      <c r="M137">
        <v>4194165</v>
      </c>
      <c r="N137">
        <v>3824740</v>
      </c>
      <c r="O137">
        <v>2634513</v>
      </c>
      <c r="P137">
        <f t="shared" si="18"/>
        <v>2199.0926544240401</v>
      </c>
      <c r="Q137">
        <f t="shared" si="19"/>
        <v>1</v>
      </c>
      <c r="R137" s="5">
        <f t="shared" si="20"/>
        <v>30701.936170212768</v>
      </c>
      <c r="S137" s="4">
        <f t="shared" si="21"/>
        <v>3322217.9587967955</v>
      </c>
      <c r="T137">
        <f t="shared" si="22"/>
        <v>0</v>
      </c>
      <c r="U137" s="5">
        <f t="shared" si="23"/>
        <v>2634516.8127807137</v>
      </c>
      <c r="V137" s="5">
        <f t="shared" si="24"/>
        <v>2199.095837045671</v>
      </c>
      <c r="W137">
        <f t="shared" si="25"/>
        <v>0</v>
      </c>
      <c r="X137" s="5">
        <f t="shared" si="26"/>
        <v>0</v>
      </c>
    </row>
    <row r="138" spans="1:24" x14ac:dyDescent="0.55000000000000004">
      <c r="A138" t="s">
        <v>218</v>
      </c>
      <c r="B138">
        <v>3602</v>
      </c>
      <c r="C138">
        <v>1057678</v>
      </c>
      <c r="D138">
        <v>3859613</v>
      </c>
      <c r="E138">
        <v>5481573</v>
      </c>
      <c r="F138">
        <v>4488672</v>
      </c>
      <c r="G138">
        <v>992901</v>
      </c>
      <c r="H138">
        <v>1621960</v>
      </c>
      <c r="I138">
        <v>1461055</v>
      </c>
      <c r="J138">
        <v>1754718</v>
      </c>
      <c r="K138">
        <v>1983164</v>
      </c>
      <c r="L138">
        <v>2048827</v>
      </c>
      <c r="M138">
        <v>1707345</v>
      </c>
      <c r="N138">
        <v>1766797</v>
      </c>
      <c r="O138">
        <v>1216984</v>
      </c>
      <c r="P138">
        <f t="shared" si="18"/>
        <v>337.86340921710161</v>
      </c>
      <c r="Q138">
        <f t="shared" si="19"/>
        <v>1</v>
      </c>
      <c r="R138" s="5">
        <f t="shared" si="20"/>
        <v>92310.829787234048</v>
      </c>
      <c r="S138" s="4">
        <f t="shared" si="21"/>
        <v>1534662.4144251116</v>
      </c>
      <c r="T138">
        <f t="shared" si="22"/>
        <v>0</v>
      </c>
      <c r="U138" s="5">
        <f t="shared" si="23"/>
        <v>1216986.35757477</v>
      </c>
      <c r="V138" s="5">
        <f t="shared" si="24"/>
        <v>337.8640637353609</v>
      </c>
      <c r="W138">
        <f t="shared" si="25"/>
        <v>0</v>
      </c>
      <c r="X138" s="5">
        <f t="shared" si="26"/>
        <v>0</v>
      </c>
    </row>
  </sheetData>
  <customSheetViews>
    <customSheetView guid="{6F58EB3B-97F3-43AA-9269-CE0BCA6518E5}" topLeftCell="L1">
      <selection activeCell="Z28" sqref="Z28"/>
      <pageMargins left="0.7" right="0.7" top="0.75" bottom="0.75" header="0.3" footer="0.3"/>
    </customSheetView>
  </customSheetViews>
  <conditionalFormatting sqref="W2:X138">
    <cfRule type="cellIs" dxfId="11" priority="1" operator="lessThan">
      <formula>0</formula>
    </cfRule>
    <cfRule type="cellIs" dxfId="10" priority="2" operator="equal">
      <formula>0</formula>
    </cfRule>
    <cfRule type="cellIs" dxfId="9" priority="3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C532-8C57-44CC-971D-84FB21C02EE8}">
  <sheetPr codeName="Sheet7"/>
  <dimension ref="A1:Y82"/>
  <sheetViews>
    <sheetView topLeftCell="E1" zoomScale="125" zoomScaleNormal="85" workbookViewId="0">
      <selection activeCell="G1" activeCellId="1" sqref="B1:D1048576 G1:G1048576"/>
    </sheetView>
  </sheetViews>
  <sheetFormatPr defaultColWidth="8.83984375" defaultRowHeight="14.4" x14ac:dyDescent="0.55000000000000004"/>
  <cols>
    <col min="1" max="1" width="28.15625" bestFit="1" customWidth="1"/>
    <col min="2" max="2" width="21.47265625" customWidth="1"/>
    <col min="3" max="3" width="29.83984375" bestFit="1" customWidth="1"/>
    <col min="4" max="4" width="17" customWidth="1"/>
    <col min="5" max="5" width="22.83984375" bestFit="1" customWidth="1"/>
    <col min="6" max="6" width="32.15625" bestFit="1" customWidth="1"/>
    <col min="7" max="7" width="19.15625" bestFit="1" customWidth="1"/>
    <col min="8" max="8" width="23" bestFit="1" customWidth="1"/>
    <col min="9" max="9" width="8.3125" bestFit="1" customWidth="1"/>
    <col min="10" max="10" width="22.68359375" bestFit="1" customWidth="1"/>
    <col min="11" max="11" width="14.47265625" bestFit="1" customWidth="1"/>
    <col min="12" max="12" width="8.83984375" bestFit="1" customWidth="1"/>
    <col min="13" max="13" width="14" bestFit="1" customWidth="1"/>
    <col min="14" max="14" width="18.15625" bestFit="1" customWidth="1"/>
    <col min="15" max="16" width="18.15625" customWidth="1"/>
    <col min="17" max="17" width="18.15625" bestFit="1" customWidth="1"/>
    <col min="18" max="18" width="8.68359375" customWidth="1"/>
    <col min="19" max="19" width="19" bestFit="1" customWidth="1"/>
    <col min="20" max="20" width="19" customWidth="1"/>
    <col min="21" max="21" width="15.83984375" customWidth="1"/>
    <col min="22" max="22" width="13.68359375" bestFit="1" customWidth="1"/>
    <col min="23" max="23" width="13.68359375" customWidth="1"/>
    <col min="24" max="24" width="26.3125" bestFit="1" customWidth="1"/>
    <col min="25" max="25" width="16.47265625" bestFit="1" customWidth="1"/>
  </cols>
  <sheetData>
    <row r="1" spans="1:25" x14ac:dyDescent="0.55000000000000004">
      <c r="A1" t="s">
        <v>80</v>
      </c>
      <c r="B1" t="s">
        <v>379</v>
      </c>
      <c r="C1" t="s">
        <v>380</v>
      </c>
      <c r="D1" t="s">
        <v>381</v>
      </c>
      <c r="E1" t="s">
        <v>382</v>
      </c>
      <c r="F1" t="s">
        <v>485</v>
      </c>
      <c r="G1" t="s">
        <v>383</v>
      </c>
      <c r="H1" t="s">
        <v>384</v>
      </c>
      <c r="I1" t="s">
        <v>458</v>
      </c>
      <c r="J1" t="s">
        <v>466</v>
      </c>
      <c r="K1" s="4" t="s">
        <v>467</v>
      </c>
      <c r="L1" t="s">
        <v>468</v>
      </c>
      <c r="M1" t="s">
        <v>460</v>
      </c>
      <c r="N1" t="s">
        <v>486</v>
      </c>
      <c r="O1" t="s">
        <v>487</v>
      </c>
      <c r="P1" t="s">
        <v>489</v>
      </c>
      <c r="Q1" t="s">
        <v>462</v>
      </c>
      <c r="R1" t="s">
        <v>463</v>
      </c>
      <c r="S1" t="s">
        <v>490</v>
      </c>
      <c r="T1" t="s">
        <v>511</v>
      </c>
      <c r="U1" t="s">
        <v>464</v>
      </c>
      <c r="V1" t="s">
        <v>509</v>
      </c>
      <c r="Y1" s="4"/>
    </row>
    <row r="2" spans="1:25" x14ac:dyDescent="0.55000000000000004">
      <c r="A2" t="s">
        <v>385</v>
      </c>
      <c r="B2" s="1">
        <v>27901</v>
      </c>
      <c r="C2" t="s">
        <v>386</v>
      </c>
      <c r="D2" s="1">
        <v>-71481892</v>
      </c>
      <c r="E2">
        <v>710359</v>
      </c>
      <c r="F2">
        <v>25.46</v>
      </c>
      <c r="G2">
        <v>710359</v>
      </c>
      <c r="H2">
        <v>25.46</v>
      </c>
      <c r="I2">
        <f t="shared" ref="I2:I33" si="0">IF(D2&lt;0, 0, 1)</f>
        <v>0</v>
      </c>
      <c r="J2" s="5">
        <f t="shared" ref="J2:J33" si="1" xml:space="preserve"> $Y$8 * $Y$6 * B2</f>
        <v>710359.46000000008</v>
      </c>
      <c r="K2" s="4">
        <f t="shared" ref="K2:K33" si="2" xml:space="preserve"> (D2 * I2)/$Y$11 * $Y$5</f>
        <v>0</v>
      </c>
      <c r="L2">
        <f>1-I2</f>
        <v>1</v>
      </c>
      <c r="M2" s="5">
        <f t="shared" ref="M2:M33" si="3">IF(L2=1, J2*L2, D2*($Y$9)/$Y$12)</f>
        <v>710359.46000000008</v>
      </c>
      <c r="N2">
        <v>654511</v>
      </c>
      <c r="O2" s="5">
        <v>0</v>
      </c>
      <c r="P2" s="5">
        <f t="shared" ref="P2:P33" si="4">M2+O2</f>
        <v>710359.46000000008</v>
      </c>
      <c r="Q2" s="5">
        <f t="shared" ref="Q2:Q33" si="5">P2/B2</f>
        <v>25.460000000000004</v>
      </c>
      <c r="R2">
        <f t="shared" ref="R2:R33" si="6">ROUND((P2-G2)/G2 * 100, 2)</f>
        <v>0</v>
      </c>
      <c r="S2">
        <f t="shared" ref="S2:S33" si="7">ROUND((P2-N2)/N2 * 100, 2)</f>
        <v>8.5299999999999994</v>
      </c>
      <c r="T2">
        <f t="shared" ref="T2:T33" si="8">ROUND((G2-N2)/N2 * 100, 2)</f>
        <v>8.5299999999999994</v>
      </c>
      <c r="U2" s="5">
        <f t="shared" ref="U2:U33" si="9">ROUND(Q2-F2, 2)</f>
        <v>0</v>
      </c>
      <c r="V2">
        <f>IF(AND(S2&gt;=-15, S2&lt;=30), 0, 1)</f>
        <v>0</v>
      </c>
      <c r="Y2" s="4"/>
    </row>
    <row r="3" spans="1:25" x14ac:dyDescent="0.55000000000000004">
      <c r="A3" t="s">
        <v>387</v>
      </c>
      <c r="B3" s="1">
        <v>41842</v>
      </c>
      <c r="C3" t="s">
        <v>386</v>
      </c>
      <c r="D3" s="1">
        <v>-4454563</v>
      </c>
      <c r="E3">
        <v>1065297</v>
      </c>
      <c r="F3">
        <v>25.46</v>
      </c>
      <c r="G3">
        <v>1065297</v>
      </c>
      <c r="H3">
        <v>25.46</v>
      </c>
      <c r="I3">
        <f t="shared" si="0"/>
        <v>0</v>
      </c>
      <c r="J3" s="5">
        <f t="shared" si="1"/>
        <v>1065297.32</v>
      </c>
      <c r="K3" s="4">
        <f t="shared" si="2"/>
        <v>0</v>
      </c>
      <c r="L3">
        <f t="shared" ref="L3:L66" si="10">1-I3</f>
        <v>1</v>
      </c>
      <c r="M3" s="5">
        <f t="shared" si="3"/>
        <v>1065297.32</v>
      </c>
      <c r="N3">
        <v>1038598</v>
      </c>
      <c r="O3" s="5">
        <v>0</v>
      </c>
      <c r="P3" s="5">
        <f t="shared" si="4"/>
        <v>1065297.32</v>
      </c>
      <c r="Q3" s="5">
        <f t="shared" si="5"/>
        <v>25.46</v>
      </c>
      <c r="R3">
        <f t="shared" si="6"/>
        <v>0</v>
      </c>
      <c r="S3">
        <f t="shared" si="7"/>
        <v>2.57</v>
      </c>
      <c r="T3">
        <f t="shared" si="8"/>
        <v>2.57</v>
      </c>
      <c r="U3" s="5">
        <f t="shared" si="9"/>
        <v>0</v>
      </c>
      <c r="V3">
        <f t="shared" ref="V3:V66" si="11">IF(AND(S3&gt;=-15, S3&lt;=30), 0, 1)</f>
        <v>0</v>
      </c>
      <c r="Y3" s="4"/>
    </row>
    <row r="4" spans="1:25" x14ac:dyDescent="0.55000000000000004">
      <c r="A4" t="s">
        <v>388</v>
      </c>
      <c r="B4" s="1">
        <v>10932</v>
      </c>
      <c r="C4" t="s">
        <v>389</v>
      </c>
      <c r="D4" s="1">
        <v>5052887</v>
      </c>
      <c r="E4">
        <v>1892230</v>
      </c>
      <c r="F4">
        <v>173.09</v>
      </c>
      <c r="G4">
        <v>1717083</v>
      </c>
      <c r="H4">
        <v>157.07</v>
      </c>
      <c r="I4">
        <f t="shared" si="0"/>
        <v>1</v>
      </c>
      <c r="J4" s="5">
        <f t="shared" si="1"/>
        <v>278328.72000000003</v>
      </c>
      <c r="K4" s="4">
        <f t="shared" si="2"/>
        <v>2227124.2583369231</v>
      </c>
      <c r="L4">
        <f t="shared" si="10"/>
        <v>0</v>
      </c>
      <c r="M4" s="5">
        <f t="shared" si="3"/>
        <v>1921129.9760274417</v>
      </c>
      <c r="N4">
        <v>1560985</v>
      </c>
      <c r="O4" s="5">
        <v>0</v>
      </c>
      <c r="P4" s="5">
        <f t="shared" si="4"/>
        <v>1921129.9760274417</v>
      </c>
      <c r="Q4" s="5">
        <f t="shared" si="5"/>
        <v>175.73453860477878</v>
      </c>
      <c r="R4">
        <f t="shared" si="6"/>
        <v>11.88</v>
      </c>
      <c r="S4">
        <f t="shared" si="7"/>
        <v>23.07</v>
      </c>
      <c r="T4">
        <f t="shared" si="8"/>
        <v>10</v>
      </c>
      <c r="U4" s="5">
        <f t="shared" si="9"/>
        <v>2.64</v>
      </c>
      <c r="V4">
        <f t="shared" si="11"/>
        <v>0</v>
      </c>
      <c r="Y4" s="4"/>
    </row>
    <row r="5" spans="1:25" x14ac:dyDescent="0.55000000000000004">
      <c r="A5" t="s">
        <v>390</v>
      </c>
      <c r="B5" s="1">
        <v>30323</v>
      </c>
      <c r="C5" t="s">
        <v>389</v>
      </c>
      <c r="D5" s="1">
        <v>5057998</v>
      </c>
      <c r="E5">
        <v>1894144</v>
      </c>
      <c r="F5">
        <v>62.47</v>
      </c>
      <c r="G5">
        <v>1844007</v>
      </c>
      <c r="H5">
        <v>60.81</v>
      </c>
      <c r="I5">
        <f t="shared" si="0"/>
        <v>1</v>
      </c>
      <c r="J5" s="5">
        <f t="shared" si="1"/>
        <v>772023.58000000007</v>
      </c>
      <c r="K5" s="4">
        <f t="shared" si="2"/>
        <v>2229376.9966396717</v>
      </c>
      <c r="L5">
        <f t="shared" si="10"/>
        <v>0</v>
      </c>
      <c r="M5" s="5">
        <f t="shared" si="3"/>
        <v>1923073.2008229846</v>
      </c>
      <c r="N5">
        <v>1819177</v>
      </c>
      <c r="O5" s="5">
        <v>0</v>
      </c>
      <c r="P5" s="5">
        <f t="shared" si="4"/>
        <v>1923073.2008229846</v>
      </c>
      <c r="Q5" s="5">
        <f t="shared" si="5"/>
        <v>63.419622096197095</v>
      </c>
      <c r="R5">
        <f t="shared" si="6"/>
        <v>4.29</v>
      </c>
      <c r="S5">
        <f t="shared" si="7"/>
        <v>5.71</v>
      </c>
      <c r="T5">
        <f t="shared" si="8"/>
        <v>1.36</v>
      </c>
      <c r="U5" s="5">
        <f t="shared" si="9"/>
        <v>0.95</v>
      </c>
      <c r="V5">
        <f t="shared" si="11"/>
        <v>0</v>
      </c>
      <c r="X5" t="s">
        <v>456</v>
      </c>
      <c r="Y5" s="4">
        <f>SUM(E2:E69)</f>
        <v>153152834</v>
      </c>
    </row>
    <row r="6" spans="1:25" x14ac:dyDescent="0.55000000000000004">
      <c r="A6" t="s">
        <v>391</v>
      </c>
      <c r="B6" s="1">
        <v>26268</v>
      </c>
      <c r="C6" t="s">
        <v>389</v>
      </c>
      <c r="D6" s="1">
        <v>6430573</v>
      </c>
      <c r="E6">
        <v>2408153</v>
      </c>
      <c r="F6">
        <v>91.68</v>
      </c>
      <c r="G6">
        <v>1779006</v>
      </c>
      <c r="H6">
        <v>67.73</v>
      </c>
      <c r="I6">
        <f t="shared" si="0"/>
        <v>1</v>
      </c>
      <c r="J6" s="5">
        <f t="shared" si="1"/>
        <v>668783.28</v>
      </c>
      <c r="K6" s="4">
        <f t="shared" si="2"/>
        <v>2834356.8980082958</v>
      </c>
      <c r="L6">
        <f t="shared" si="10"/>
        <v>0</v>
      </c>
      <c r="M6" s="5">
        <f t="shared" si="3"/>
        <v>2444932.2839265382</v>
      </c>
      <c r="N6">
        <v>1546962</v>
      </c>
      <c r="O6" s="5">
        <v>0</v>
      </c>
      <c r="P6" s="5">
        <f t="shared" si="4"/>
        <v>2444932.2839265382</v>
      </c>
      <c r="Q6" s="5">
        <f t="shared" si="5"/>
        <v>93.076453628998706</v>
      </c>
      <c r="R6">
        <f t="shared" si="6"/>
        <v>37.43</v>
      </c>
      <c r="S6">
        <f t="shared" si="7"/>
        <v>58.05</v>
      </c>
      <c r="T6">
        <f t="shared" si="8"/>
        <v>15</v>
      </c>
      <c r="U6" s="5">
        <f t="shared" si="9"/>
        <v>1.4</v>
      </c>
      <c r="V6">
        <f t="shared" si="11"/>
        <v>1</v>
      </c>
      <c r="X6" t="s">
        <v>457</v>
      </c>
      <c r="Y6" s="4">
        <f>Y7 / 30%</f>
        <v>84.866666666666674</v>
      </c>
    </row>
    <row r="7" spans="1:25" x14ac:dyDescent="0.55000000000000004">
      <c r="A7" t="s">
        <v>392</v>
      </c>
      <c r="B7" s="1">
        <v>2680</v>
      </c>
      <c r="C7" t="s">
        <v>389</v>
      </c>
      <c r="D7" s="1">
        <v>488998</v>
      </c>
      <c r="E7" s="1">
        <v>183122</v>
      </c>
      <c r="F7">
        <v>68.33</v>
      </c>
      <c r="G7" s="1">
        <v>197800</v>
      </c>
      <c r="H7">
        <v>73.81</v>
      </c>
      <c r="I7">
        <f t="shared" si="0"/>
        <v>1</v>
      </c>
      <c r="J7" s="5">
        <f t="shared" si="1"/>
        <v>68232.800000000003</v>
      </c>
      <c r="K7" s="4">
        <f t="shared" si="2"/>
        <v>215532.09246085235</v>
      </c>
      <c r="L7">
        <f t="shared" si="10"/>
        <v>0</v>
      </c>
      <c r="M7" s="5">
        <f t="shared" si="3"/>
        <v>185919.20144215907</v>
      </c>
      <c r="N7">
        <v>197800</v>
      </c>
      <c r="O7" s="5">
        <v>0</v>
      </c>
      <c r="P7" s="5">
        <f t="shared" si="4"/>
        <v>185919.20144215907</v>
      </c>
      <c r="Q7" s="5">
        <f t="shared" si="5"/>
        <v>69.372836359014585</v>
      </c>
      <c r="R7">
        <f t="shared" si="6"/>
        <v>-6.01</v>
      </c>
      <c r="S7">
        <f t="shared" si="7"/>
        <v>-6.01</v>
      </c>
      <c r="T7">
        <f t="shared" si="8"/>
        <v>0</v>
      </c>
      <c r="U7" s="5">
        <f t="shared" si="9"/>
        <v>1.04</v>
      </c>
      <c r="V7">
        <f t="shared" si="11"/>
        <v>0</v>
      </c>
      <c r="X7" t="s">
        <v>473</v>
      </c>
      <c r="Y7" s="4">
        <f>MIN(H2:H69)</f>
        <v>25.46</v>
      </c>
    </row>
    <row r="8" spans="1:25" x14ac:dyDescent="0.55000000000000004">
      <c r="A8" t="s">
        <v>393</v>
      </c>
      <c r="B8" s="1">
        <v>10730</v>
      </c>
      <c r="C8" t="s">
        <v>389</v>
      </c>
      <c r="D8" s="1">
        <v>7876569</v>
      </c>
      <c r="E8">
        <v>2949657</v>
      </c>
      <c r="F8">
        <v>274.89999999999998</v>
      </c>
      <c r="G8">
        <v>2871580</v>
      </c>
      <c r="H8">
        <v>267.62</v>
      </c>
      <c r="I8">
        <f t="shared" si="0"/>
        <v>1</v>
      </c>
      <c r="J8" s="5">
        <f t="shared" si="1"/>
        <v>273185.8</v>
      </c>
      <c r="K8" s="4">
        <f t="shared" si="2"/>
        <v>3471698.0396285527</v>
      </c>
      <c r="L8">
        <f t="shared" si="10"/>
        <v>0</v>
      </c>
      <c r="M8" s="5">
        <f t="shared" si="3"/>
        <v>2994706.3558216305</v>
      </c>
      <c r="N8">
        <v>2784617</v>
      </c>
      <c r="O8" s="5">
        <v>0</v>
      </c>
      <c r="P8" s="5">
        <f t="shared" si="4"/>
        <v>2994706.3558216305</v>
      </c>
      <c r="Q8" s="5">
        <f t="shared" si="5"/>
        <v>279.09658488552009</v>
      </c>
      <c r="R8">
        <f t="shared" si="6"/>
        <v>4.29</v>
      </c>
      <c r="S8">
        <f t="shared" si="7"/>
        <v>7.54</v>
      </c>
      <c r="T8">
        <f t="shared" si="8"/>
        <v>3.12</v>
      </c>
      <c r="U8" s="5">
        <f t="shared" si="9"/>
        <v>4.2</v>
      </c>
      <c r="V8">
        <f t="shared" si="11"/>
        <v>0</v>
      </c>
      <c r="X8" t="s">
        <v>472</v>
      </c>
      <c r="Y8" s="6">
        <f xml:space="preserve"> Control!$C$5</f>
        <v>0.3</v>
      </c>
    </row>
    <row r="9" spans="1:25" x14ac:dyDescent="0.55000000000000004">
      <c r="A9" t="s">
        <v>394</v>
      </c>
      <c r="B9" s="1">
        <v>47444</v>
      </c>
      <c r="C9" t="s">
        <v>386</v>
      </c>
      <c r="D9" s="1">
        <v>-41901191</v>
      </c>
      <c r="E9">
        <v>1207924</v>
      </c>
      <c r="F9">
        <v>25.46</v>
      </c>
      <c r="G9">
        <v>1207924</v>
      </c>
      <c r="H9">
        <v>25.46</v>
      </c>
      <c r="I9">
        <f t="shared" si="0"/>
        <v>0</v>
      </c>
      <c r="J9" s="5">
        <f t="shared" si="1"/>
        <v>1207924.24</v>
      </c>
      <c r="K9" s="4">
        <f t="shared" si="2"/>
        <v>0</v>
      </c>
      <c r="L9">
        <f t="shared" si="10"/>
        <v>1</v>
      </c>
      <c r="M9" s="5">
        <f t="shared" si="3"/>
        <v>1207924.24</v>
      </c>
      <c r="N9">
        <v>1170001</v>
      </c>
      <c r="O9" s="5">
        <v>0</v>
      </c>
      <c r="P9" s="5">
        <f t="shared" si="4"/>
        <v>1207924.24</v>
      </c>
      <c r="Q9" s="5">
        <f t="shared" si="5"/>
        <v>25.46</v>
      </c>
      <c r="R9">
        <f t="shared" si="6"/>
        <v>0</v>
      </c>
      <c r="S9">
        <f t="shared" si="7"/>
        <v>3.24</v>
      </c>
      <c r="T9">
        <f t="shared" si="8"/>
        <v>3.24</v>
      </c>
      <c r="U9" s="5">
        <f t="shared" si="9"/>
        <v>0</v>
      </c>
      <c r="V9">
        <f t="shared" si="11"/>
        <v>0</v>
      </c>
      <c r="X9" t="s">
        <v>471</v>
      </c>
      <c r="Y9" s="4">
        <f>$Y$5-SUMPRODUCT($J$2:$J$69,$L$2:$L$69)</f>
        <v>132110500.44</v>
      </c>
    </row>
    <row r="10" spans="1:25" x14ac:dyDescent="0.55000000000000004">
      <c r="A10" t="s">
        <v>395</v>
      </c>
      <c r="B10" s="1">
        <v>57160</v>
      </c>
      <c r="C10" t="s">
        <v>386</v>
      </c>
      <c r="D10" s="1">
        <v>-7485035</v>
      </c>
      <c r="E10">
        <v>1455294</v>
      </c>
      <c r="F10">
        <v>25.46</v>
      </c>
      <c r="G10">
        <v>1455294</v>
      </c>
      <c r="H10">
        <v>25.46</v>
      </c>
      <c r="I10">
        <f t="shared" si="0"/>
        <v>0</v>
      </c>
      <c r="J10" s="5">
        <f t="shared" si="1"/>
        <v>1455293.6</v>
      </c>
      <c r="K10" s="4">
        <f t="shared" si="2"/>
        <v>0</v>
      </c>
      <c r="L10">
        <f t="shared" si="10"/>
        <v>1</v>
      </c>
      <c r="M10" s="5">
        <f t="shared" si="3"/>
        <v>1455293.6</v>
      </c>
      <c r="N10">
        <v>1403566</v>
      </c>
      <c r="O10" s="5">
        <v>0</v>
      </c>
      <c r="P10" s="5">
        <f t="shared" si="4"/>
        <v>1455293.6</v>
      </c>
      <c r="Q10" s="5">
        <f t="shared" si="5"/>
        <v>25.46</v>
      </c>
      <c r="R10">
        <f t="shared" si="6"/>
        <v>0</v>
      </c>
      <c r="S10">
        <f t="shared" si="7"/>
        <v>3.69</v>
      </c>
      <c r="T10">
        <f t="shared" si="8"/>
        <v>3.69</v>
      </c>
      <c r="U10" s="5">
        <f t="shared" si="9"/>
        <v>0</v>
      </c>
      <c r="V10">
        <f t="shared" si="11"/>
        <v>0</v>
      </c>
      <c r="Y10" s="4"/>
    </row>
    <row r="11" spans="1:25" x14ac:dyDescent="0.55000000000000004">
      <c r="A11" t="s">
        <v>396</v>
      </c>
      <c r="B11" s="1">
        <v>3717</v>
      </c>
      <c r="C11" t="s">
        <v>389</v>
      </c>
      <c r="D11" s="1">
        <v>6137073</v>
      </c>
      <c r="E11">
        <v>2298242</v>
      </c>
      <c r="F11">
        <v>618.30999999999995</v>
      </c>
      <c r="G11">
        <v>2237408</v>
      </c>
      <c r="H11">
        <v>601.94000000000005</v>
      </c>
      <c r="I11">
        <f t="shared" si="0"/>
        <v>1</v>
      </c>
      <c r="J11" s="5">
        <f t="shared" si="1"/>
        <v>94634.82</v>
      </c>
      <c r="K11" s="4">
        <f t="shared" si="2"/>
        <v>2704993.0373437116</v>
      </c>
      <c r="L11">
        <f t="shared" si="10"/>
        <v>0</v>
      </c>
      <c r="M11" s="5">
        <f t="shared" si="3"/>
        <v>2333342.2863738411</v>
      </c>
      <c r="N11">
        <v>2167559</v>
      </c>
      <c r="O11" s="5">
        <v>0</v>
      </c>
      <c r="P11" s="5">
        <f t="shared" si="4"/>
        <v>2333342.2863738411</v>
      </c>
      <c r="Q11" s="5">
        <f t="shared" si="5"/>
        <v>627.74879913205302</v>
      </c>
      <c r="R11">
        <f t="shared" si="6"/>
        <v>4.29</v>
      </c>
      <c r="S11">
        <f t="shared" si="7"/>
        <v>7.65</v>
      </c>
      <c r="T11">
        <f t="shared" si="8"/>
        <v>3.22</v>
      </c>
      <c r="U11" s="5">
        <f t="shared" si="9"/>
        <v>9.44</v>
      </c>
      <c r="V11">
        <f t="shared" si="11"/>
        <v>0</v>
      </c>
      <c r="X11" t="s">
        <v>461</v>
      </c>
      <c r="Y11" s="4">
        <f>SUMPRODUCT(D2:D69, I2:I69)</f>
        <v>347472289</v>
      </c>
    </row>
    <row r="12" spans="1:25" x14ac:dyDescent="0.55000000000000004">
      <c r="A12" t="s">
        <v>397</v>
      </c>
      <c r="B12" s="1">
        <v>127440</v>
      </c>
      <c r="C12" t="s">
        <v>386</v>
      </c>
      <c r="D12" s="1">
        <v>-32695279</v>
      </c>
      <c r="E12">
        <v>3244622</v>
      </c>
      <c r="F12">
        <v>25.46</v>
      </c>
      <c r="G12">
        <v>3244622</v>
      </c>
      <c r="H12">
        <v>25.46</v>
      </c>
      <c r="I12">
        <f t="shared" si="0"/>
        <v>0</v>
      </c>
      <c r="J12" s="5">
        <f t="shared" si="1"/>
        <v>3244622.4</v>
      </c>
      <c r="K12" s="4">
        <f t="shared" si="2"/>
        <v>0</v>
      </c>
      <c r="L12">
        <f t="shared" si="10"/>
        <v>1</v>
      </c>
      <c r="M12" s="5">
        <f t="shared" si="3"/>
        <v>3244622.4</v>
      </c>
      <c r="N12">
        <v>3129875</v>
      </c>
      <c r="O12" s="5">
        <v>0</v>
      </c>
      <c r="P12" s="5">
        <f t="shared" si="4"/>
        <v>3244622.4</v>
      </c>
      <c r="Q12" s="5">
        <f t="shared" si="5"/>
        <v>25.46</v>
      </c>
      <c r="R12">
        <f t="shared" si="6"/>
        <v>0</v>
      </c>
      <c r="S12">
        <f t="shared" si="7"/>
        <v>3.67</v>
      </c>
      <c r="T12">
        <f t="shared" si="8"/>
        <v>3.67</v>
      </c>
      <c r="U12" s="5">
        <f t="shared" si="9"/>
        <v>0</v>
      </c>
      <c r="V12">
        <f t="shared" si="11"/>
        <v>0</v>
      </c>
      <c r="X12" t="s">
        <v>470</v>
      </c>
      <c r="Y12" s="4" cm="1">
        <f t="array" ref="Y12">SUMPRODUCT($D$2:$D$69,1 - $L2:$L69)</f>
        <v>347472289</v>
      </c>
    </row>
    <row r="13" spans="1:25" x14ac:dyDescent="0.55000000000000004">
      <c r="A13" t="s">
        <v>398</v>
      </c>
      <c r="B13" s="1">
        <v>9405</v>
      </c>
      <c r="C13" t="s">
        <v>389</v>
      </c>
      <c r="D13" s="1">
        <v>4308988</v>
      </c>
      <c r="E13">
        <v>1613651</v>
      </c>
      <c r="F13">
        <v>171.57</v>
      </c>
      <c r="G13">
        <v>1480609</v>
      </c>
      <c r="H13">
        <v>157.43</v>
      </c>
      <c r="I13">
        <f t="shared" si="0"/>
        <v>1</v>
      </c>
      <c r="J13" s="5">
        <f t="shared" si="1"/>
        <v>239451.30000000002</v>
      </c>
      <c r="K13" s="4">
        <f t="shared" si="2"/>
        <v>1899241.3057491097</v>
      </c>
      <c r="L13">
        <f t="shared" si="10"/>
        <v>0</v>
      </c>
      <c r="M13" s="5">
        <f t="shared" si="3"/>
        <v>1638296.287477344</v>
      </c>
      <c r="N13">
        <v>1346008</v>
      </c>
      <c r="O13" s="5">
        <v>0</v>
      </c>
      <c r="P13" s="5">
        <f t="shared" si="4"/>
        <v>1638296.287477344</v>
      </c>
      <c r="Q13" s="5">
        <f t="shared" si="5"/>
        <v>174.19418261322105</v>
      </c>
      <c r="R13">
        <f t="shared" si="6"/>
        <v>10.65</v>
      </c>
      <c r="S13">
        <f t="shared" si="7"/>
        <v>21.72</v>
      </c>
      <c r="T13">
        <f t="shared" si="8"/>
        <v>10</v>
      </c>
      <c r="U13" s="5">
        <f t="shared" si="9"/>
        <v>2.62</v>
      </c>
      <c r="V13">
        <f t="shared" si="11"/>
        <v>0</v>
      </c>
      <c r="Y13" s="4"/>
    </row>
    <row r="14" spans="1:25" x14ac:dyDescent="0.55000000000000004">
      <c r="A14" t="s">
        <v>399</v>
      </c>
      <c r="B14" s="1">
        <v>1757</v>
      </c>
      <c r="C14" t="s">
        <v>389</v>
      </c>
      <c r="D14" s="1">
        <v>3541341</v>
      </c>
      <c r="E14">
        <v>1326179</v>
      </c>
      <c r="F14">
        <v>754.8</v>
      </c>
      <c r="G14">
        <v>1302898</v>
      </c>
      <c r="H14">
        <v>741.55</v>
      </c>
      <c r="I14">
        <f t="shared" si="0"/>
        <v>1</v>
      </c>
      <c r="J14" s="5">
        <f t="shared" si="1"/>
        <v>44733.22</v>
      </c>
      <c r="K14" s="4">
        <f t="shared" si="2"/>
        <v>1560891.1198970287</v>
      </c>
      <c r="L14">
        <f t="shared" si="10"/>
        <v>0</v>
      </c>
      <c r="M14" s="5">
        <f t="shared" si="3"/>
        <v>1346433.5043382123</v>
      </c>
      <c r="N14">
        <v>1302898</v>
      </c>
      <c r="O14" s="5">
        <v>0</v>
      </c>
      <c r="P14" s="5">
        <f t="shared" si="4"/>
        <v>1346433.5043382123</v>
      </c>
      <c r="Q14" s="5">
        <f t="shared" si="5"/>
        <v>766.32527281628472</v>
      </c>
      <c r="R14">
        <f t="shared" si="6"/>
        <v>3.34</v>
      </c>
      <c r="S14">
        <f t="shared" si="7"/>
        <v>3.34</v>
      </c>
      <c r="T14">
        <f t="shared" si="8"/>
        <v>0</v>
      </c>
      <c r="U14" s="5">
        <f t="shared" si="9"/>
        <v>11.53</v>
      </c>
      <c r="V14">
        <f t="shared" si="11"/>
        <v>0</v>
      </c>
      <c r="Y14" s="4"/>
    </row>
    <row r="15" spans="1:25" x14ac:dyDescent="0.55000000000000004">
      <c r="A15" t="s">
        <v>400</v>
      </c>
      <c r="B15" s="1">
        <v>1550</v>
      </c>
      <c r="C15" t="s">
        <v>389</v>
      </c>
      <c r="D15" s="1">
        <v>2795941</v>
      </c>
      <c r="E15">
        <v>1047038</v>
      </c>
      <c r="F15">
        <v>675.51</v>
      </c>
      <c r="G15" s="1">
        <v>1022486</v>
      </c>
      <c r="H15">
        <v>659.67</v>
      </c>
      <c r="I15">
        <f t="shared" si="0"/>
        <v>1</v>
      </c>
      <c r="J15" s="5">
        <f t="shared" si="1"/>
        <v>39463</v>
      </c>
      <c r="K15" s="4">
        <f t="shared" si="2"/>
        <v>1232346.5824545047</v>
      </c>
      <c r="L15">
        <f t="shared" si="10"/>
        <v>0</v>
      </c>
      <c r="M15" s="5">
        <f t="shared" si="3"/>
        <v>1063029.1289522487</v>
      </c>
      <c r="N15">
        <v>1022486</v>
      </c>
      <c r="O15" s="5">
        <v>0</v>
      </c>
      <c r="P15" s="5">
        <f t="shared" si="4"/>
        <v>1063029.1289522487</v>
      </c>
      <c r="Q15" s="5">
        <f t="shared" si="5"/>
        <v>685.82524448532172</v>
      </c>
      <c r="R15">
        <f t="shared" si="6"/>
        <v>3.97</v>
      </c>
      <c r="S15">
        <f t="shared" si="7"/>
        <v>3.97</v>
      </c>
      <c r="T15">
        <f t="shared" si="8"/>
        <v>0</v>
      </c>
      <c r="U15" s="5">
        <f t="shared" si="9"/>
        <v>10.32</v>
      </c>
      <c r="V15">
        <f t="shared" si="11"/>
        <v>0</v>
      </c>
      <c r="X15" t="s">
        <v>469</v>
      </c>
      <c r="Y15" s="4">
        <f>SUM(M2:M69)</f>
        <v>153152833.99999994</v>
      </c>
    </row>
    <row r="16" spans="1:25" x14ac:dyDescent="0.55000000000000004">
      <c r="A16" t="s">
        <v>401</v>
      </c>
      <c r="B16" s="1">
        <v>5612</v>
      </c>
      <c r="C16" t="s">
        <v>389</v>
      </c>
      <c r="D16" s="1">
        <v>5033347</v>
      </c>
      <c r="E16" s="1">
        <v>1884913</v>
      </c>
      <c r="F16">
        <v>335.87</v>
      </c>
      <c r="G16" s="1">
        <v>2242735</v>
      </c>
      <c r="H16">
        <v>399.63</v>
      </c>
      <c r="I16">
        <f t="shared" si="0"/>
        <v>1</v>
      </c>
      <c r="J16" s="5">
        <f t="shared" si="1"/>
        <v>142881.52000000002</v>
      </c>
      <c r="K16" s="4">
        <f t="shared" si="2"/>
        <v>2218511.7546320306</v>
      </c>
      <c r="L16">
        <f t="shared" si="10"/>
        <v>0</v>
      </c>
      <c r="M16" s="5">
        <f t="shared" si="3"/>
        <v>1913700.7816418207</v>
      </c>
      <c r="N16">
        <v>2312098</v>
      </c>
      <c r="O16" s="5">
        <v>0</v>
      </c>
      <c r="P16" s="5">
        <f t="shared" si="4"/>
        <v>1913700.7816418207</v>
      </c>
      <c r="Q16" s="5">
        <f t="shared" si="5"/>
        <v>341.00156479718828</v>
      </c>
      <c r="R16">
        <f t="shared" si="6"/>
        <v>-14.67</v>
      </c>
      <c r="S16">
        <f t="shared" si="7"/>
        <v>-17.23</v>
      </c>
      <c r="T16">
        <f t="shared" si="8"/>
        <v>-3</v>
      </c>
      <c r="U16" s="5">
        <f t="shared" si="9"/>
        <v>5.13</v>
      </c>
      <c r="V16">
        <f t="shared" si="11"/>
        <v>1</v>
      </c>
      <c r="Y16" s="4"/>
    </row>
    <row r="17" spans="1:25" x14ac:dyDescent="0.55000000000000004">
      <c r="A17" t="s">
        <v>402</v>
      </c>
      <c r="B17" s="1">
        <v>15951</v>
      </c>
      <c r="C17" t="s">
        <v>389</v>
      </c>
      <c r="D17" s="1">
        <v>7930879</v>
      </c>
      <c r="E17">
        <v>2969995</v>
      </c>
      <c r="F17">
        <v>186.19</v>
      </c>
      <c r="G17">
        <v>2514994</v>
      </c>
      <c r="H17">
        <v>157.66999999999999</v>
      </c>
      <c r="I17">
        <f t="shared" si="0"/>
        <v>1</v>
      </c>
      <c r="J17" s="5">
        <f t="shared" si="1"/>
        <v>406112.46</v>
      </c>
      <c r="K17" s="4">
        <f t="shared" si="2"/>
        <v>3495635.863385601</v>
      </c>
      <c r="L17">
        <f t="shared" si="10"/>
        <v>0</v>
      </c>
      <c r="M17" s="5">
        <f t="shared" si="3"/>
        <v>3015355.2579241414</v>
      </c>
      <c r="N17">
        <v>2286358</v>
      </c>
      <c r="O17" s="5">
        <v>0</v>
      </c>
      <c r="P17" s="5">
        <f t="shared" si="4"/>
        <v>3015355.2579241414</v>
      </c>
      <c r="Q17" s="5">
        <f t="shared" si="5"/>
        <v>189.0386344382259</v>
      </c>
      <c r="R17">
        <f t="shared" si="6"/>
        <v>19.899999999999999</v>
      </c>
      <c r="S17">
        <f t="shared" si="7"/>
        <v>31.88</v>
      </c>
      <c r="T17">
        <f t="shared" si="8"/>
        <v>10</v>
      </c>
      <c r="U17" s="5">
        <f t="shared" si="9"/>
        <v>2.85</v>
      </c>
      <c r="V17">
        <f t="shared" si="11"/>
        <v>1</v>
      </c>
      <c r="X17" t="s">
        <v>474</v>
      </c>
      <c r="Y17" s="4" cm="1">
        <f t="array" ref="Y17">IF(Y8=30%, 0, SUMPRODUCT(IF(U2:U69 &lt; 0, 1, 0), U2:U69, B2:B69)/SUMPRODUCT(IF(U2:U69 &lt; 0, 1, 0), B2:B69))</f>
        <v>0</v>
      </c>
    </row>
    <row r="18" spans="1:25" x14ac:dyDescent="0.55000000000000004">
      <c r="A18" t="s">
        <v>403</v>
      </c>
      <c r="B18" s="1">
        <v>1041</v>
      </c>
      <c r="C18" t="s">
        <v>389</v>
      </c>
      <c r="D18" s="1">
        <v>2530281</v>
      </c>
      <c r="E18">
        <v>947552</v>
      </c>
      <c r="F18">
        <v>910.23</v>
      </c>
      <c r="G18">
        <v>922471</v>
      </c>
      <c r="H18">
        <v>886.14</v>
      </c>
      <c r="I18">
        <f t="shared" si="0"/>
        <v>1</v>
      </c>
      <c r="J18" s="5">
        <f t="shared" si="1"/>
        <v>26503.86</v>
      </c>
      <c r="K18" s="4">
        <f t="shared" si="2"/>
        <v>1115253.5561371169</v>
      </c>
      <c r="L18">
        <f t="shared" si="10"/>
        <v>0</v>
      </c>
      <c r="M18" s="5">
        <f t="shared" si="3"/>
        <v>962024.02247916709</v>
      </c>
      <c r="N18">
        <v>893285</v>
      </c>
      <c r="O18" s="5">
        <v>0</v>
      </c>
      <c r="P18" s="5">
        <f t="shared" si="4"/>
        <v>962024.02247916709</v>
      </c>
      <c r="Q18" s="5">
        <f t="shared" si="5"/>
        <v>924.13450766490598</v>
      </c>
      <c r="R18">
        <f t="shared" si="6"/>
        <v>4.29</v>
      </c>
      <c r="S18">
        <f t="shared" si="7"/>
        <v>7.7</v>
      </c>
      <c r="T18">
        <f t="shared" si="8"/>
        <v>3.27</v>
      </c>
      <c r="U18" s="5">
        <f t="shared" si="9"/>
        <v>13.9</v>
      </c>
      <c r="V18">
        <f t="shared" si="11"/>
        <v>0</v>
      </c>
      <c r="Y18" s="4"/>
    </row>
    <row r="19" spans="1:25" x14ac:dyDescent="0.55000000000000004">
      <c r="A19" t="s">
        <v>404</v>
      </c>
      <c r="B19" s="1">
        <v>1673</v>
      </c>
      <c r="C19" t="s">
        <v>389</v>
      </c>
      <c r="D19" s="1">
        <v>3695411</v>
      </c>
      <c r="E19">
        <v>1383876</v>
      </c>
      <c r="F19">
        <v>827.18</v>
      </c>
      <c r="G19" s="1">
        <v>1360179</v>
      </c>
      <c r="H19">
        <v>813.02</v>
      </c>
      <c r="I19">
        <f t="shared" si="0"/>
        <v>1</v>
      </c>
      <c r="J19" s="5">
        <f t="shared" si="1"/>
        <v>42594.58</v>
      </c>
      <c r="K19" s="4">
        <f t="shared" si="2"/>
        <v>1628799.4333981955</v>
      </c>
      <c r="L19">
        <f t="shared" si="10"/>
        <v>0</v>
      </c>
      <c r="M19" s="5">
        <f t="shared" si="3"/>
        <v>1405011.5994760112</v>
      </c>
      <c r="N19">
        <v>1360179</v>
      </c>
      <c r="O19" s="5">
        <v>0</v>
      </c>
      <c r="P19" s="5">
        <f t="shared" si="4"/>
        <v>1405011.5994760112</v>
      </c>
      <c r="Q19" s="5">
        <f t="shared" si="5"/>
        <v>839.81566017693444</v>
      </c>
      <c r="R19">
        <f t="shared" si="6"/>
        <v>3.3</v>
      </c>
      <c r="S19">
        <f t="shared" si="7"/>
        <v>3.3</v>
      </c>
      <c r="T19">
        <f t="shared" si="8"/>
        <v>0</v>
      </c>
      <c r="U19" s="5">
        <f t="shared" si="9"/>
        <v>12.64</v>
      </c>
      <c r="V19">
        <f t="shared" si="11"/>
        <v>0</v>
      </c>
      <c r="X19" t="s">
        <v>498</v>
      </c>
      <c r="Y19" s="4" cm="1">
        <f t="array" ref="Y19">SUMPRODUCT(O2:O69, 1- L2:L69)</f>
        <v>0</v>
      </c>
    </row>
    <row r="20" spans="1:25" x14ac:dyDescent="0.55000000000000004">
      <c r="A20" t="s">
        <v>405</v>
      </c>
      <c r="B20" s="1">
        <v>1332</v>
      </c>
      <c r="C20" t="s">
        <v>389</v>
      </c>
      <c r="D20" s="1">
        <v>3263295</v>
      </c>
      <c r="E20">
        <v>1222055</v>
      </c>
      <c r="F20">
        <v>917.46</v>
      </c>
      <c r="G20">
        <v>1189708</v>
      </c>
      <c r="H20">
        <v>893.17</v>
      </c>
      <c r="I20">
        <f t="shared" si="0"/>
        <v>1</v>
      </c>
      <c r="J20" s="5">
        <f t="shared" si="1"/>
        <v>33912.720000000001</v>
      </c>
      <c r="K20" s="4">
        <f t="shared" si="2"/>
        <v>1438338.8064307768</v>
      </c>
      <c r="L20">
        <f t="shared" si="10"/>
        <v>0</v>
      </c>
      <c r="M20" s="5">
        <f t="shared" si="3"/>
        <v>1240719.1859070805</v>
      </c>
      <c r="N20">
        <v>1163763</v>
      </c>
      <c r="O20" s="5">
        <v>0</v>
      </c>
      <c r="P20" s="5">
        <f t="shared" si="4"/>
        <v>1240719.1859070805</v>
      </c>
      <c r="Q20" s="5">
        <f t="shared" si="5"/>
        <v>931.47086029060097</v>
      </c>
      <c r="R20">
        <f t="shared" si="6"/>
        <v>4.29</v>
      </c>
      <c r="S20">
        <f t="shared" si="7"/>
        <v>6.61</v>
      </c>
      <c r="T20">
        <f t="shared" si="8"/>
        <v>2.23</v>
      </c>
      <c r="U20" s="5">
        <f t="shared" si="9"/>
        <v>14.01</v>
      </c>
      <c r="V20">
        <f t="shared" si="11"/>
        <v>0</v>
      </c>
      <c r="X20" t="s">
        <v>510</v>
      </c>
      <c r="Y20" s="4">
        <v>0</v>
      </c>
    </row>
    <row r="21" spans="1:25" x14ac:dyDescent="0.55000000000000004">
      <c r="A21" t="s">
        <v>406</v>
      </c>
      <c r="B21" s="1">
        <v>26789</v>
      </c>
      <c r="C21" t="s">
        <v>389</v>
      </c>
      <c r="D21" s="1">
        <v>7266229</v>
      </c>
      <c r="E21">
        <v>2721094</v>
      </c>
      <c r="F21">
        <v>101.58</v>
      </c>
      <c r="G21">
        <v>2339929</v>
      </c>
      <c r="H21">
        <v>87.35</v>
      </c>
      <c r="I21">
        <f t="shared" si="0"/>
        <v>1</v>
      </c>
      <c r="J21" s="5">
        <f t="shared" si="1"/>
        <v>682047.94000000006</v>
      </c>
      <c r="K21" s="4">
        <f t="shared" si="2"/>
        <v>3202682.916228137</v>
      </c>
      <c r="L21">
        <f t="shared" si="10"/>
        <v>0</v>
      </c>
      <c r="M21" s="5">
        <f t="shared" si="3"/>
        <v>2762652.3895309553</v>
      </c>
      <c r="N21">
        <v>2127208</v>
      </c>
      <c r="O21" s="5">
        <v>0</v>
      </c>
      <c r="P21" s="5">
        <f t="shared" si="4"/>
        <v>2762652.3895309553</v>
      </c>
      <c r="Q21" s="5">
        <f t="shared" si="5"/>
        <v>103.12637237414444</v>
      </c>
      <c r="R21">
        <f t="shared" si="6"/>
        <v>18.07</v>
      </c>
      <c r="S21">
        <f t="shared" si="7"/>
        <v>29.87</v>
      </c>
      <c r="T21">
        <f t="shared" si="8"/>
        <v>10</v>
      </c>
      <c r="U21" s="5">
        <f t="shared" si="9"/>
        <v>1.55</v>
      </c>
      <c r="V21">
        <f t="shared" si="11"/>
        <v>0</v>
      </c>
      <c r="Y21" s="4"/>
    </row>
    <row r="22" spans="1:25" x14ac:dyDescent="0.55000000000000004">
      <c r="A22" t="s">
        <v>407</v>
      </c>
      <c r="B22" s="1">
        <v>4132</v>
      </c>
      <c r="C22" t="s">
        <v>389</v>
      </c>
      <c r="D22" s="1">
        <v>6379179</v>
      </c>
      <c r="E22" s="1">
        <v>2388907</v>
      </c>
      <c r="F22">
        <v>578.15</v>
      </c>
      <c r="G22" s="1">
        <v>2524183</v>
      </c>
      <c r="H22">
        <v>610.89</v>
      </c>
      <c r="I22">
        <f t="shared" si="0"/>
        <v>1</v>
      </c>
      <c r="J22" s="5">
        <f t="shared" si="1"/>
        <v>105200.72</v>
      </c>
      <c r="K22" s="4">
        <f t="shared" si="2"/>
        <v>2811704.3383660619</v>
      </c>
      <c r="L22">
        <f t="shared" si="10"/>
        <v>0</v>
      </c>
      <c r="M22" s="5">
        <f t="shared" si="3"/>
        <v>2425392.0579155558</v>
      </c>
      <c r="N22">
        <v>2524184</v>
      </c>
      <c r="O22" s="5">
        <v>0</v>
      </c>
      <c r="P22" s="5">
        <f t="shared" si="4"/>
        <v>2425392.0579155558</v>
      </c>
      <c r="Q22" s="5">
        <f t="shared" si="5"/>
        <v>586.97774876949563</v>
      </c>
      <c r="R22">
        <f t="shared" si="6"/>
        <v>-3.91</v>
      </c>
      <c r="S22">
        <f t="shared" si="7"/>
        <v>-3.91</v>
      </c>
      <c r="T22">
        <f t="shared" si="8"/>
        <v>0</v>
      </c>
      <c r="U22" s="5">
        <f t="shared" si="9"/>
        <v>8.83</v>
      </c>
      <c r="V22">
        <f t="shared" si="11"/>
        <v>0</v>
      </c>
      <c r="X22" t="s">
        <v>512</v>
      </c>
      <c r="Y22" s="4">
        <f>MIN(S2:S69)</f>
        <v>-76.7</v>
      </c>
    </row>
    <row r="23" spans="1:25" x14ac:dyDescent="0.55000000000000004">
      <c r="A23" t="s">
        <v>408</v>
      </c>
      <c r="B23" s="1">
        <v>9044</v>
      </c>
      <c r="C23" t="s">
        <v>389</v>
      </c>
      <c r="D23" s="1">
        <v>3813351</v>
      </c>
      <c r="E23" s="1">
        <v>1428043</v>
      </c>
      <c r="F23">
        <v>157.9</v>
      </c>
      <c r="G23" s="1">
        <v>1733614</v>
      </c>
      <c r="H23">
        <v>191.69</v>
      </c>
      <c r="I23">
        <f t="shared" si="0"/>
        <v>1</v>
      </c>
      <c r="J23" s="5">
        <f t="shared" si="1"/>
        <v>230260.24000000002</v>
      </c>
      <c r="K23" s="4">
        <f t="shared" si="2"/>
        <v>1680782.9895371427</v>
      </c>
      <c r="L23">
        <f t="shared" si="10"/>
        <v>0</v>
      </c>
      <c r="M23" s="5">
        <f t="shared" si="3"/>
        <v>1449852.9088844103</v>
      </c>
      <c r="N23">
        <v>1787231</v>
      </c>
      <c r="O23" s="5">
        <v>0</v>
      </c>
      <c r="P23" s="5">
        <f t="shared" si="4"/>
        <v>1449852.9088844103</v>
      </c>
      <c r="Q23" s="5">
        <f t="shared" si="5"/>
        <v>160.31102486559158</v>
      </c>
      <c r="R23">
        <f t="shared" si="6"/>
        <v>-16.37</v>
      </c>
      <c r="S23">
        <f t="shared" si="7"/>
        <v>-18.88</v>
      </c>
      <c r="T23">
        <f t="shared" si="8"/>
        <v>-3</v>
      </c>
      <c r="U23" s="5">
        <f t="shared" si="9"/>
        <v>2.41</v>
      </c>
      <c r="V23">
        <f t="shared" si="11"/>
        <v>1</v>
      </c>
      <c r="X23" t="s">
        <v>513</v>
      </c>
      <c r="Y23" s="4">
        <f xml:space="preserve"> MAX(S2:S69)</f>
        <v>82.26</v>
      </c>
    </row>
    <row r="24" spans="1:25" x14ac:dyDescent="0.55000000000000004">
      <c r="A24" t="s">
        <v>409</v>
      </c>
      <c r="B24" s="1">
        <v>38766</v>
      </c>
      <c r="C24" t="s">
        <v>386</v>
      </c>
      <c r="D24" s="1">
        <v>-25889261</v>
      </c>
      <c r="E24">
        <v>986982</v>
      </c>
      <c r="F24">
        <v>25.46</v>
      </c>
      <c r="G24">
        <v>986982</v>
      </c>
      <c r="H24">
        <v>25.46</v>
      </c>
      <c r="I24">
        <f t="shared" si="0"/>
        <v>0</v>
      </c>
      <c r="J24" s="5">
        <f t="shared" si="1"/>
        <v>986982.36</v>
      </c>
      <c r="K24" s="4">
        <f t="shared" si="2"/>
        <v>0</v>
      </c>
      <c r="L24">
        <f t="shared" si="10"/>
        <v>1</v>
      </c>
      <c r="M24" s="5">
        <f t="shared" si="3"/>
        <v>986982.36</v>
      </c>
      <c r="N24">
        <v>953726</v>
      </c>
      <c r="O24" s="5">
        <v>0</v>
      </c>
      <c r="P24" s="5">
        <f t="shared" si="4"/>
        <v>986982.36</v>
      </c>
      <c r="Q24" s="5">
        <f t="shared" si="5"/>
        <v>25.46</v>
      </c>
      <c r="R24">
        <f t="shared" si="6"/>
        <v>0</v>
      </c>
      <c r="S24">
        <f t="shared" si="7"/>
        <v>3.49</v>
      </c>
      <c r="T24">
        <f t="shared" si="8"/>
        <v>3.49</v>
      </c>
      <c r="U24" s="5">
        <f t="shared" si="9"/>
        <v>0</v>
      </c>
      <c r="V24">
        <f t="shared" si="11"/>
        <v>0</v>
      </c>
      <c r="Y24" s="4"/>
    </row>
    <row r="25" spans="1:25" x14ac:dyDescent="0.55000000000000004">
      <c r="A25" t="s">
        <v>410</v>
      </c>
      <c r="B25" s="1">
        <v>5125</v>
      </c>
      <c r="C25" t="s">
        <v>389</v>
      </c>
      <c r="D25" s="1">
        <v>5308016</v>
      </c>
      <c r="E25" s="1">
        <v>1987772</v>
      </c>
      <c r="F25">
        <v>387.86</v>
      </c>
      <c r="G25" s="1">
        <v>2264795</v>
      </c>
      <c r="H25">
        <v>441.91</v>
      </c>
      <c r="I25">
        <f t="shared" si="0"/>
        <v>1</v>
      </c>
      <c r="J25" s="5">
        <f t="shared" si="1"/>
        <v>130482.5</v>
      </c>
      <c r="K25" s="4">
        <f t="shared" si="2"/>
        <v>2339575.6123658656</v>
      </c>
      <c r="L25">
        <f t="shared" si="10"/>
        <v>0</v>
      </c>
      <c r="M25" s="5">
        <f t="shared" si="3"/>
        <v>2018131.1497433598</v>
      </c>
      <c r="N25">
        <v>2287672</v>
      </c>
      <c r="O25" s="5">
        <v>0</v>
      </c>
      <c r="P25" s="5">
        <f t="shared" si="4"/>
        <v>2018131.1497433598</v>
      </c>
      <c r="Q25" s="5">
        <f t="shared" si="5"/>
        <v>393.78168775480191</v>
      </c>
      <c r="R25">
        <f t="shared" si="6"/>
        <v>-10.89</v>
      </c>
      <c r="S25">
        <f t="shared" si="7"/>
        <v>-11.78</v>
      </c>
      <c r="T25">
        <f t="shared" si="8"/>
        <v>-1</v>
      </c>
      <c r="U25" s="5">
        <f t="shared" si="9"/>
        <v>5.92</v>
      </c>
      <c r="V25">
        <f t="shared" si="11"/>
        <v>0</v>
      </c>
      <c r="Y25" s="4"/>
    </row>
    <row r="26" spans="1:25" x14ac:dyDescent="0.55000000000000004">
      <c r="A26" t="s">
        <v>411</v>
      </c>
      <c r="B26" s="1">
        <v>1016</v>
      </c>
      <c r="C26" t="s">
        <v>389</v>
      </c>
      <c r="D26" s="1">
        <v>3675209</v>
      </c>
      <c r="E26" s="1">
        <v>1376311</v>
      </c>
      <c r="F26" s="2">
        <v>1354.64</v>
      </c>
      <c r="G26" s="1">
        <v>1383475</v>
      </c>
      <c r="H26" s="2">
        <v>1361.69</v>
      </c>
      <c r="I26">
        <f t="shared" si="0"/>
        <v>1</v>
      </c>
      <c r="J26" s="5">
        <f t="shared" si="1"/>
        <v>25867.360000000001</v>
      </c>
      <c r="K26" s="4">
        <f t="shared" si="2"/>
        <v>1619895.1447673745</v>
      </c>
      <c r="L26">
        <f t="shared" si="10"/>
        <v>0</v>
      </c>
      <c r="M26" s="5">
        <f t="shared" si="3"/>
        <v>1397330.7097637127</v>
      </c>
      <c r="N26">
        <v>1383475</v>
      </c>
      <c r="O26" s="5">
        <v>0</v>
      </c>
      <c r="P26" s="5">
        <f t="shared" si="4"/>
        <v>1397330.7097637127</v>
      </c>
      <c r="Q26" s="5">
        <f t="shared" si="5"/>
        <v>1375.3255017359377</v>
      </c>
      <c r="R26">
        <f t="shared" si="6"/>
        <v>1</v>
      </c>
      <c r="S26">
        <f t="shared" si="7"/>
        <v>1</v>
      </c>
      <c r="T26">
        <f t="shared" si="8"/>
        <v>0</v>
      </c>
      <c r="U26" s="5">
        <f t="shared" si="9"/>
        <v>20.69</v>
      </c>
      <c r="V26">
        <f t="shared" si="11"/>
        <v>0</v>
      </c>
      <c r="Y26" s="4"/>
    </row>
    <row r="27" spans="1:25" x14ac:dyDescent="0.55000000000000004">
      <c r="A27" t="s">
        <v>412</v>
      </c>
      <c r="B27" s="1">
        <v>1059</v>
      </c>
      <c r="C27" t="s">
        <v>389</v>
      </c>
      <c r="D27" s="1">
        <v>3330594</v>
      </c>
      <c r="E27" s="1">
        <v>1247258</v>
      </c>
      <c r="F27" s="2">
        <v>1177.77</v>
      </c>
      <c r="G27" s="1">
        <v>1222187</v>
      </c>
      <c r="H27" s="2">
        <v>1154.0899999999999</v>
      </c>
      <c r="I27">
        <f t="shared" si="0"/>
        <v>1</v>
      </c>
      <c r="J27" s="5">
        <f t="shared" si="1"/>
        <v>26962.14</v>
      </c>
      <c r="K27" s="4">
        <f t="shared" si="2"/>
        <v>1468001.6972616657</v>
      </c>
      <c r="L27">
        <f t="shared" si="10"/>
        <v>0</v>
      </c>
      <c r="M27" s="5">
        <f t="shared" si="3"/>
        <v>1266306.5632334824</v>
      </c>
      <c r="N27">
        <v>1222187</v>
      </c>
      <c r="O27" s="5">
        <v>0</v>
      </c>
      <c r="P27" s="5">
        <f t="shared" si="4"/>
        <v>1266306.5632334824</v>
      </c>
      <c r="Q27" s="5">
        <f t="shared" si="5"/>
        <v>1195.7569057917681</v>
      </c>
      <c r="R27">
        <f t="shared" si="6"/>
        <v>3.61</v>
      </c>
      <c r="S27">
        <f t="shared" si="7"/>
        <v>3.61</v>
      </c>
      <c r="T27">
        <f t="shared" si="8"/>
        <v>0</v>
      </c>
      <c r="U27" s="5">
        <f t="shared" si="9"/>
        <v>17.989999999999998</v>
      </c>
      <c r="V27">
        <f t="shared" si="11"/>
        <v>0</v>
      </c>
      <c r="Y27" s="4"/>
    </row>
    <row r="28" spans="1:25" x14ac:dyDescent="0.55000000000000004">
      <c r="A28" t="s">
        <v>413</v>
      </c>
      <c r="B28" s="1">
        <v>2393</v>
      </c>
      <c r="C28" t="s">
        <v>389</v>
      </c>
      <c r="D28" s="1">
        <v>-10901</v>
      </c>
      <c r="E28" s="1">
        <v>60926</v>
      </c>
      <c r="F28">
        <v>25.46</v>
      </c>
      <c r="G28" s="1">
        <v>222306</v>
      </c>
      <c r="H28">
        <v>92.9</v>
      </c>
      <c r="I28">
        <f t="shared" si="0"/>
        <v>0</v>
      </c>
      <c r="J28" s="5">
        <f t="shared" si="1"/>
        <v>60925.78</v>
      </c>
      <c r="K28" s="4">
        <f t="shared" si="2"/>
        <v>0</v>
      </c>
      <c r="L28">
        <f t="shared" si="10"/>
        <v>1</v>
      </c>
      <c r="M28" s="5">
        <f t="shared" si="3"/>
        <v>60925.78</v>
      </c>
      <c r="N28">
        <v>261537</v>
      </c>
      <c r="O28" s="5">
        <v>0</v>
      </c>
      <c r="P28" s="5">
        <f t="shared" si="4"/>
        <v>60925.78</v>
      </c>
      <c r="Q28" s="5">
        <f t="shared" si="5"/>
        <v>25.46</v>
      </c>
      <c r="R28">
        <f t="shared" si="6"/>
        <v>-72.59</v>
      </c>
      <c r="S28">
        <f t="shared" si="7"/>
        <v>-76.7</v>
      </c>
      <c r="T28">
        <f t="shared" si="8"/>
        <v>-15</v>
      </c>
      <c r="U28" s="5">
        <f t="shared" si="9"/>
        <v>0</v>
      </c>
      <c r="V28">
        <f t="shared" si="11"/>
        <v>1</v>
      </c>
    </row>
    <row r="29" spans="1:25" x14ac:dyDescent="0.55000000000000004">
      <c r="A29" t="s">
        <v>414</v>
      </c>
      <c r="B29" s="1">
        <v>16616</v>
      </c>
      <c r="C29" t="s">
        <v>389</v>
      </c>
      <c r="D29" s="1">
        <v>5843962</v>
      </c>
      <c r="E29" s="1">
        <v>2188476</v>
      </c>
      <c r="F29">
        <v>131.71</v>
      </c>
      <c r="G29" s="1">
        <v>1584830</v>
      </c>
      <c r="H29">
        <v>95.38</v>
      </c>
      <c r="I29">
        <f t="shared" si="0"/>
        <v>1</v>
      </c>
      <c r="J29" s="5">
        <f t="shared" si="1"/>
        <v>423043.36</v>
      </c>
      <c r="K29" s="4">
        <f t="shared" si="2"/>
        <v>2575800.6333803153</v>
      </c>
      <c r="L29">
        <f t="shared" si="10"/>
        <v>0</v>
      </c>
      <c r="M29" s="5">
        <f t="shared" si="3"/>
        <v>2221900.1883408991</v>
      </c>
      <c r="N29">
        <v>1219100</v>
      </c>
      <c r="O29" s="5">
        <v>0</v>
      </c>
      <c r="P29" s="5">
        <f t="shared" si="4"/>
        <v>2221900.1883408991</v>
      </c>
      <c r="Q29" s="5">
        <f t="shared" si="5"/>
        <v>133.72052168638055</v>
      </c>
      <c r="R29">
        <f t="shared" si="6"/>
        <v>40.200000000000003</v>
      </c>
      <c r="S29">
        <f t="shared" si="7"/>
        <v>82.26</v>
      </c>
      <c r="T29">
        <f t="shared" si="8"/>
        <v>30</v>
      </c>
      <c r="U29" s="5">
        <f t="shared" si="9"/>
        <v>2.0099999999999998</v>
      </c>
      <c r="V29">
        <f t="shared" si="11"/>
        <v>1</v>
      </c>
    </row>
    <row r="30" spans="1:25" x14ac:dyDescent="0.55000000000000004">
      <c r="A30" t="s">
        <v>415</v>
      </c>
      <c r="B30" s="1">
        <v>6154</v>
      </c>
      <c r="C30" t="s">
        <v>389</v>
      </c>
      <c r="D30" s="1">
        <v>2138439</v>
      </c>
      <c r="E30" s="1">
        <v>800813</v>
      </c>
      <c r="F30">
        <v>130.13</v>
      </c>
      <c r="G30" s="1">
        <v>757379</v>
      </c>
      <c r="H30">
        <v>123.07</v>
      </c>
      <c r="I30">
        <f t="shared" si="0"/>
        <v>1</v>
      </c>
      <c r="J30" s="5">
        <f t="shared" si="1"/>
        <v>156680.84</v>
      </c>
      <c r="K30" s="4">
        <f t="shared" si="2"/>
        <v>942544.20727670169</v>
      </c>
      <c r="L30">
        <f t="shared" si="10"/>
        <v>0</v>
      </c>
      <c r="M30" s="5">
        <f t="shared" si="3"/>
        <v>813043.96176010778</v>
      </c>
      <c r="N30">
        <v>688526</v>
      </c>
      <c r="O30" s="5">
        <v>0</v>
      </c>
      <c r="P30" s="5">
        <f t="shared" si="4"/>
        <v>813043.96176010778</v>
      </c>
      <c r="Q30" s="5">
        <f t="shared" si="5"/>
        <v>132.11634087749559</v>
      </c>
      <c r="R30">
        <f t="shared" si="6"/>
        <v>7.35</v>
      </c>
      <c r="S30">
        <f t="shared" si="7"/>
        <v>18.079999999999998</v>
      </c>
      <c r="T30">
        <f t="shared" si="8"/>
        <v>10</v>
      </c>
      <c r="U30" s="5">
        <f t="shared" si="9"/>
        <v>1.99</v>
      </c>
      <c r="V30">
        <f t="shared" si="11"/>
        <v>0</v>
      </c>
    </row>
    <row r="31" spans="1:25" x14ac:dyDescent="0.55000000000000004">
      <c r="A31" t="s">
        <v>416</v>
      </c>
      <c r="B31" s="1">
        <v>11897</v>
      </c>
      <c r="C31" t="s">
        <v>389</v>
      </c>
      <c r="D31" s="1">
        <v>11971323</v>
      </c>
      <c r="E31" s="1">
        <v>4483081</v>
      </c>
      <c r="F31">
        <v>376.82</v>
      </c>
      <c r="G31" s="1">
        <v>4370595</v>
      </c>
      <c r="H31">
        <v>367.37</v>
      </c>
      <c r="I31">
        <f t="shared" si="0"/>
        <v>1</v>
      </c>
      <c r="J31" s="5">
        <f t="shared" si="1"/>
        <v>302897.62</v>
      </c>
      <c r="K31" s="4">
        <f t="shared" si="2"/>
        <v>5276512.9831098039</v>
      </c>
      <c r="L31">
        <f t="shared" si="10"/>
        <v>0</v>
      </c>
      <c r="M31" s="5">
        <f t="shared" si="3"/>
        <v>4551549.9293783456</v>
      </c>
      <c r="N31">
        <v>4370595</v>
      </c>
      <c r="O31" s="5">
        <v>0</v>
      </c>
      <c r="P31" s="5">
        <f t="shared" si="4"/>
        <v>4551549.9293783456</v>
      </c>
      <c r="Q31" s="5">
        <f t="shared" si="5"/>
        <v>382.57963599044677</v>
      </c>
      <c r="R31">
        <f t="shared" si="6"/>
        <v>4.1399999999999997</v>
      </c>
      <c r="S31">
        <f t="shared" si="7"/>
        <v>4.1399999999999997</v>
      </c>
      <c r="T31">
        <f t="shared" si="8"/>
        <v>0</v>
      </c>
      <c r="U31" s="5">
        <f t="shared" si="9"/>
        <v>5.76</v>
      </c>
      <c r="V31">
        <f t="shared" si="11"/>
        <v>0</v>
      </c>
    </row>
    <row r="32" spans="1:25" x14ac:dyDescent="0.55000000000000004">
      <c r="A32" t="s">
        <v>417</v>
      </c>
      <c r="B32" s="1">
        <v>98493</v>
      </c>
      <c r="C32" t="s">
        <v>386</v>
      </c>
      <c r="D32" s="1">
        <v>-10387866</v>
      </c>
      <c r="E32" s="1">
        <v>2507632</v>
      </c>
      <c r="F32">
        <v>25.46</v>
      </c>
      <c r="G32" s="1">
        <v>2507632</v>
      </c>
      <c r="H32">
        <v>25.46</v>
      </c>
      <c r="I32">
        <f t="shared" si="0"/>
        <v>0</v>
      </c>
      <c r="J32" s="5">
        <f t="shared" si="1"/>
        <v>2507631.7800000003</v>
      </c>
      <c r="K32" s="4">
        <f t="shared" si="2"/>
        <v>0</v>
      </c>
      <c r="L32">
        <f t="shared" si="10"/>
        <v>1</v>
      </c>
      <c r="M32" s="5">
        <f t="shared" si="3"/>
        <v>2507631.7800000003</v>
      </c>
      <c r="N32">
        <v>2422041</v>
      </c>
      <c r="O32" s="5">
        <v>0</v>
      </c>
      <c r="P32" s="5">
        <f t="shared" si="4"/>
        <v>2507631.7800000003</v>
      </c>
      <c r="Q32" s="5">
        <f t="shared" si="5"/>
        <v>25.460000000000004</v>
      </c>
      <c r="R32">
        <f t="shared" si="6"/>
        <v>0</v>
      </c>
      <c r="S32">
        <f t="shared" si="7"/>
        <v>3.53</v>
      </c>
      <c r="T32">
        <f t="shared" si="8"/>
        <v>3.53</v>
      </c>
      <c r="U32" s="5">
        <f t="shared" si="9"/>
        <v>0</v>
      </c>
      <c r="V32">
        <f t="shared" si="11"/>
        <v>0</v>
      </c>
    </row>
    <row r="33" spans="1:22" x14ac:dyDescent="0.55000000000000004">
      <c r="A33" t="s">
        <v>418</v>
      </c>
      <c r="B33" s="1">
        <v>9496</v>
      </c>
      <c r="C33" t="s">
        <v>389</v>
      </c>
      <c r="D33" s="1">
        <v>11523581</v>
      </c>
      <c r="E33" s="1">
        <v>4315408</v>
      </c>
      <c r="F33">
        <v>454.44</v>
      </c>
      <c r="G33" s="1">
        <v>4201180</v>
      </c>
      <c r="H33">
        <v>442.42</v>
      </c>
      <c r="I33">
        <f t="shared" si="0"/>
        <v>1</v>
      </c>
      <c r="J33" s="5">
        <f t="shared" si="1"/>
        <v>241768.16</v>
      </c>
      <c r="K33" s="4">
        <f t="shared" si="2"/>
        <v>5079164.9977548392</v>
      </c>
      <c r="L33">
        <f t="shared" si="10"/>
        <v>0</v>
      </c>
      <c r="M33" s="5">
        <f t="shared" si="3"/>
        <v>4381316.4415274439</v>
      </c>
      <c r="N33">
        <v>4072607</v>
      </c>
      <c r="O33" s="5">
        <v>0</v>
      </c>
      <c r="P33" s="5">
        <f t="shared" si="4"/>
        <v>4381316.4415274439</v>
      </c>
      <c r="Q33" s="5">
        <f t="shared" si="5"/>
        <v>461.38547193844187</v>
      </c>
      <c r="R33">
        <f t="shared" si="6"/>
        <v>4.29</v>
      </c>
      <c r="S33">
        <f t="shared" si="7"/>
        <v>7.58</v>
      </c>
      <c r="T33">
        <f t="shared" si="8"/>
        <v>3.16</v>
      </c>
      <c r="U33" s="5">
        <f t="shared" si="9"/>
        <v>6.95</v>
      </c>
      <c r="V33">
        <f t="shared" si="11"/>
        <v>0</v>
      </c>
    </row>
    <row r="34" spans="1:22" x14ac:dyDescent="0.55000000000000004">
      <c r="A34" t="s">
        <v>419</v>
      </c>
      <c r="B34" s="1">
        <v>69542</v>
      </c>
      <c r="C34" t="s">
        <v>386</v>
      </c>
      <c r="D34" s="1">
        <v>-25368494</v>
      </c>
      <c r="E34" s="1">
        <v>1770539</v>
      </c>
      <c r="F34">
        <v>25.46</v>
      </c>
      <c r="G34" s="1">
        <v>1770539</v>
      </c>
      <c r="H34">
        <v>25.46</v>
      </c>
      <c r="I34">
        <f t="shared" ref="I34:I69" si="12">IF(D34&lt;0, 0, 1)</f>
        <v>0</v>
      </c>
      <c r="J34" s="5">
        <f t="shared" ref="J34:J69" si="13" xml:space="preserve"> $Y$8 * $Y$6 * B34</f>
        <v>1770539.32</v>
      </c>
      <c r="K34" s="4">
        <f t="shared" ref="K34:K69" si="14" xml:space="preserve"> (D34 * I34)/$Y$11 * $Y$5</f>
        <v>0</v>
      </c>
      <c r="L34">
        <f t="shared" si="10"/>
        <v>1</v>
      </c>
      <c r="M34" s="5">
        <f t="shared" ref="M34:M65" si="15">IF(L34=1, J34*L34, D34*($Y$9)/$Y$12)</f>
        <v>1770539.32</v>
      </c>
      <c r="N34">
        <v>1714031</v>
      </c>
      <c r="O34" s="5">
        <v>0</v>
      </c>
      <c r="P34" s="5">
        <f t="shared" ref="P34:P65" si="16">M34+O34</f>
        <v>1770539.32</v>
      </c>
      <c r="Q34" s="5">
        <f t="shared" ref="Q34:Q65" si="17">P34/B34</f>
        <v>25.46</v>
      </c>
      <c r="R34">
        <f t="shared" ref="R34:R69" si="18">ROUND((P34-G34)/G34 * 100, 2)</f>
        <v>0</v>
      </c>
      <c r="S34">
        <f t="shared" ref="S34:S69" si="19">ROUND((P34-N34)/N34 * 100, 2)</f>
        <v>3.3</v>
      </c>
      <c r="T34">
        <f t="shared" ref="T34:T69" si="20">ROUND((G34-N34)/N34 * 100, 2)</f>
        <v>3.3</v>
      </c>
      <c r="U34" s="5">
        <f t="shared" ref="U34:U69" si="21">ROUND(Q34-F34, 2)</f>
        <v>0</v>
      </c>
      <c r="V34">
        <f t="shared" si="11"/>
        <v>0</v>
      </c>
    </row>
    <row r="35" spans="1:22" x14ac:dyDescent="0.55000000000000004">
      <c r="A35" t="s">
        <v>420</v>
      </c>
      <c r="B35" s="1">
        <v>42297</v>
      </c>
      <c r="C35" t="s">
        <v>389</v>
      </c>
      <c r="D35" s="1">
        <v>3052395</v>
      </c>
      <c r="E35" s="1">
        <v>1143076</v>
      </c>
      <c r="F35">
        <v>27.02</v>
      </c>
      <c r="G35" s="1">
        <v>1168369</v>
      </c>
      <c r="H35">
        <v>27.62</v>
      </c>
      <c r="I35">
        <f t="shared" si="12"/>
        <v>1</v>
      </c>
      <c r="J35" s="5">
        <f t="shared" si="13"/>
        <v>1076881.6200000001</v>
      </c>
      <c r="K35" s="4">
        <f t="shared" si="14"/>
        <v>1345381.9470980319</v>
      </c>
      <c r="L35">
        <f t="shared" si="10"/>
        <v>0</v>
      </c>
      <c r="M35" s="5">
        <f t="shared" si="15"/>
        <v>1160534.0735259433</v>
      </c>
      <c r="N35">
        <v>1168369</v>
      </c>
      <c r="O35" s="5">
        <v>0</v>
      </c>
      <c r="P35" s="5">
        <f t="shared" si="16"/>
        <v>1160534.0735259433</v>
      </c>
      <c r="Q35" s="5">
        <f t="shared" si="17"/>
        <v>27.437739639358426</v>
      </c>
      <c r="R35">
        <f t="shared" si="18"/>
        <v>-0.67</v>
      </c>
      <c r="S35">
        <f t="shared" si="19"/>
        <v>-0.67</v>
      </c>
      <c r="T35">
        <f t="shared" si="20"/>
        <v>0</v>
      </c>
      <c r="U35" s="5">
        <f t="shared" si="21"/>
        <v>0.42</v>
      </c>
      <c r="V35">
        <f t="shared" si="11"/>
        <v>0</v>
      </c>
    </row>
    <row r="36" spans="1:22" x14ac:dyDescent="0.55000000000000004">
      <c r="A36" t="s">
        <v>421</v>
      </c>
      <c r="B36" s="1">
        <v>27846</v>
      </c>
      <c r="C36" t="s">
        <v>389</v>
      </c>
      <c r="D36" s="1">
        <v>10307719</v>
      </c>
      <c r="E36" s="1">
        <v>3860086</v>
      </c>
      <c r="F36">
        <v>138.62</v>
      </c>
      <c r="G36" s="1">
        <v>3757910</v>
      </c>
      <c r="H36">
        <v>134.94999999999999</v>
      </c>
      <c r="I36">
        <f t="shared" si="12"/>
        <v>1</v>
      </c>
      <c r="J36" s="5">
        <f t="shared" si="13"/>
        <v>708959.16</v>
      </c>
      <c r="K36" s="4">
        <f t="shared" si="14"/>
        <v>4543258.3457774557</v>
      </c>
      <c r="L36">
        <f t="shared" si="10"/>
        <v>0</v>
      </c>
      <c r="M36" s="5">
        <f t="shared" si="15"/>
        <v>3919040.3338462948</v>
      </c>
      <c r="N36">
        <v>3747077</v>
      </c>
      <c r="O36" s="5">
        <v>0</v>
      </c>
      <c r="P36" s="5">
        <f t="shared" si="16"/>
        <v>3919040.3338462948</v>
      </c>
      <c r="Q36" s="5">
        <f t="shared" si="17"/>
        <v>140.73979508174585</v>
      </c>
      <c r="R36">
        <f t="shared" si="18"/>
        <v>4.29</v>
      </c>
      <c r="S36">
        <f t="shared" si="19"/>
        <v>4.59</v>
      </c>
      <c r="T36">
        <f t="shared" si="20"/>
        <v>0.28999999999999998</v>
      </c>
      <c r="U36" s="5">
        <f t="shared" si="21"/>
        <v>2.12</v>
      </c>
      <c r="V36">
        <f t="shared" si="11"/>
        <v>0</v>
      </c>
    </row>
    <row r="37" spans="1:22" x14ac:dyDescent="0.55000000000000004">
      <c r="A37" t="s">
        <v>422</v>
      </c>
      <c r="B37" s="1">
        <v>2897</v>
      </c>
      <c r="C37" t="s">
        <v>389</v>
      </c>
      <c r="D37" s="1">
        <v>5374140</v>
      </c>
      <c r="E37" s="1">
        <v>2012535</v>
      </c>
      <c r="F37">
        <v>694.7</v>
      </c>
      <c r="G37" s="1">
        <v>1959264</v>
      </c>
      <c r="H37">
        <v>676.31</v>
      </c>
      <c r="I37">
        <f t="shared" si="12"/>
        <v>1</v>
      </c>
      <c r="J37" s="5">
        <f t="shared" si="13"/>
        <v>73757.62</v>
      </c>
      <c r="K37" s="4">
        <f t="shared" si="14"/>
        <v>2368720.6069913679</v>
      </c>
      <c r="L37">
        <f t="shared" si="10"/>
        <v>0</v>
      </c>
      <c r="M37" s="5">
        <f t="shared" si="15"/>
        <v>2043271.7868751301</v>
      </c>
      <c r="N37">
        <v>1905936</v>
      </c>
      <c r="O37" s="5">
        <v>0</v>
      </c>
      <c r="P37" s="5">
        <f t="shared" si="16"/>
        <v>2043271.7868751301</v>
      </c>
      <c r="Q37" s="5">
        <f t="shared" si="17"/>
        <v>705.30610523822236</v>
      </c>
      <c r="R37">
        <f t="shared" si="18"/>
        <v>4.29</v>
      </c>
      <c r="S37">
        <f t="shared" si="19"/>
        <v>7.21</v>
      </c>
      <c r="T37">
        <f t="shared" si="20"/>
        <v>2.8</v>
      </c>
      <c r="U37" s="5">
        <f t="shared" si="21"/>
        <v>10.61</v>
      </c>
      <c r="V37">
        <f t="shared" si="11"/>
        <v>0</v>
      </c>
    </row>
    <row r="38" spans="1:22" x14ac:dyDescent="0.55000000000000004">
      <c r="A38" t="s">
        <v>423</v>
      </c>
      <c r="B38" s="1">
        <v>22901</v>
      </c>
      <c r="C38" t="s">
        <v>389</v>
      </c>
      <c r="D38" s="1">
        <v>12126912</v>
      </c>
      <c r="E38" s="1">
        <v>4541347</v>
      </c>
      <c r="F38">
        <v>198.3</v>
      </c>
      <c r="G38" s="1">
        <v>4421138</v>
      </c>
      <c r="H38">
        <v>193.05</v>
      </c>
      <c r="I38">
        <f t="shared" si="12"/>
        <v>1</v>
      </c>
      <c r="J38" s="5">
        <f t="shared" si="13"/>
        <v>583059.46</v>
      </c>
      <c r="K38" s="4">
        <f t="shared" si="14"/>
        <v>5345090.8151947856</v>
      </c>
      <c r="L38">
        <f t="shared" si="10"/>
        <v>0</v>
      </c>
      <c r="M38" s="5">
        <f t="shared" si="15"/>
        <v>4610705.5550315874</v>
      </c>
      <c r="N38">
        <v>4262245</v>
      </c>
      <c r="O38" s="5">
        <v>0</v>
      </c>
      <c r="P38" s="5">
        <f t="shared" si="16"/>
        <v>4610705.5550315874</v>
      </c>
      <c r="Q38" s="5">
        <f t="shared" si="17"/>
        <v>201.3320621384039</v>
      </c>
      <c r="R38">
        <f t="shared" si="18"/>
        <v>4.29</v>
      </c>
      <c r="S38">
        <f t="shared" si="19"/>
        <v>8.18</v>
      </c>
      <c r="T38">
        <f t="shared" si="20"/>
        <v>3.73</v>
      </c>
      <c r="U38" s="5">
        <f t="shared" si="21"/>
        <v>3.03</v>
      </c>
      <c r="V38">
        <f t="shared" si="11"/>
        <v>0</v>
      </c>
    </row>
    <row r="39" spans="1:22" x14ac:dyDescent="0.55000000000000004">
      <c r="A39" t="s">
        <v>424</v>
      </c>
      <c r="B39" s="1">
        <v>8928</v>
      </c>
      <c r="C39" t="s">
        <v>389</v>
      </c>
      <c r="D39" s="1">
        <v>6049300</v>
      </c>
      <c r="E39" s="1">
        <v>2265372</v>
      </c>
      <c r="F39">
        <v>253.74</v>
      </c>
      <c r="G39" s="1">
        <v>2774887</v>
      </c>
      <c r="H39">
        <v>310.81</v>
      </c>
      <c r="I39">
        <f t="shared" si="12"/>
        <v>1</v>
      </c>
      <c r="J39" s="5">
        <f t="shared" si="13"/>
        <v>227306.88</v>
      </c>
      <c r="K39" s="4">
        <f t="shared" si="14"/>
        <v>2666305.9704199894</v>
      </c>
      <c r="L39">
        <f t="shared" si="10"/>
        <v>0</v>
      </c>
      <c r="M39" s="5">
        <f t="shared" si="15"/>
        <v>2299970.603732639</v>
      </c>
      <c r="N39">
        <v>2860708</v>
      </c>
      <c r="O39" s="5">
        <v>0</v>
      </c>
      <c r="P39" s="5">
        <f t="shared" si="16"/>
        <v>2299970.603732639</v>
      </c>
      <c r="Q39" s="5">
        <f t="shared" si="17"/>
        <v>257.61319486252677</v>
      </c>
      <c r="R39">
        <f t="shared" si="18"/>
        <v>-17.11</v>
      </c>
      <c r="S39">
        <f t="shared" si="19"/>
        <v>-19.600000000000001</v>
      </c>
      <c r="T39">
        <f t="shared" si="20"/>
        <v>-3</v>
      </c>
      <c r="U39" s="5">
        <f t="shared" si="21"/>
        <v>3.87</v>
      </c>
      <c r="V39">
        <f t="shared" si="11"/>
        <v>1</v>
      </c>
    </row>
    <row r="40" spans="1:22" x14ac:dyDescent="0.55000000000000004">
      <c r="A40" t="s">
        <v>425</v>
      </c>
      <c r="B40" s="1">
        <v>4667</v>
      </c>
      <c r="C40" t="s">
        <v>389</v>
      </c>
      <c r="D40" s="1">
        <v>4417975</v>
      </c>
      <c r="E40" s="1">
        <v>1654465</v>
      </c>
      <c r="F40">
        <v>354.5</v>
      </c>
      <c r="G40" s="1">
        <v>1723257</v>
      </c>
      <c r="H40">
        <v>369.24</v>
      </c>
      <c r="I40">
        <f t="shared" si="12"/>
        <v>1</v>
      </c>
      <c r="J40" s="5">
        <f t="shared" si="13"/>
        <v>118821.82</v>
      </c>
      <c r="K40" s="4">
        <f t="shared" si="14"/>
        <v>1947278.7131843772</v>
      </c>
      <c r="L40">
        <f t="shared" si="10"/>
        <v>0</v>
      </c>
      <c r="M40" s="5">
        <f t="shared" si="15"/>
        <v>1679733.6267048593</v>
      </c>
      <c r="N40">
        <v>1723257</v>
      </c>
      <c r="O40" s="5">
        <v>0</v>
      </c>
      <c r="P40" s="5">
        <f t="shared" si="16"/>
        <v>1679733.6267048593</v>
      </c>
      <c r="Q40" s="5">
        <f t="shared" si="17"/>
        <v>359.91721163592445</v>
      </c>
      <c r="R40">
        <f t="shared" si="18"/>
        <v>-2.5299999999999998</v>
      </c>
      <c r="S40">
        <f t="shared" si="19"/>
        <v>-2.5299999999999998</v>
      </c>
      <c r="T40">
        <f t="shared" si="20"/>
        <v>0</v>
      </c>
      <c r="U40" s="5">
        <f t="shared" si="21"/>
        <v>5.42</v>
      </c>
      <c r="V40">
        <f t="shared" si="11"/>
        <v>0</v>
      </c>
    </row>
    <row r="41" spans="1:22" x14ac:dyDescent="0.55000000000000004">
      <c r="A41" t="s">
        <v>426</v>
      </c>
      <c r="B41" s="1">
        <v>39312</v>
      </c>
      <c r="C41" t="s">
        <v>386</v>
      </c>
      <c r="D41" s="1">
        <v>-31850838</v>
      </c>
      <c r="E41" s="1">
        <v>1000884</v>
      </c>
      <c r="F41">
        <v>25.46</v>
      </c>
      <c r="G41" s="1">
        <v>1000884</v>
      </c>
      <c r="H41">
        <v>25.46</v>
      </c>
      <c r="I41">
        <f t="shared" si="12"/>
        <v>0</v>
      </c>
      <c r="J41" s="5">
        <f t="shared" si="13"/>
        <v>1000883.52</v>
      </c>
      <c r="K41" s="4">
        <f t="shared" si="14"/>
        <v>0</v>
      </c>
      <c r="L41">
        <f t="shared" si="10"/>
        <v>1</v>
      </c>
      <c r="M41" s="5">
        <f t="shared" si="15"/>
        <v>1000883.52</v>
      </c>
      <c r="N41">
        <v>952223</v>
      </c>
      <c r="O41" s="5">
        <v>0</v>
      </c>
      <c r="P41" s="5">
        <f t="shared" si="16"/>
        <v>1000883.52</v>
      </c>
      <c r="Q41" s="5">
        <f t="shared" si="17"/>
        <v>25.46</v>
      </c>
      <c r="R41">
        <f t="shared" si="18"/>
        <v>0</v>
      </c>
      <c r="S41">
        <f t="shared" si="19"/>
        <v>5.1100000000000003</v>
      </c>
      <c r="T41">
        <f t="shared" si="20"/>
        <v>5.1100000000000003</v>
      </c>
      <c r="U41" s="5">
        <f t="shared" si="21"/>
        <v>0</v>
      </c>
      <c r="V41">
        <f t="shared" si="11"/>
        <v>0</v>
      </c>
    </row>
    <row r="42" spans="1:22" x14ac:dyDescent="0.55000000000000004">
      <c r="A42" t="s">
        <v>427</v>
      </c>
      <c r="B42" s="1">
        <v>180865</v>
      </c>
      <c r="C42" t="s">
        <v>389</v>
      </c>
      <c r="D42" s="1">
        <v>15203838</v>
      </c>
      <c r="E42" s="1">
        <v>5693609</v>
      </c>
      <c r="F42">
        <v>31.48</v>
      </c>
      <c r="G42" s="1">
        <v>6722896</v>
      </c>
      <c r="H42">
        <v>37.17</v>
      </c>
      <c r="I42">
        <f t="shared" si="12"/>
        <v>1</v>
      </c>
      <c r="J42" s="5">
        <f t="shared" si="13"/>
        <v>4604822.9000000004</v>
      </c>
      <c r="K42" s="4">
        <f t="shared" si="14"/>
        <v>6701285.112773099</v>
      </c>
      <c r="L42">
        <f t="shared" si="10"/>
        <v>0</v>
      </c>
      <c r="M42" s="5">
        <f t="shared" si="15"/>
        <v>5780566.423208179</v>
      </c>
      <c r="N42">
        <v>6930820</v>
      </c>
      <c r="O42" s="5">
        <v>0</v>
      </c>
      <c r="P42" s="5">
        <f t="shared" si="16"/>
        <v>5780566.423208179</v>
      </c>
      <c r="Q42" s="5">
        <f t="shared" si="17"/>
        <v>31.960669135588304</v>
      </c>
      <c r="R42">
        <f t="shared" si="18"/>
        <v>-14.02</v>
      </c>
      <c r="S42">
        <f t="shared" si="19"/>
        <v>-16.600000000000001</v>
      </c>
      <c r="T42">
        <f t="shared" si="20"/>
        <v>-3</v>
      </c>
      <c r="U42" s="5">
        <f t="shared" si="21"/>
        <v>0.48</v>
      </c>
      <c r="V42">
        <f t="shared" si="11"/>
        <v>1</v>
      </c>
    </row>
    <row r="43" spans="1:22" x14ac:dyDescent="0.55000000000000004">
      <c r="A43" t="s">
        <v>428</v>
      </c>
      <c r="B43">
        <v>889</v>
      </c>
      <c r="C43" t="s">
        <v>389</v>
      </c>
      <c r="D43" s="1">
        <v>3051692</v>
      </c>
      <c r="E43" s="1">
        <v>1142813</v>
      </c>
      <c r="F43" s="2">
        <v>1285.5</v>
      </c>
      <c r="G43" s="1">
        <v>1112563</v>
      </c>
      <c r="H43" s="2">
        <v>1251.48</v>
      </c>
      <c r="I43">
        <f t="shared" si="12"/>
        <v>1</v>
      </c>
      <c r="J43" s="5">
        <f t="shared" si="13"/>
        <v>22633.940000000002</v>
      </c>
      <c r="K43" s="4">
        <f t="shared" si="14"/>
        <v>1345072.0909002558</v>
      </c>
      <c r="L43">
        <f t="shared" si="10"/>
        <v>0</v>
      </c>
      <c r="M43" s="5">
        <f t="shared" si="15"/>
        <v>1160266.7898180061</v>
      </c>
      <c r="N43">
        <v>1111043</v>
      </c>
      <c r="O43" s="5">
        <v>0</v>
      </c>
      <c r="P43" s="5">
        <f t="shared" si="16"/>
        <v>1160266.7898180061</v>
      </c>
      <c r="Q43" s="5">
        <f t="shared" si="17"/>
        <v>1305.1369964207042</v>
      </c>
      <c r="R43">
        <f t="shared" si="18"/>
        <v>4.29</v>
      </c>
      <c r="S43">
        <f t="shared" si="19"/>
        <v>4.43</v>
      </c>
      <c r="T43">
        <f t="shared" si="20"/>
        <v>0.14000000000000001</v>
      </c>
      <c r="U43" s="5">
        <f t="shared" si="21"/>
        <v>19.64</v>
      </c>
      <c r="V43">
        <f t="shared" si="11"/>
        <v>0</v>
      </c>
    </row>
    <row r="44" spans="1:22" x14ac:dyDescent="0.55000000000000004">
      <c r="A44" t="s">
        <v>429</v>
      </c>
      <c r="B44" s="1">
        <v>1683</v>
      </c>
      <c r="C44" t="s">
        <v>389</v>
      </c>
      <c r="D44" s="1">
        <v>3872386</v>
      </c>
      <c r="E44" s="1">
        <v>1450150</v>
      </c>
      <c r="F44">
        <v>861.65</v>
      </c>
      <c r="G44" s="1">
        <v>1447261</v>
      </c>
      <c r="H44">
        <v>859.93</v>
      </c>
      <c r="I44">
        <f t="shared" si="12"/>
        <v>1</v>
      </c>
      <c r="J44" s="5">
        <f t="shared" si="13"/>
        <v>42849.18</v>
      </c>
      <c r="K44" s="4">
        <f t="shared" si="14"/>
        <v>1706803.4171839356</v>
      </c>
      <c r="L44">
        <f t="shared" si="10"/>
        <v>0</v>
      </c>
      <c r="M44" s="5">
        <f t="shared" si="15"/>
        <v>1472298.276875972</v>
      </c>
      <c r="N44">
        <v>1447261</v>
      </c>
      <c r="O44" s="5">
        <v>0</v>
      </c>
      <c r="P44" s="5">
        <f t="shared" si="16"/>
        <v>1472298.276875972</v>
      </c>
      <c r="Q44" s="5">
        <f t="shared" si="17"/>
        <v>874.80586861317408</v>
      </c>
      <c r="R44">
        <f t="shared" si="18"/>
        <v>1.73</v>
      </c>
      <c r="S44">
        <f t="shared" si="19"/>
        <v>1.73</v>
      </c>
      <c r="T44">
        <f t="shared" si="20"/>
        <v>0</v>
      </c>
      <c r="U44" s="5">
        <f t="shared" si="21"/>
        <v>13.16</v>
      </c>
      <c r="V44">
        <f t="shared" si="11"/>
        <v>0</v>
      </c>
    </row>
    <row r="45" spans="1:22" x14ac:dyDescent="0.55000000000000004">
      <c r="A45" t="s">
        <v>430</v>
      </c>
      <c r="B45" s="1">
        <v>107069</v>
      </c>
      <c r="C45" t="s">
        <v>389</v>
      </c>
      <c r="D45" s="1">
        <v>40577538</v>
      </c>
      <c r="E45" s="1">
        <v>15195680</v>
      </c>
      <c r="F45">
        <v>141.91999999999999</v>
      </c>
      <c r="G45" s="1">
        <v>14793453</v>
      </c>
      <c r="H45">
        <v>138.16999999999999</v>
      </c>
      <c r="I45">
        <f t="shared" si="12"/>
        <v>1</v>
      </c>
      <c r="J45" s="5">
        <f t="shared" si="13"/>
        <v>2725976.74</v>
      </c>
      <c r="K45" s="4">
        <f t="shared" si="14"/>
        <v>17885066.343931362</v>
      </c>
      <c r="L45">
        <f t="shared" si="10"/>
        <v>0</v>
      </c>
      <c r="M45" s="5">
        <f t="shared" si="15"/>
        <v>15427759.339401931</v>
      </c>
      <c r="N45">
        <v>13862651</v>
      </c>
      <c r="O45" s="5">
        <v>0</v>
      </c>
      <c r="P45" s="5">
        <f t="shared" si="16"/>
        <v>15427759.339401931</v>
      </c>
      <c r="Q45" s="5">
        <f t="shared" si="17"/>
        <v>144.09174774586415</v>
      </c>
      <c r="R45">
        <f t="shared" si="18"/>
        <v>4.29</v>
      </c>
      <c r="S45">
        <f t="shared" si="19"/>
        <v>11.29</v>
      </c>
      <c r="T45">
        <f t="shared" si="20"/>
        <v>6.71</v>
      </c>
      <c r="U45" s="5">
        <f t="shared" si="21"/>
        <v>2.17</v>
      </c>
      <c r="V45">
        <f t="shared" si="11"/>
        <v>0</v>
      </c>
    </row>
    <row r="46" spans="1:22" x14ac:dyDescent="0.55000000000000004">
      <c r="A46" t="s">
        <v>431</v>
      </c>
      <c r="B46" s="1">
        <v>138585</v>
      </c>
      <c r="C46" t="s">
        <v>386</v>
      </c>
      <c r="D46" s="1">
        <v>-19898968</v>
      </c>
      <c r="E46" s="1">
        <v>3528374</v>
      </c>
      <c r="F46">
        <v>25.46</v>
      </c>
      <c r="G46" s="1">
        <v>3528374</v>
      </c>
      <c r="H46">
        <v>25.46</v>
      </c>
      <c r="I46">
        <f t="shared" si="12"/>
        <v>0</v>
      </c>
      <c r="J46" s="5">
        <f t="shared" si="13"/>
        <v>3528374.1</v>
      </c>
      <c r="K46" s="4">
        <f t="shared" si="14"/>
        <v>0</v>
      </c>
      <c r="L46">
        <f t="shared" si="10"/>
        <v>1</v>
      </c>
      <c r="M46" s="5">
        <f t="shared" si="15"/>
        <v>3528374.1</v>
      </c>
      <c r="N46">
        <v>3403958</v>
      </c>
      <c r="O46" s="5">
        <v>0</v>
      </c>
      <c r="P46" s="5">
        <f t="shared" si="16"/>
        <v>3528374.1</v>
      </c>
      <c r="Q46" s="5">
        <f t="shared" si="17"/>
        <v>25.46</v>
      </c>
      <c r="R46">
        <f t="shared" si="18"/>
        <v>0</v>
      </c>
      <c r="S46">
        <f t="shared" si="19"/>
        <v>3.66</v>
      </c>
      <c r="T46">
        <f t="shared" si="20"/>
        <v>3.66</v>
      </c>
      <c r="U46" s="5">
        <f t="shared" si="21"/>
        <v>0</v>
      </c>
      <c r="V46">
        <f t="shared" si="11"/>
        <v>0</v>
      </c>
    </row>
    <row r="47" spans="1:22" x14ac:dyDescent="0.55000000000000004">
      <c r="A47" t="s">
        <v>432</v>
      </c>
      <c r="B47" s="1">
        <v>14420</v>
      </c>
      <c r="C47" t="s">
        <v>389</v>
      </c>
      <c r="D47" s="1">
        <v>10627155</v>
      </c>
      <c r="E47" s="1">
        <v>3979710</v>
      </c>
      <c r="F47">
        <v>275.99</v>
      </c>
      <c r="G47" s="1">
        <v>3747068</v>
      </c>
      <c r="H47">
        <v>259.85000000000002</v>
      </c>
      <c r="I47">
        <f t="shared" si="12"/>
        <v>1</v>
      </c>
      <c r="J47" s="5">
        <f t="shared" si="13"/>
        <v>367133.2</v>
      </c>
      <c r="K47" s="4">
        <f t="shared" si="14"/>
        <v>4684053.8285551453</v>
      </c>
      <c r="L47">
        <f t="shared" si="10"/>
        <v>0</v>
      </c>
      <c r="M47" s="5">
        <f t="shared" si="15"/>
        <v>4040491.3132610936</v>
      </c>
      <c r="N47">
        <v>3406426</v>
      </c>
      <c r="O47" s="5">
        <v>0</v>
      </c>
      <c r="P47" s="5">
        <f t="shared" si="16"/>
        <v>4040491.3132610936</v>
      </c>
      <c r="Q47" s="5">
        <f t="shared" si="17"/>
        <v>280.20050716096347</v>
      </c>
      <c r="R47">
        <f t="shared" si="18"/>
        <v>7.83</v>
      </c>
      <c r="S47">
        <f t="shared" si="19"/>
        <v>18.61</v>
      </c>
      <c r="T47">
        <f t="shared" si="20"/>
        <v>10</v>
      </c>
      <c r="U47" s="5">
        <f t="shared" si="21"/>
        <v>4.21</v>
      </c>
      <c r="V47">
        <f t="shared" si="11"/>
        <v>0</v>
      </c>
    </row>
    <row r="48" spans="1:22" x14ac:dyDescent="0.55000000000000004">
      <c r="A48" t="s">
        <v>433</v>
      </c>
      <c r="B48" s="1">
        <v>15018</v>
      </c>
      <c r="C48" t="s">
        <v>389</v>
      </c>
      <c r="D48" s="1">
        <v>6324034</v>
      </c>
      <c r="E48">
        <v>2368256</v>
      </c>
      <c r="F48">
        <v>157.69</v>
      </c>
      <c r="G48">
        <v>2010123</v>
      </c>
      <c r="H48">
        <v>133.85</v>
      </c>
      <c r="I48">
        <f t="shared" si="12"/>
        <v>1</v>
      </c>
      <c r="J48" s="5">
        <f t="shared" si="13"/>
        <v>382358.28</v>
      </c>
      <c r="K48" s="4">
        <f t="shared" si="14"/>
        <v>2787398.4777311441</v>
      </c>
      <c r="L48">
        <f t="shared" si="10"/>
        <v>0</v>
      </c>
      <c r="M48" s="5">
        <f t="shared" si="15"/>
        <v>2404425.6851215409</v>
      </c>
      <c r="N48">
        <v>1827385</v>
      </c>
      <c r="O48" s="5">
        <v>0</v>
      </c>
      <c r="P48" s="5">
        <f t="shared" si="16"/>
        <v>2404425.6851215409</v>
      </c>
      <c r="Q48" s="5">
        <f t="shared" si="17"/>
        <v>160.10292216816759</v>
      </c>
      <c r="R48">
        <f t="shared" si="18"/>
        <v>19.62</v>
      </c>
      <c r="S48">
        <f t="shared" si="19"/>
        <v>31.58</v>
      </c>
      <c r="T48">
        <f t="shared" si="20"/>
        <v>10</v>
      </c>
      <c r="U48" s="5">
        <f t="shared" si="21"/>
        <v>2.41</v>
      </c>
      <c r="V48">
        <f t="shared" si="11"/>
        <v>1</v>
      </c>
    </row>
    <row r="49" spans="1:22" x14ac:dyDescent="0.55000000000000004">
      <c r="A49" t="s">
        <v>434</v>
      </c>
      <c r="B49" s="1">
        <v>17602</v>
      </c>
      <c r="C49" t="s">
        <v>389</v>
      </c>
      <c r="D49" s="1">
        <v>15027552</v>
      </c>
      <c r="E49">
        <v>5627593</v>
      </c>
      <c r="F49">
        <v>319.70999999999998</v>
      </c>
      <c r="G49">
        <v>5478632</v>
      </c>
      <c r="H49">
        <v>311.25</v>
      </c>
      <c r="I49">
        <f t="shared" si="12"/>
        <v>1</v>
      </c>
      <c r="J49" s="5">
        <f t="shared" si="13"/>
        <v>448146.92000000004</v>
      </c>
      <c r="K49" s="4">
        <f t="shared" si="14"/>
        <v>6623584.8145069433</v>
      </c>
      <c r="L49">
        <f t="shared" si="10"/>
        <v>0</v>
      </c>
      <c r="M49" s="5">
        <f t="shared" si="15"/>
        <v>5713541.7066542618</v>
      </c>
      <c r="N49">
        <v>5018300</v>
      </c>
      <c r="O49" s="5">
        <v>0</v>
      </c>
      <c r="P49" s="5">
        <f t="shared" si="16"/>
        <v>5713541.7066542618</v>
      </c>
      <c r="Q49" s="5">
        <f t="shared" si="17"/>
        <v>324.59616558653914</v>
      </c>
      <c r="R49">
        <f t="shared" si="18"/>
        <v>4.29</v>
      </c>
      <c r="S49">
        <f t="shared" si="19"/>
        <v>13.85</v>
      </c>
      <c r="T49">
        <f t="shared" si="20"/>
        <v>9.17</v>
      </c>
      <c r="U49" s="5">
        <f t="shared" si="21"/>
        <v>4.8899999999999997</v>
      </c>
      <c r="V49">
        <f t="shared" si="11"/>
        <v>0</v>
      </c>
    </row>
    <row r="50" spans="1:22" x14ac:dyDescent="0.55000000000000004">
      <c r="A50" t="s">
        <v>435</v>
      </c>
      <c r="B50" s="1">
        <v>23137</v>
      </c>
      <c r="C50" t="s">
        <v>386</v>
      </c>
      <c r="D50" s="1">
        <v>-9783105</v>
      </c>
      <c r="E50">
        <v>589068</v>
      </c>
      <c r="F50">
        <v>25.46</v>
      </c>
      <c r="G50">
        <v>589068</v>
      </c>
      <c r="H50">
        <v>25.46</v>
      </c>
      <c r="I50">
        <f t="shared" si="12"/>
        <v>0</v>
      </c>
      <c r="J50" s="5">
        <f t="shared" si="13"/>
        <v>589068.02</v>
      </c>
      <c r="K50" s="4">
        <f t="shared" si="14"/>
        <v>0</v>
      </c>
      <c r="L50">
        <f t="shared" si="10"/>
        <v>1</v>
      </c>
      <c r="M50" s="5">
        <f t="shared" si="15"/>
        <v>589068.02</v>
      </c>
      <c r="N50">
        <v>569840</v>
      </c>
      <c r="O50" s="5">
        <v>0</v>
      </c>
      <c r="P50" s="5">
        <f t="shared" si="16"/>
        <v>589068.02</v>
      </c>
      <c r="Q50" s="5">
        <f t="shared" si="17"/>
        <v>25.46</v>
      </c>
      <c r="R50">
        <f t="shared" si="18"/>
        <v>0</v>
      </c>
      <c r="S50">
        <f t="shared" si="19"/>
        <v>3.37</v>
      </c>
      <c r="T50">
        <f t="shared" si="20"/>
        <v>3.37</v>
      </c>
      <c r="U50" s="5">
        <f t="shared" si="21"/>
        <v>0</v>
      </c>
      <c r="V50">
        <f t="shared" si="11"/>
        <v>0</v>
      </c>
    </row>
    <row r="51" spans="1:22" x14ac:dyDescent="0.55000000000000004">
      <c r="A51" t="s">
        <v>436</v>
      </c>
      <c r="B51" s="1">
        <v>10107</v>
      </c>
      <c r="C51" t="s">
        <v>389</v>
      </c>
      <c r="D51" s="1">
        <v>7744780</v>
      </c>
      <c r="E51">
        <v>2900304</v>
      </c>
      <c r="F51">
        <v>286.95999999999998</v>
      </c>
      <c r="G51">
        <v>2823533</v>
      </c>
      <c r="H51">
        <v>279.36</v>
      </c>
      <c r="I51">
        <f t="shared" si="12"/>
        <v>1</v>
      </c>
      <c r="J51" s="5">
        <f t="shared" si="13"/>
        <v>257324.22</v>
      </c>
      <c r="K51" s="4">
        <f t="shared" si="14"/>
        <v>3413610.3604696947</v>
      </c>
      <c r="L51">
        <f t="shared" si="10"/>
        <v>0</v>
      </c>
      <c r="M51" s="5">
        <f t="shared" si="15"/>
        <v>2944599.5953873121</v>
      </c>
      <c r="N51">
        <v>2804134</v>
      </c>
      <c r="O51" s="5">
        <v>0</v>
      </c>
      <c r="P51" s="5">
        <f t="shared" si="16"/>
        <v>2944599.5953873121</v>
      </c>
      <c r="Q51" s="5">
        <f t="shared" si="17"/>
        <v>291.34259378522927</v>
      </c>
      <c r="R51">
        <f t="shared" si="18"/>
        <v>4.29</v>
      </c>
      <c r="S51">
        <f t="shared" si="19"/>
        <v>5.01</v>
      </c>
      <c r="T51">
        <f t="shared" si="20"/>
        <v>0.69</v>
      </c>
      <c r="U51" s="5">
        <f t="shared" si="21"/>
        <v>4.38</v>
      </c>
      <c r="V51">
        <f t="shared" si="11"/>
        <v>0</v>
      </c>
    </row>
    <row r="52" spans="1:22" x14ac:dyDescent="0.55000000000000004">
      <c r="A52" t="s">
        <v>437</v>
      </c>
      <c r="B52" s="1">
        <v>1603</v>
      </c>
      <c r="C52" t="s">
        <v>386</v>
      </c>
      <c r="D52" s="1">
        <v>-2098563</v>
      </c>
      <c r="E52">
        <v>40812</v>
      </c>
      <c r="F52">
        <v>25.46</v>
      </c>
      <c r="G52">
        <v>40812</v>
      </c>
      <c r="H52">
        <v>25.46</v>
      </c>
      <c r="I52">
        <f t="shared" si="12"/>
        <v>0</v>
      </c>
      <c r="J52" s="5">
        <f t="shared" si="13"/>
        <v>40812.380000000005</v>
      </c>
      <c r="K52" s="4">
        <f t="shared" si="14"/>
        <v>0</v>
      </c>
      <c r="L52">
        <f t="shared" si="10"/>
        <v>1</v>
      </c>
      <c r="M52" s="5">
        <f t="shared" si="15"/>
        <v>40812.380000000005</v>
      </c>
      <c r="N52">
        <v>39666</v>
      </c>
      <c r="O52" s="5">
        <v>0</v>
      </c>
      <c r="P52" s="5">
        <f t="shared" si="16"/>
        <v>40812.380000000005</v>
      </c>
      <c r="Q52" s="5">
        <f t="shared" si="17"/>
        <v>25.460000000000004</v>
      </c>
      <c r="R52">
        <f t="shared" si="18"/>
        <v>0</v>
      </c>
      <c r="S52">
        <f t="shared" si="19"/>
        <v>2.89</v>
      </c>
      <c r="T52">
        <f t="shared" si="20"/>
        <v>2.89</v>
      </c>
      <c r="U52" s="5">
        <f t="shared" si="21"/>
        <v>0</v>
      </c>
      <c r="V52">
        <f t="shared" si="11"/>
        <v>0</v>
      </c>
    </row>
    <row r="53" spans="1:22" x14ac:dyDescent="0.55000000000000004">
      <c r="A53" t="s">
        <v>438</v>
      </c>
      <c r="B53" s="1">
        <v>4113</v>
      </c>
      <c r="C53" t="s">
        <v>389</v>
      </c>
      <c r="D53" s="1">
        <v>1835832</v>
      </c>
      <c r="E53">
        <v>687492</v>
      </c>
      <c r="F53">
        <v>167.15</v>
      </c>
      <c r="G53">
        <v>484036</v>
      </c>
      <c r="H53">
        <v>117.68</v>
      </c>
      <c r="I53">
        <f t="shared" si="12"/>
        <v>1</v>
      </c>
      <c r="J53" s="5">
        <f t="shared" si="13"/>
        <v>104716.98000000001</v>
      </c>
      <c r="K53" s="4">
        <f t="shared" si="14"/>
        <v>809166.32044832793</v>
      </c>
      <c r="L53">
        <f t="shared" si="10"/>
        <v>0</v>
      </c>
      <c r="M53" s="5">
        <f t="shared" si="15"/>
        <v>697991.44254569907</v>
      </c>
      <c r="N53">
        <v>420901</v>
      </c>
      <c r="O53" s="5">
        <v>0</v>
      </c>
      <c r="P53" s="5">
        <f t="shared" si="16"/>
        <v>697991.44254569907</v>
      </c>
      <c r="Q53" s="5">
        <f t="shared" si="17"/>
        <v>169.70373025667374</v>
      </c>
      <c r="R53">
        <f t="shared" si="18"/>
        <v>44.2</v>
      </c>
      <c r="S53">
        <f t="shared" si="19"/>
        <v>65.83</v>
      </c>
      <c r="T53">
        <f t="shared" si="20"/>
        <v>15</v>
      </c>
      <c r="U53" s="5">
        <f t="shared" si="21"/>
        <v>2.5499999999999998</v>
      </c>
      <c r="V53">
        <f t="shared" si="11"/>
        <v>1</v>
      </c>
    </row>
    <row r="54" spans="1:22" x14ac:dyDescent="0.55000000000000004">
      <c r="A54" t="s">
        <v>439</v>
      </c>
      <c r="B54" s="1">
        <v>149214</v>
      </c>
      <c r="C54" t="s">
        <v>389</v>
      </c>
      <c r="D54" s="1">
        <v>20096913</v>
      </c>
      <c r="E54" s="1">
        <v>7525993</v>
      </c>
      <c r="F54">
        <v>50.44</v>
      </c>
      <c r="G54" s="1">
        <v>8358625</v>
      </c>
      <c r="H54">
        <v>56.02</v>
      </c>
      <c r="I54">
        <f t="shared" si="12"/>
        <v>1</v>
      </c>
      <c r="J54" s="5">
        <f t="shared" si="13"/>
        <v>3798988.44</v>
      </c>
      <c r="K54" s="4">
        <f t="shared" si="14"/>
        <v>8857970.198024746</v>
      </c>
      <c r="L54">
        <f t="shared" si="10"/>
        <v>0</v>
      </c>
      <c r="M54" s="5">
        <f t="shared" si="15"/>
        <v>7640935.1703126505</v>
      </c>
      <c r="N54">
        <v>8358625</v>
      </c>
      <c r="O54" s="5">
        <v>0</v>
      </c>
      <c r="P54" s="5">
        <f t="shared" si="16"/>
        <v>7640935.1703126505</v>
      </c>
      <c r="Q54" s="5">
        <f t="shared" si="17"/>
        <v>51.20789718332496</v>
      </c>
      <c r="R54">
        <f t="shared" si="18"/>
        <v>-8.59</v>
      </c>
      <c r="S54">
        <f t="shared" si="19"/>
        <v>-8.59</v>
      </c>
      <c r="T54">
        <f t="shared" si="20"/>
        <v>0</v>
      </c>
      <c r="U54" s="5">
        <f t="shared" si="21"/>
        <v>0.77</v>
      </c>
      <c r="V54">
        <f t="shared" si="11"/>
        <v>0</v>
      </c>
    </row>
    <row r="55" spans="1:22" x14ac:dyDescent="0.55000000000000004">
      <c r="A55" t="s">
        <v>440</v>
      </c>
      <c r="B55" s="1">
        <v>2012</v>
      </c>
      <c r="C55" t="s">
        <v>389</v>
      </c>
      <c r="D55" s="1">
        <v>3212197</v>
      </c>
      <c r="E55" s="1">
        <v>1202920</v>
      </c>
      <c r="F55">
        <v>597.87</v>
      </c>
      <c r="G55" s="1">
        <v>1311559</v>
      </c>
      <c r="H55">
        <v>651.87</v>
      </c>
      <c r="I55">
        <f t="shared" si="12"/>
        <v>1</v>
      </c>
      <c r="J55" s="5">
        <f t="shared" si="13"/>
        <v>51225.520000000004</v>
      </c>
      <c r="K55" s="4">
        <f t="shared" si="14"/>
        <v>1415816.7125560276</v>
      </c>
      <c r="L55">
        <f t="shared" si="10"/>
        <v>0</v>
      </c>
      <c r="M55" s="5">
        <f t="shared" si="15"/>
        <v>1221291.5004047034</v>
      </c>
      <c r="N55">
        <v>1311559</v>
      </c>
      <c r="O55" s="5">
        <v>0</v>
      </c>
      <c r="P55" s="5">
        <f t="shared" si="16"/>
        <v>1221291.5004047034</v>
      </c>
      <c r="Q55" s="5">
        <f t="shared" si="17"/>
        <v>607.00372783533965</v>
      </c>
      <c r="R55">
        <f t="shared" si="18"/>
        <v>-6.88</v>
      </c>
      <c r="S55">
        <f t="shared" si="19"/>
        <v>-6.88</v>
      </c>
      <c r="T55">
        <f t="shared" si="20"/>
        <v>0</v>
      </c>
      <c r="U55" s="5">
        <f t="shared" si="21"/>
        <v>9.1300000000000008</v>
      </c>
      <c r="V55">
        <f t="shared" si="11"/>
        <v>0</v>
      </c>
    </row>
    <row r="56" spans="1:22" x14ac:dyDescent="0.55000000000000004">
      <c r="A56" t="s">
        <v>441</v>
      </c>
      <c r="B56" s="1">
        <v>2278</v>
      </c>
      <c r="C56" t="s">
        <v>389</v>
      </c>
      <c r="D56" s="1">
        <v>4715969</v>
      </c>
      <c r="E56" s="1">
        <v>1766060</v>
      </c>
      <c r="F56">
        <v>775.27</v>
      </c>
      <c r="G56" s="1">
        <v>1784370</v>
      </c>
      <c r="H56">
        <v>783.31</v>
      </c>
      <c r="I56">
        <f t="shared" si="12"/>
        <v>1</v>
      </c>
      <c r="J56" s="5">
        <f t="shared" si="13"/>
        <v>57997.880000000005</v>
      </c>
      <c r="K56" s="4">
        <f t="shared" si="14"/>
        <v>2078623.3615485406</v>
      </c>
      <c r="L56">
        <f t="shared" si="10"/>
        <v>0</v>
      </c>
      <c r="M56" s="5">
        <f t="shared" si="15"/>
        <v>1793032.2629253648</v>
      </c>
      <c r="N56">
        <v>1784370</v>
      </c>
      <c r="O56" s="5">
        <v>0</v>
      </c>
      <c r="P56" s="5">
        <f t="shared" si="16"/>
        <v>1793032.2629253648</v>
      </c>
      <c r="Q56" s="5">
        <f t="shared" si="17"/>
        <v>787.10810488383004</v>
      </c>
      <c r="R56">
        <f t="shared" si="18"/>
        <v>0.49</v>
      </c>
      <c r="S56">
        <f t="shared" si="19"/>
        <v>0.49</v>
      </c>
      <c r="T56">
        <f t="shared" si="20"/>
        <v>0</v>
      </c>
      <c r="U56" s="5">
        <f t="shared" si="21"/>
        <v>11.84</v>
      </c>
      <c r="V56">
        <f t="shared" si="11"/>
        <v>0</v>
      </c>
    </row>
    <row r="57" spans="1:22" x14ac:dyDescent="0.55000000000000004">
      <c r="A57" t="s">
        <v>442</v>
      </c>
      <c r="B57" s="1">
        <v>7066</v>
      </c>
      <c r="C57" t="s">
        <v>389</v>
      </c>
      <c r="D57" s="1">
        <v>7356750</v>
      </c>
      <c r="E57" s="1">
        <v>2754993</v>
      </c>
      <c r="F57">
        <v>389.89</v>
      </c>
      <c r="G57" s="1">
        <v>3213383</v>
      </c>
      <c r="H57">
        <v>454.77</v>
      </c>
      <c r="I57">
        <f t="shared" si="12"/>
        <v>1</v>
      </c>
      <c r="J57" s="5">
        <f t="shared" si="13"/>
        <v>179900.36000000002</v>
      </c>
      <c r="K57" s="4">
        <f t="shared" si="14"/>
        <v>3242581.1991283712</v>
      </c>
      <c r="L57">
        <f t="shared" si="10"/>
        <v>0</v>
      </c>
      <c r="M57" s="5">
        <f t="shared" si="15"/>
        <v>2797068.8739209645</v>
      </c>
      <c r="N57">
        <v>3245841</v>
      </c>
      <c r="O57" s="5">
        <v>0</v>
      </c>
      <c r="P57" s="5">
        <f t="shared" si="16"/>
        <v>2797068.8739209645</v>
      </c>
      <c r="Q57" s="5">
        <f t="shared" si="17"/>
        <v>395.84897734516903</v>
      </c>
      <c r="R57">
        <f t="shared" si="18"/>
        <v>-12.96</v>
      </c>
      <c r="S57">
        <f t="shared" si="19"/>
        <v>-13.83</v>
      </c>
      <c r="T57">
        <f t="shared" si="20"/>
        <v>-1</v>
      </c>
      <c r="U57" s="5">
        <f t="shared" si="21"/>
        <v>5.96</v>
      </c>
      <c r="V57">
        <f t="shared" si="11"/>
        <v>0</v>
      </c>
    </row>
    <row r="58" spans="1:22" x14ac:dyDescent="0.55000000000000004">
      <c r="A58" t="s">
        <v>443</v>
      </c>
      <c r="B58" s="1">
        <v>103685</v>
      </c>
      <c r="C58" t="s">
        <v>386</v>
      </c>
      <c r="D58" s="1">
        <v>1742337</v>
      </c>
      <c r="E58">
        <v>2639820</v>
      </c>
      <c r="F58">
        <v>25.46</v>
      </c>
      <c r="G58">
        <v>2639820</v>
      </c>
      <c r="H58">
        <v>25.46</v>
      </c>
      <c r="I58">
        <f t="shared" si="12"/>
        <v>1</v>
      </c>
      <c r="J58" s="5">
        <f t="shared" si="13"/>
        <v>2639820.1</v>
      </c>
      <c r="K58" s="4">
        <f t="shared" si="14"/>
        <v>767957.20919505612</v>
      </c>
      <c r="L58">
        <f t="shared" si="10"/>
        <v>0</v>
      </c>
      <c r="M58" s="5">
        <f t="shared" si="15"/>
        <v>662444.23020774557</v>
      </c>
      <c r="N58">
        <v>2572588</v>
      </c>
      <c r="O58" s="5">
        <v>0</v>
      </c>
      <c r="P58" s="5">
        <f t="shared" si="16"/>
        <v>662444.23020774557</v>
      </c>
      <c r="Q58" s="5">
        <f t="shared" si="17"/>
        <v>6.3890073801200327</v>
      </c>
      <c r="R58">
        <f t="shared" si="18"/>
        <v>-74.91</v>
      </c>
      <c r="S58">
        <f t="shared" si="19"/>
        <v>-74.25</v>
      </c>
      <c r="T58">
        <f t="shared" si="20"/>
        <v>2.61</v>
      </c>
      <c r="U58" s="5">
        <f t="shared" si="21"/>
        <v>-19.07</v>
      </c>
      <c r="V58">
        <f t="shared" si="11"/>
        <v>1</v>
      </c>
    </row>
    <row r="59" spans="1:22" x14ac:dyDescent="0.55000000000000004">
      <c r="A59" t="s">
        <v>444</v>
      </c>
      <c r="B59" s="1">
        <v>2906</v>
      </c>
      <c r="C59" t="s">
        <v>389</v>
      </c>
      <c r="D59" s="1">
        <v>1104617</v>
      </c>
      <c r="E59" s="1">
        <v>413662</v>
      </c>
      <c r="F59">
        <v>142.35</v>
      </c>
      <c r="G59" s="1">
        <v>481306</v>
      </c>
      <c r="H59">
        <v>165.62</v>
      </c>
      <c r="I59">
        <f t="shared" si="12"/>
        <v>1</v>
      </c>
      <c r="J59" s="5">
        <f t="shared" si="13"/>
        <v>73986.760000000009</v>
      </c>
      <c r="K59" s="4">
        <f t="shared" si="14"/>
        <v>486874.00230231881</v>
      </c>
      <c r="L59">
        <f t="shared" si="10"/>
        <v>0</v>
      </c>
      <c r="M59" s="5">
        <f t="shared" si="15"/>
        <v>419980.26687109849</v>
      </c>
      <c r="N59">
        <v>486168</v>
      </c>
      <c r="O59" s="5">
        <v>0</v>
      </c>
      <c r="P59" s="5">
        <f t="shared" si="16"/>
        <v>419980.26687109849</v>
      </c>
      <c r="Q59" s="5">
        <f t="shared" si="17"/>
        <v>144.52177111875378</v>
      </c>
      <c r="R59">
        <f t="shared" si="18"/>
        <v>-12.74</v>
      </c>
      <c r="S59">
        <f t="shared" si="19"/>
        <v>-13.61</v>
      </c>
      <c r="T59">
        <f t="shared" si="20"/>
        <v>-1</v>
      </c>
      <c r="U59" s="5">
        <f t="shared" si="21"/>
        <v>2.17</v>
      </c>
      <c r="V59">
        <f t="shared" si="11"/>
        <v>0</v>
      </c>
    </row>
    <row r="60" spans="1:22" x14ac:dyDescent="0.55000000000000004">
      <c r="A60" t="s">
        <v>445</v>
      </c>
      <c r="B60" s="1">
        <v>39929</v>
      </c>
      <c r="C60" t="s">
        <v>386</v>
      </c>
      <c r="D60" s="1">
        <v>-34776759</v>
      </c>
      <c r="E60">
        <v>1016592</v>
      </c>
      <c r="F60">
        <v>25.46</v>
      </c>
      <c r="G60">
        <v>1016592</v>
      </c>
      <c r="H60">
        <v>25.46</v>
      </c>
      <c r="I60">
        <f t="shared" si="12"/>
        <v>0</v>
      </c>
      <c r="J60" s="5">
        <f t="shared" si="13"/>
        <v>1016592.3400000001</v>
      </c>
      <c r="K60" s="4">
        <f t="shared" si="14"/>
        <v>0</v>
      </c>
      <c r="L60">
        <f t="shared" si="10"/>
        <v>1</v>
      </c>
      <c r="M60" s="5">
        <f t="shared" si="15"/>
        <v>1016592.3400000001</v>
      </c>
      <c r="N60">
        <v>979386</v>
      </c>
      <c r="O60" s="5">
        <v>0</v>
      </c>
      <c r="P60" s="5">
        <f t="shared" si="16"/>
        <v>1016592.3400000001</v>
      </c>
      <c r="Q60" s="5">
        <f t="shared" si="17"/>
        <v>25.46</v>
      </c>
      <c r="R60">
        <f t="shared" si="18"/>
        <v>0</v>
      </c>
      <c r="S60">
        <f t="shared" si="19"/>
        <v>3.8</v>
      </c>
      <c r="T60">
        <f t="shared" si="20"/>
        <v>3.8</v>
      </c>
      <c r="U60" s="5">
        <f t="shared" si="21"/>
        <v>0</v>
      </c>
      <c r="V60">
        <f t="shared" si="11"/>
        <v>0</v>
      </c>
    </row>
    <row r="61" spans="1:22" x14ac:dyDescent="0.55000000000000004">
      <c r="A61" t="s">
        <v>446</v>
      </c>
      <c r="B61" s="1">
        <v>16869</v>
      </c>
      <c r="C61" t="s">
        <v>386</v>
      </c>
      <c r="D61" s="1">
        <v>667738</v>
      </c>
      <c r="E61" s="1">
        <v>250058</v>
      </c>
      <c r="F61">
        <v>14.82</v>
      </c>
      <c r="G61" s="1">
        <v>429485</v>
      </c>
      <c r="H61">
        <v>25.46</v>
      </c>
      <c r="I61">
        <f t="shared" si="12"/>
        <v>1</v>
      </c>
      <c r="J61" s="5">
        <f t="shared" si="13"/>
        <v>429484.74</v>
      </c>
      <c r="K61" s="4">
        <f t="shared" si="14"/>
        <v>294314.02246149187</v>
      </c>
      <c r="L61">
        <f t="shared" si="10"/>
        <v>0</v>
      </c>
      <c r="M61" s="5">
        <f t="shared" si="15"/>
        <v>253876.93964512006</v>
      </c>
      <c r="N61">
        <v>418967</v>
      </c>
      <c r="O61" s="5">
        <v>0</v>
      </c>
      <c r="P61" s="5">
        <f t="shared" si="16"/>
        <v>253876.93964512006</v>
      </c>
      <c r="Q61" s="5">
        <f t="shared" si="17"/>
        <v>15.049910465654163</v>
      </c>
      <c r="R61">
        <f t="shared" si="18"/>
        <v>-40.89</v>
      </c>
      <c r="S61">
        <f t="shared" si="19"/>
        <v>-39.4</v>
      </c>
      <c r="T61">
        <f t="shared" si="20"/>
        <v>2.5099999999999998</v>
      </c>
      <c r="U61" s="5">
        <f t="shared" si="21"/>
        <v>0.23</v>
      </c>
      <c r="V61">
        <f t="shared" si="11"/>
        <v>1</v>
      </c>
    </row>
    <row r="62" spans="1:22" x14ac:dyDescent="0.55000000000000004">
      <c r="A62" t="s">
        <v>447</v>
      </c>
      <c r="B62" s="1">
        <v>6958</v>
      </c>
      <c r="C62" t="s">
        <v>389</v>
      </c>
      <c r="D62" s="1">
        <v>6243472</v>
      </c>
      <c r="E62">
        <v>2338087</v>
      </c>
      <c r="F62">
        <v>336.03</v>
      </c>
      <c r="G62">
        <v>2276198</v>
      </c>
      <c r="H62">
        <v>327.13</v>
      </c>
      <c r="I62">
        <f t="shared" si="12"/>
        <v>1</v>
      </c>
      <c r="J62" s="5">
        <f t="shared" si="13"/>
        <v>177150.68</v>
      </c>
      <c r="K62" s="4">
        <f t="shared" si="14"/>
        <v>2751889.7508389452</v>
      </c>
      <c r="L62">
        <f t="shared" si="10"/>
        <v>0</v>
      </c>
      <c r="M62" s="5">
        <f t="shared" si="15"/>
        <v>2373795.6565599036</v>
      </c>
      <c r="N62">
        <v>2235918</v>
      </c>
      <c r="O62" s="5">
        <v>0</v>
      </c>
      <c r="P62" s="5">
        <f t="shared" si="16"/>
        <v>2373795.6565599036</v>
      </c>
      <c r="Q62" s="5">
        <f t="shared" si="17"/>
        <v>341.1606289968243</v>
      </c>
      <c r="R62">
        <f t="shared" si="18"/>
        <v>4.29</v>
      </c>
      <c r="S62">
        <f t="shared" si="19"/>
        <v>6.17</v>
      </c>
      <c r="T62">
        <f t="shared" si="20"/>
        <v>1.8</v>
      </c>
      <c r="U62" s="5">
        <f t="shared" si="21"/>
        <v>5.13</v>
      </c>
      <c r="V62">
        <f t="shared" si="11"/>
        <v>0</v>
      </c>
    </row>
    <row r="63" spans="1:22" x14ac:dyDescent="0.55000000000000004">
      <c r="A63" t="s">
        <v>448</v>
      </c>
      <c r="B63" s="1">
        <v>8420</v>
      </c>
      <c r="C63" t="s">
        <v>386</v>
      </c>
      <c r="D63" s="1">
        <v>-8600802</v>
      </c>
      <c r="E63">
        <v>214373</v>
      </c>
      <c r="F63">
        <v>25.46</v>
      </c>
      <c r="G63">
        <v>214373</v>
      </c>
      <c r="H63">
        <v>25.46</v>
      </c>
      <c r="I63">
        <f t="shared" si="12"/>
        <v>0</v>
      </c>
      <c r="J63" s="5">
        <f t="shared" si="13"/>
        <v>214373.2</v>
      </c>
      <c r="K63" s="4">
        <f t="shared" si="14"/>
        <v>0</v>
      </c>
      <c r="L63">
        <f t="shared" si="10"/>
        <v>1</v>
      </c>
      <c r="M63" s="5">
        <f t="shared" si="15"/>
        <v>214373.2</v>
      </c>
      <c r="N63">
        <v>204948</v>
      </c>
      <c r="O63" s="5">
        <v>0</v>
      </c>
      <c r="P63" s="5">
        <f t="shared" si="16"/>
        <v>214373.2</v>
      </c>
      <c r="Q63" s="5">
        <f t="shared" si="17"/>
        <v>25.46</v>
      </c>
      <c r="R63">
        <f t="shared" si="18"/>
        <v>0</v>
      </c>
      <c r="S63">
        <f t="shared" si="19"/>
        <v>4.5999999999999996</v>
      </c>
      <c r="T63">
        <f t="shared" si="20"/>
        <v>4.5999999999999996</v>
      </c>
      <c r="U63" s="5">
        <f t="shared" si="21"/>
        <v>0</v>
      </c>
      <c r="V63">
        <f t="shared" si="11"/>
        <v>0</v>
      </c>
    </row>
    <row r="64" spans="1:22" x14ac:dyDescent="0.55000000000000004">
      <c r="A64" t="s">
        <v>449</v>
      </c>
      <c r="B64" s="1">
        <v>12257</v>
      </c>
      <c r="C64" t="s">
        <v>389</v>
      </c>
      <c r="D64" s="1">
        <v>7268487</v>
      </c>
      <c r="E64" s="1">
        <v>2721940</v>
      </c>
      <c r="F64">
        <v>222.07</v>
      </c>
      <c r="G64" s="1">
        <v>3199650</v>
      </c>
      <c r="H64">
        <v>261.05</v>
      </c>
      <c r="I64">
        <f t="shared" si="12"/>
        <v>1</v>
      </c>
      <c r="J64" s="5">
        <f t="shared" si="13"/>
        <v>312063.22000000003</v>
      </c>
      <c r="K64" s="4">
        <f t="shared" si="14"/>
        <v>3203678.1584679349</v>
      </c>
      <c r="L64">
        <f t="shared" si="10"/>
        <v>0</v>
      </c>
      <c r="M64" s="5">
        <f t="shared" si="15"/>
        <v>2763510.8911134903</v>
      </c>
      <c r="N64">
        <v>3298608</v>
      </c>
      <c r="O64" s="5">
        <v>0</v>
      </c>
      <c r="P64" s="5">
        <f t="shared" si="16"/>
        <v>2763510.8911134903</v>
      </c>
      <c r="Q64" s="5">
        <f t="shared" si="17"/>
        <v>225.46388929701317</v>
      </c>
      <c r="R64">
        <f t="shared" si="18"/>
        <v>-13.63</v>
      </c>
      <c r="S64">
        <f t="shared" si="19"/>
        <v>-16.22</v>
      </c>
      <c r="T64">
        <f t="shared" si="20"/>
        <v>-3</v>
      </c>
      <c r="U64" s="5">
        <f t="shared" si="21"/>
        <v>3.39</v>
      </c>
      <c r="V64">
        <f t="shared" si="11"/>
        <v>1</v>
      </c>
    </row>
    <row r="65" spans="1:22" x14ac:dyDescent="0.55000000000000004">
      <c r="A65" t="s">
        <v>450</v>
      </c>
      <c r="B65" s="1">
        <v>64519</v>
      </c>
      <c r="C65" t="s">
        <v>386</v>
      </c>
      <c r="D65" s="1">
        <v>-20788774</v>
      </c>
      <c r="E65">
        <v>1642654</v>
      </c>
      <c r="F65">
        <v>25.46</v>
      </c>
      <c r="G65">
        <v>1642654</v>
      </c>
      <c r="H65">
        <v>25.46</v>
      </c>
      <c r="I65">
        <f t="shared" si="12"/>
        <v>0</v>
      </c>
      <c r="J65" s="5">
        <f t="shared" si="13"/>
        <v>1642653.74</v>
      </c>
      <c r="K65" s="4">
        <f t="shared" si="14"/>
        <v>0</v>
      </c>
      <c r="L65">
        <f t="shared" si="10"/>
        <v>1</v>
      </c>
      <c r="M65" s="5">
        <f t="shared" si="15"/>
        <v>1642653.74</v>
      </c>
      <c r="N65">
        <v>1581275</v>
      </c>
      <c r="O65" s="5">
        <v>0</v>
      </c>
      <c r="P65" s="5">
        <f t="shared" si="16"/>
        <v>1642653.74</v>
      </c>
      <c r="Q65" s="5">
        <f t="shared" si="17"/>
        <v>25.46</v>
      </c>
      <c r="R65">
        <f t="shared" si="18"/>
        <v>0</v>
      </c>
      <c r="S65">
        <f t="shared" si="19"/>
        <v>3.88</v>
      </c>
      <c r="T65">
        <f t="shared" si="20"/>
        <v>3.88</v>
      </c>
      <c r="U65" s="5">
        <f t="shared" si="21"/>
        <v>0</v>
      </c>
      <c r="V65">
        <f t="shared" si="11"/>
        <v>0</v>
      </c>
    </row>
    <row r="66" spans="1:22" x14ac:dyDescent="0.55000000000000004">
      <c r="A66" t="s">
        <v>451</v>
      </c>
      <c r="B66" s="1">
        <v>21902</v>
      </c>
      <c r="C66" t="s">
        <v>389</v>
      </c>
      <c r="D66" s="1">
        <v>15713243</v>
      </c>
      <c r="E66">
        <v>5884374</v>
      </c>
      <c r="F66">
        <v>268.67</v>
      </c>
      <c r="G66">
        <v>5728616</v>
      </c>
      <c r="H66">
        <v>261.56</v>
      </c>
      <c r="I66">
        <f t="shared" si="12"/>
        <v>1</v>
      </c>
      <c r="J66" s="5">
        <f t="shared" si="13"/>
        <v>557624.92000000004</v>
      </c>
      <c r="K66" s="4">
        <f t="shared" si="14"/>
        <v>6925811.8502240097</v>
      </c>
      <c r="L66">
        <f t="shared" si="10"/>
        <v>0</v>
      </c>
      <c r="M66" s="5">
        <f t="shared" ref="M66:M69" si="22">IF(L66=1, J66*L66, D66*($Y$9)/$Y$12)</f>
        <v>5974244.4562689345</v>
      </c>
      <c r="N66">
        <v>5254023</v>
      </c>
      <c r="O66" s="5">
        <v>0</v>
      </c>
      <c r="P66" s="5">
        <f t="shared" ref="P66:P69" si="23">M66+O66</f>
        <v>5974244.4562689345</v>
      </c>
      <c r="Q66" s="5">
        <f t="shared" ref="Q66:Q69" si="24">P66/B66</f>
        <v>272.771639862521</v>
      </c>
      <c r="R66">
        <f t="shared" si="18"/>
        <v>4.29</v>
      </c>
      <c r="S66">
        <f t="shared" si="19"/>
        <v>13.71</v>
      </c>
      <c r="T66">
        <f t="shared" si="20"/>
        <v>9.0299999999999994</v>
      </c>
      <c r="U66" s="5">
        <f t="shared" si="21"/>
        <v>4.0999999999999996</v>
      </c>
      <c r="V66">
        <f t="shared" si="11"/>
        <v>0</v>
      </c>
    </row>
    <row r="67" spans="1:22" x14ac:dyDescent="0.55000000000000004">
      <c r="A67" t="s">
        <v>452</v>
      </c>
      <c r="B67" s="1">
        <v>1161</v>
      </c>
      <c r="C67" t="s">
        <v>389</v>
      </c>
      <c r="D67" s="1">
        <v>4248089</v>
      </c>
      <c r="E67">
        <v>1590845</v>
      </c>
      <c r="F67">
        <v>1370.24</v>
      </c>
      <c r="G67">
        <v>1548736</v>
      </c>
      <c r="H67">
        <v>1333.97</v>
      </c>
      <c r="I67">
        <f t="shared" si="12"/>
        <v>1</v>
      </c>
      <c r="J67" s="5">
        <f t="shared" si="13"/>
        <v>29559.06</v>
      </c>
      <c r="K67" s="4">
        <f t="shared" si="14"/>
        <v>1872399.2963773466</v>
      </c>
      <c r="L67">
        <f t="shared" ref="L67:L69" si="25">1-I67</f>
        <v>0</v>
      </c>
      <c r="M67" s="5">
        <f t="shared" si="22"/>
        <v>1615142.2184451064</v>
      </c>
      <c r="N67">
        <v>1522154</v>
      </c>
      <c r="O67" s="5">
        <v>0</v>
      </c>
      <c r="P67" s="5">
        <f t="shared" si="23"/>
        <v>1615142.2184451064</v>
      </c>
      <c r="Q67" s="5">
        <f t="shared" si="24"/>
        <v>1391.1647015031062</v>
      </c>
      <c r="R67">
        <f t="shared" si="18"/>
        <v>4.29</v>
      </c>
      <c r="S67">
        <f t="shared" si="19"/>
        <v>6.11</v>
      </c>
      <c r="T67">
        <f t="shared" si="20"/>
        <v>1.75</v>
      </c>
      <c r="U67" s="5">
        <f t="shared" si="21"/>
        <v>20.92</v>
      </c>
      <c r="V67">
        <f t="shared" ref="V67:V69" si="26">IF(AND(S67&gt;=-15, S67&lt;=30), 0, 1)</f>
        <v>0</v>
      </c>
    </row>
    <row r="68" spans="1:22" x14ac:dyDescent="0.55000000000000004">
      <c r="A68" t="s">
        <v>453</v>
      </c>
      <c r="B68" s="1">
        <v>6100</v>
      </c>
      <c r="C68" t="s">
        <v>389</v>
      </c>
      <c r="D68" s="1">
        <v>289390</v>
      </c>
      <c r="E68" s="1">
        <v>108372</v>
      </c>
      <c r="F68">
        <v>17.77</v>
      </c>
      <c r="G68" s="1">
        <v>227235</v>
      </c>
      <c r="H68">
        <v>37.25</v>
      </c>
      <c r="I68">
        <f t="shared" si="12"/>
        <v>1</v>
      </c>
      <c r="J68" s="5">
        <f t="shared" si="13"/>
        <v>155306</v>
      </c>
      <c r="K68" s="4">
        <f t="shared" si="14"/>
        <v>127552.32585255166</v>
      </c>
      <c r="L68">
        <f t="shared" si="25"/>
        <v>0</v>
      </c>
      <c r="M68" s="5">
        <f t="shared" si="22"/>
        <v>110027.35738253822</v>
      </c>
      <c r="N68">
        <v>239195</v>
      </c>
      <c r="O68" s="5">
        <v>0</v>
      </c>
      <c r="P68" s="5">
        <f t="shared" si="23"/>
        <v>110027.35738253822</v>
      </c>
      <c r="Q68" s="5">
        <f t="shared" si="24"/>
        <v>18.037271702055445</v>
      </c>
      <c r="R68">
        <f t="shared" si="18"/>
        <v>-51.58</v>
      </c>
      <c r="S68">
        <f t="shared" si="19"/>
        <v>-54</v>
      </c>
      <c r="T68">
        <f t="shared" si="20"/>
        <v>-5</v>
      </c>
      <c r="U68" s="5">
        <f t="shared" si="21"/>
        <v>0.27</v>
      </c>
      <c r="V68">
        <f t="shared" si="26"/>
        <v>1</v>
      </c>
    </row>
    <row r="69" spans="1:22" x14ac:dyDescent="0.55000000000000004">
      <c r="A69" t="s">
        <v>454</v>
      </c>
      <c r="B69" s="1">
        <v>12040</v>
      </c>
      <c r="C69" t="s">
        <v>389</v>
      </c>
      <c r="D69" s="1">
        <v>3826375</v>
      </c>
      <c r="E69">
        <v>1432920</v>
      </c>
      <c r="F69">
        <v>119.01</v>
      </c>
      <c r="G69">
        <v>1260624</v>
      </c>
      <c r="H69">
        <v>104.7</v>
      </c>
      <c r="I69">
        <f t="shared" si="12"/>
        <v>1</v>
      </c>
      <c r="J69" s="5">
        <f t="shared" si="13"/>
        <v>306538.40000000002</v>
      </c>
      <c r="K69" s="4">
        <f t="shared" si="14"/>
        <v>1686523.4833064629</v>
      </c>
      <c r="L69">
        <f t="shared" si="25"/>
        <v>0</v>
      </c>
      <c r="M69" s="5">
        <f t="shared" si="22"/>
        <v>1454804.6912630347</v>
      </c>
      <c r="N69">
        <v>1146020</v>
      </c>
      <c r="O69" s="5">
        <v>0</v>
      </c>
      <c r="P69" s="5">
        <f t="shared" si="23"/>
        <v>1454804.6912630347</v>
      </c>
      <c r="Q69" s="5">
        <f t="shared" si="24"/>
        <v>120.8309544238401</v>
      </c>
      <c r="R69">
        <f t="shared" si="18"/>
        <v>15.4</v>
      </c>
      <c r="S69">
        <f t="shared" si="19"/>
        <v>26.94</v>
      </c>
      <c r="T69">
        <f t="shared" si="20"/>
        <v>10</v>
      </c>
      <c r="U69" s="5">
        <f t="shared" si="21"/>
        <v>1.82</v>
      </c>
      <c r="V69">
        <f t="shared" si="26"/>
        <v>0</v>
      </c>
    </row>
    <row r="72" spans="1:22" x14ac:dyDescent="0.55000000000000004">
      <c r="K72" s="4"/>
    </row>
    <row r="82" spans="1:1" x14ac:dyDescent="0.55000000000000004">
      <c r="A82" s="4"/>
    </row>
  </sheetData>
  <customSheetViews>
    <customSheetView guid="{6F58EB3B-97F3-43AA-9269-CE0BCA6518E5}" topLeftCell="J1">
      <selection activeCell="O2" sqref="O2"/>
      <pageMargins left="0.7" right="0.7" top="0.75" bottom="0.75" header="0.3" footer="0.3"/>
    </customSheetView>
  </customSheetViews>
  <conditionalFormatting sqref="B73:O8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U69">
    <cfRule type="cellIs" dxfId="8" priority="6" operator="lessThan">
      <formula>0</formula>
    </cfRule>
    <cfRule type="cellIs" dxfId="7" priority="7" operator="equal">
      <formula>0</formula>
    </cfRule>
    <cfRule type="cellIs" dxfId="6" priority="8" operator="greaterThan">
      <formula>0</formula>
    </cfRule>
  </conditionalFormatting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7FA83193-614E-413F-8D59-7AD0EA434B6D}">
          <xm:f>'South Australia'!1:1048576</xm:f>
        </x15:webExtension>
      </x15:webExtens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81F5-53A6-4C93-90CE-831828D82AE6}">
  <sheetPr codeName="Sheet8"/>
  <dimension ref="A1:AE23"/>
  <sheetViews>
    <sheetView zoomScale="163" zoomScaleNormal="115" workbookViewId="0">
      <pane xSplit="1" topLeftCell="L1" activePane="topRight" state="frozen"/>
      <selection pane="topRight" activeCell="Q2" sqref="Q2"/>
    </sheetView>
  </sheetViews>
  <sheetFormatPr defaultColWidth="8.83984375" defaultRowHeight="14.4" x14ac:dyDescent="0.55000000000000004"/>
  <cols>
    <col min="1" max="1" width="35.83984375" customWidth="1"/>
    <col min="2" max="2" width="15.83984375" style="4" bestFit="1" customWidth="1"/>
    <col min="3" max="3" width="23.68359375" style="4" customWidth="1"/>
    <col min="4" max="4" width="18.68359375" style="4" bestFit="1" customWidth="1"/>
    <col min="5" max="5" width="26.47265625" style="4" bestFit="1" customWidth="1"/>
    <col min="6" max="6" width="14.47265625" style="4" bestFit="1" customWidth="1"/>
    <col min="7" max="7" width="15.3125" style="4" bestFit="1" customWidth="1"/>
    <col min="8" max="8" width="11.68359375" style="4" customWidth="1"/>
    <col min="9" max="9" width="30" style="4" bestFit="1" customWidth="1"/>
    <col min="10" max="10" width="13.15625" style="4" customWidth="1"/>
    <col min="11" max="11" width="17.3125" style="4" bestFit="1" customWidth="1"/>
    <col min="12" max="12" width="15.47265625" style="4" customWidth="1"/>
    <col min="13" max="13" width="17.3125" style="4" bestFit="1" customWidth="1"/>
    <col min="14" max="14" width="22.68359375" style="4" bestFit="1" customWidth="1"/>
    <col min="15" max="15" width="14.47265625" style="4" customWidth="1"/>
    <col min="16" max="16" width="8.83984375" style="4" bestFit="1" customWidth="1"/>
    <col min="17" max="17" width="13.15625" style="4" bestFit="1" customWidth="1"/>
    <col min="18" max="18" width="13.47265625" style="4" bestFit="1" customWidth="1"/>
    <col min="19" max="19" width="18.3125" style="4" bestFit="1" customWidth="1"/>
    <col min="20" max="20" width="18.68359375" style="4" bestFit="1" customWidth="1"/>
    <col min="21" max="21" width="10" style="4" customWidth="1"/>
    <col min="22" max="22" width="15.83984375" style="4" customWidth="1"/>
    <col min="23" max="23" width="19.3125" style="4" bestFit="1" customWidth="1"/>
    <col min="24" max="24" width="13.83984375" bestFit="1" customWidth="1"/>
    <col min="26" max="26" width="26.3125" bestFit="1" customWidth="1"/>
    <col min="27" max="27" width="15.47265625" bestFit="1" customWidth="1"/>
    <col min="30" max="30" width="17.83984375" bestFit="1" customWidth="1"/>
    <col min="31" max="31" width="14.47265625" bestFit="1" customWidth="1"/>
  </cols>
  <sheetData>
    <row r="1" spans="1:31" x14ac:dyDescent="0.55000000000000004">
      <c r="A1" t="s">
        <v>80</v>
      </c>
      <c r="B1" s="4" t="s">
        <v>492</v>
      </c>
      <c r="C1" s="4" t="s">
        <v>375</v>
      </c>
      <c r="D1" s="4" t="s">
        <v>493</v>
      </c>
      <c r="E1" s="4" t="s">
        <v>376</v>
      </c>
      <c r="F1" s="18" t="s">
        <v>494</v>
      </c>
      <c r="G1" s="18" t="s">
        <v>495</v>
      </c>
      <c r="H1" s="4" t="s">
        <v>377</v>
      </c>
      <c r="I1" s="4" t="s">
        <v>378</v>
      </c>
      <c r="J1" s="4" t="s">
        <v>491</v>
      </c>
      <c r="K1" s="4" t="s">
        <v>499</v>
      </c>
      <c r="L1" s="4" t="s">
        <v>263</v>
      </c>
      <c r="M1" s="4" t="s">
        <v>496</v>
      </c>
      <c r="N1" s="4" t="s">
        <v>466</v>
      </c>
      <c r="O1" s="4" t="s">
        <v>467</v>
      </c>
      <c r="P1" s="4" t="s">
        <v>468</v>
      </c>
      <c r="Q1" s="4" t="s">
        <v>460</v>
      </c>
      <c r="R1" s="4" t="s">
        <v>487</v>
      </c>
      <c r="S1" s="4" t="s">
        <v>497</v>
      </c>
      <c r="T1" s="4" t="s">
        <v>462</v>
      </c>
      <c r="U1" s="4" t="s">
        <v>463</v>
      </c>
      <c r="V1" s="4" t="s">
        <v>464</v>
      </c>
      <c r="W1" s="4" t="s">
        <v>500</v>
      </c>
      <c r="X1" s="4" t="s">
        <v>501</v>
      </c>
      <c r="AA1" s="4"/>
    </row>
    <row r="2" spans="1:31" s="9" customFormat="1" x14ac:dyDescent="0.55000000000000004">
      <c r="A2" s="9" t="s">
        <v>358</v>
      </c>
      <c r="B2" s="10">
        <v>28087447</v>
      </c>
      <c r="C2" s="10">
        <v>41093056</v>
      </c>
      <c r="D2" s="10">
        <v>30795432</v>
      </c>
      <c r="E2" s="10">
        <v>40329245</v>
      </c>
      <c r="F2" s="18">
        <f>D2-B2</f>
        <v>2707985</v>
      </c>
      <c r="G2" s="18">
        <f>E2-C2</f>
        <v>-763811</v>
      </c>
      <c r="H2" s="10">
        <v>29379</v>
      </c>
      <c r="I2" s="10">
        <v>764794</v>
      </c>
      <c r="J2" s="10">
        <f>I2/H2</f>
        <v>26.031995643146466</v>
      </c>
      <c r="K2" s="1">
        <v>796782</v>
      </c>
      <c r="L2" s="10">
        <f t="shared" ref="L2:L18" si="0">IF(F2&lt;0, 0, 1)</f>
        <v>1</v>
      </c>
      <c r="M2" s="10">
        <f t="shared" ref="M2:M18" si="1">IF(G2&lt;0, 0, 1)</f>
        <v>0</v>
      </c>
      <c r="N2" s="10">
        <f>$AA$8 * $AA$6 * H2</f>
        <v>764735.37000000011</v>
      </c>
      <c r="O2" s="4">
        <f>(G2 * M2)/$AA$11 * $AA$5</f>
        <v>0</v>
      </c>
      <c r="P2" s="10">
        <f>IF($AA$8=0%, IF(O2&gt;0, 0, 1), IF(O2&lt;N2, 1, 0))</f>
        <v>1</v>
      </c>
      <c r="Q2" s="10">
        <f>IF(P2=1,N2,IF(G2/$AA$12*$AA$9&gt;0,G2/$AA$12*$AA$9,N2))</f>
        <v>764735.37000000011</v>
      </c>
      <c r="R2" s="12"/>
      <c r="S2" s="10">
        <f>Q2+R2</f>
        <v>764735.37000000011</v>
      </c>
      <c r="T2" s="10">
        <f>S2/H2</f>
        <v>26.030000000000005</v>
      </c>
      <c r="U2" s="10">
        <f>ROUND((S2-I2)/I2 * 100, 2)</f>
        <v>-0.01</v>
      </c>
      <c r="V2" s="10">
        <f t="shared" ref="V2:V18" si="2">ROUND(T2-J2, 2)</f>
        <v>0</v>
      </c>
      <c r="W2" s="10">
        <f>(S2-K2)/K2 * 100</f>
        <v>-4.0220072742606998</v>
      </c>
      <c r="X2" s="10">
        <f>(I2-K2)/K2 * 100</f>
        <v>-4.0146489253020272</v>
      </c>
      <c r="Y2"/>
      <c r="AA2" s="10"/>
    </row>
    <row r="3" spans="1:31" x14ac:dyDescent="0.55000000000000004">
      <c r="A3" t="s">
        <v>359</v>
      </c>
      <c r="B3" s="4">
        <v>4079080</v>
      </c>
      <c r="C3" s="4">
        <v>7669044</v>
      </c>
      <c r="D3" s="4">
        <v>22281000</v>
      </c>
      <c r="E3" s="4">
        <v>15903375</v>
      </c>
      <c r="F3" s="18">
        <f t="shared" ref="F3:F18" si="3">D3-B3</f>
        <v>18201920</v>
      </c>
      <c r="G3" s="18">
        <f t="shared" ref="G3:G18" si="4">E3-C3</f>
        <v>8234331</v>
      </c>
      <c r="H3" s="4">
        <v>7280</v>
      </c>
      <c r="I3" s="4">
        <v>2329424</v>
      </c>
      <c r="J3" s="4">
        <f t="shared" ref="J3:J18" si="5">I3/H3</f>
        <v>319.97582417582419</v>
      </c>
      <c r="K3" s="1">
        <v>2042637</v>
      </c>
      <c r="L3" s="4">
        <f t="shared" si="0"/>
        <v>1</v>
      </c>
      <c r="M3" s="4">
        <f t="shared" si="1"/>
        <v>1</v>
      </c>
      <c r="N3" s="4">
        <f t="shared" ref="N3:N18" si="6">$AA$8 * $AA$6 * H3</f>
        <v>189498.40000000002</v>
      </c>
      <c r="O3" s="4">
        <f t="shared" ref="O3:O18" si="7">(G3 * M3)/$AA$11 * $AA$5</f>
        <v>3055040.691889686</v>
      </c>
      <c r="P3" s="10">
        <f t="shared" ref="P3:P18" si="8">IF($AA$8=0%, IF(O3&gt;0, 0, 1), IF(O3&lt;N3, 1, 0))</f>
        <v>0</v>
      </c>
      <c r="Q3" s="10">
        <f t="shared" ref="Q3:Q18" si="9">IF(P3=1,N3,IF(G3/$AA$12*$AA$9&gt;0,G3/$AA$12*$AA$9,N3))</f>
        <v>2361750.7250871845</v>
      </c>
      <c r="R3" s="12"/>
      <c r="S3" s="10">
        <f t="shared" ref="S3:S18" si="10">Q3+R3</f>
        <v>2361750.7250871845</v>
      </c>
      <c r="T3" s="10">
        <f t="shared" ref="T3:T18" si="11">S3/H3</f>
        <v>324.41630839109678</v>
      </c>
      <c r="U3" s="10">
        <f t="shared" ref="U3:U18" si="12">ROUND((S3-I3)/I3 * 100, 2)</f>
        <v>1.39</v>
      </c>
      <c r="V3" s="4">
        <f t="shared" si="2"/>
        <v>4.4400000000000004</v>
      </c>
      <c r="W3" s="10">
        <f t="shared" ref="W3:W18" si="13">(S3-K3)/K3 * 100</f>
        <v>15.622635107813304</v>
      </c>
      <c r="X3" s="10">
        <f t="shared" ref="X3:X18" si="14">(I3-K3)/K3 * 100</f>
        <v>14.040037461379578</v>
      </c>
      <c r="AA3" s="4"/>
    </row>
    <row r="4" spans="1:31" x14ac:dyDescent="0.55000000000000004">
      <c r="A4" t="s">
        <v>360</v>
      </c>
      <c r="B4" s="4">
        <v>92690</v>
      </c>
      <c r="C4" s="4">
        <v>209194</v>
      </c>
      <c r="D4" s="4">
        <v>890696</v>
      </c>
      <c r="E4" s="4">
        <v>310983</v>
      </c>
      <c r="F4" s="18">
        <f t="shared" si="3"/>
        <v>798006</v>
      </c>
      <c r="G4" s="18">
        <f t="shared" si="4"/>
        <v>101789</v>
      </c>
      <c r="H4" s="4">
        <v>167</v>
      </c>
      <c r="I4" s="4">
        <v>28780</v>
      </c>
      <c r="J4" s="4">
        <f t="shared" si="5"/>
        <v>172.33532934131736</v>
      </c>
      <c r="K4" s="1">
        <v>25364</v>
      </c>
      <c r="L4" s="4">
        <f t="shared" si="0"/>
        <v>1</v>
      </c>
      <c r="M4" s="4">
        <f t="shared" si="1"/>
        <v>1</v>
      </c>
      <c r="N4" s="4">
        <f t="shared" si="6"/>
        <v>4347.0100000000011</v>
      </c>
      <c r="O4" s="4">
        <f t="shared" si="7"/>
        <v>37765.003251236711</v>
      </c>
      <c r="P4" s="10">
        <f t="shared" si="8"/>
        <v>0</v>
      </c>
      <c r="Q4" s="10">
        <f t="shared" si="9"/>
        <v>29194.872607853566</v>
      </c>
      <c r="R4" s="12"/>
      <c r="S4" s="10">
        <f t="shared" si="10"/>
        <v>29194.872607853566</v>
      </c>
      <c r="T4" s="10">
        <f t="shared" si="11"/>
        <v>174.81959645421296</v>
      </c>
      <c r="U4" s="10">
        <f t="shared" si="12"/>
        <v>1.44</v>
      </c>
      <c r="V4" s="4">
        <f t="shared" si="2"/>
        <v>2.48</v>
      </c>
      <c r="W4" s="10">
        <f t="shared" si="13"/>
        <v>15.103582273511929</v>
      </c>
      <c r="X4" s="10">
        <f t="shared" si="14"/>
        <v>13.467907270146664</v>
      </c>
      <c r="AA4" s="4"/>
    </row>
    <row r="5" spans="1:31" x14ac:dyDescent="0.55000000000000004">
      <c r="A5" t="s">
        <v>361</v>
      </c>
      <c r="B5" s="4">
        <v>3029890</v>
      </c>
      <c r="C5" s="4">
        <v>6511433</v>
      </c>
      <c r="D5" s="4">
        <v>20132079</v>
      </c>
      <c r="E5" s="4">
        <v>10598501</v>
      </c>
      <c r="F5" s="18">
        <f t="shared" si="3"/>
        <v>17102189</v>
      </c>
      <c r="G5" s="18">
        <f t="shared" si="4"/>
        <v>4087068</v>
      </c>
      <c r="H5" s="4">
        <v>4149</v>
      </c>
      <c r="I5" s="4">
        <v>1157103</v>
      </c>
      <c r="J5" s="4">
        <f t="shared" si="5"/>
        <v>278.88720173535791</v>
      </c>
      <c r="K5">
        <v>1218003</v>
      </c>
      <c r="L5" s="4">
        <f t="shared" si="0"/>
        <v>1</v>
      </c>
      <c r="M5" s="4">
        <f t="shared" si="1"/>
        <v>1</v>
      </c>
      <c r="N5" s="4">
        <f t="shared" si="6"/>
        <v>107998.47000000002</v>
      </c>
      <c r="O5" s="4">
        <f t="shared" si="7"/>
        <v>1516353.7937107694</v>
      </c>
      <c r="P5" s="10">
        <f t="shared" si="8"/>
        <v>0</v>
      </c>
      <c r="Q5" s="10">
        <f t="shared" si="9"/>
        <v>1172242.8710335579</v>
      </c>
      <c r="R5" s="12"/>
      <c r="S5" s="10">
        <f t="shared" si="10"/>
        <v>1172242.8710335579</v>
      </c>
      <c r="T5" s="10">
        <f t="shared" si="11"/>
        <v>282.53624271717473</v>
      </c>
      <c r="U5" s="10">
        <f t="shared" si="12"/>
        <v>1.31</v>
      </c>
      <c r="V5" s="4">
        <f t="shared" si="2"/>
        <v>3.65</v>
      </c>
      <c r="W5" s="10">
        <f t="shared" si="13"/>
        <v>-3.7569799882629247</v>
      </c>
      <c r="X5" s="10">
        <f t="shared" si="14"/>
        <v>-4.9999876847593976</v>
      </c>
      <c r="Z5" t="s">
        <v>456</v>
      </c>
      <c r="AA5" s="4">
        <f>SUM(I2:I18)</f>
        <v>21339375</v>
      </c>
    </row>
    <row r="6" spans="1:31" s="9" customFormat="1" x14ac:dyDescent="0.55000000000000004">
      <c r="A6" s="9" t="s">
        <v>362</v>
      </c>
      <c r="B6" s="10">
        <v>107996341</v>
      </c>
      <c r="C6" s="10">
        <v>144204969</v>
      </c>
      <c r="D6" s="10">
        <v>94677898</v>
      </c>
      <c r="E6" s="10">
        <v>101704731</v>
      </c>
      <c r="F6" s="18">
        <f t="shared" si="3"/>
        <v>-13318443</v>
      </c>
      <c r="G6" s="18">
        <f t="shared" si="4"/>
        <v>-42500238</v>
      </c>
      <c r="H6" s="10">
        <v>85950</v>
      </c>
      <c r="I6" s="10">
        <v>2237449</v>
      </c>
      <c r="J6" s="10">
        <f t="shared" si="5"/>
        <v>26.03198371146015</v>
      </c>
      <c r="K6" s="1">
        <v>2180353</v>
      </c>
      <c r="L6" s="10">
        <f t="shared" si="0"/>
        <v>0</v>
      </c>
      <c r="M6" s="10">
        <f t="shared" si="1"/>
        <v>0</v>
      </c>
      <c r="N6" s="10">
        <f t="shared" si="6"/>
        <v>2237278.5000000005</v>
      </c>
      <c r="O6" s="4">
        <f t="shared" si="7"/>
        <v>0</v>
      </c>
      <c r="P6" s="10">
        <f t="shared" si="8"/>
        <v>1</v>
      </c>
      <c r="Q6" s="10">
        <f t="shared" si="9"/>
        <v>2237278.5000000005</v>
      </c>
      <c r="R6" s="12"/>
      <c r="S6" s="10">
        <f t="shared" si="10"/>
        <v>2237278.5000000005</v>
      </c>
      <c r="T6" s="10">
        <f t="shared" si="11"/>
        <v>26.030000000000005</v>
      </c>
      <c r="U6" s="10">
        <f t="shared" si="12"/>
        <v>-0.01</v>
      </c>
      <c r="V6" s="10">
        <f t="shared" si="2"/>
        <v>0</v>
      </c>
      <c r="W6" s="10">
        <f t="shared" si="13"/>
        <v>2.6108387036411291</v>
      </c>
      <c r="X6" s="10">
        <f t="shared" si="14"/>
        <v>2.618658538319254</v>
      </c>
      <c r="Y6"/>
      <c r="Z6" s="9" t="s">
        <v>457</v>
      </c>
      <c r="AA6" s="10">
        <f>AA7 / 30%</f>
        <v>86.76666666666668</v>
      </c>
    </row>
    <row r="7" spans="1:31" s="9" customFormat="1" x14ac:dyDescent="0.55000000000000004">
      <c r="A7" s="9" t="s">
        <v>363</v>
      </c>
      <c r="B7" s="10">
        <v>33787816</v>
      </c>
      <c r="C7" s="10">
        <v>51325072</v>
      </c>
      <c r="D7" s="10">
        <v>22037228</v>
      </c>
      <c r="E7" s="10">
        <v>50283026</v>
      </c>
      <c r="F7" s="18">
        <f t="shared" si="3"/>
        <v>-11750588</v>
      </c>
      <c r="G7" s="18">
        <f t="shared" si="4"/>
        <v>-1042046</v>
      </c>
      <c r="H7" s="10">
        <v>41346</v>
      </c>
      <c r="I7" s="10">
        <v>1076319</v>
      </c>
      <c r="J7" s="10">
        <f t="shared" si="5"/>
        <v>26.031998258598172</v>
      </c>
      <c r="K7" s="1">
        <v>1035567</v>
      </c>
      <c r="L7" s="10">
        <f t="shared" si="0"/>
        <v>0</v>
      </c>
      <c r="M7" s="10">
        <f t="shared" si="1"/>
        <v>0</v>
      </c>
      <c r="N7" s="10">
        <f t="shared" si="6"/>
        <v>1076236.3800000001</v>
      </c>
      <c r="O7" s="4">
        <f t="shared" si="7"/>
        <v>0</v>
      </c>
      <c r="P7" s="10">
        <f t="shared" si="8"/>
        <v>1</v>
      </c>
      <c r="Q7" s="10">
        <f t="shared" si="9"/>
        <v>1076236.3800000001</v>
      </c>
      <c r="R7" s="12"/>
      <c r="S7" s="10">
        <f t="shared" si="10"/>
        <v>1076236.3800000001</v>
      </c>
      <c r="T7" s="10">
        <f t="shared" si="11"/>
        <v>26.030000000000005</v>
      </c>
      <c r="U7" s="10">
        <f t="shared" si="12"/>
        <v>-0.01</v>
      </c>
      <c r="V7" s="10">
        <f t="shared" si="2"/>
        <v>0</v>
      </c>
      <c r="W7" s="10">
        <f t="shared" si="13"/>
        <v>3.9272572416850018</v>
      </c>
      <c r="X7" s="10">
        <f t="shared" si="14"/>
        <v>3.9352354796937328</v>
      </c>
      <c r="Y7"/>
      <c r="Z7" s="9" t="s">
        <v>473</v>
      </c>
      <c r="AA7" s="10">
        <v>26.03</v>
      </c>
    </row>
    <row r="8" spans="1:31" s="9" customFormat="1" x14ac:dyDescent="0.55000000000000004">
      <c r="A8" s="9" t="s">
        <v>364</v>
      </c>
      <c r="B8" s="10">
        <v>988240</v>
      </c>
      <c r="C8" s="10">
        <v>2409288</v>
      </c>
      <c r="D8" s="10">
        <v>3036605</v>
      </c>
      <c r="E8" s="10">
        <v>2092502</v>
      </c>
      <c r="F8" s="18">
        <f t="shared" si="3"/>
        <v>2048365</v>
      </c>
      <c r="G8" s="18">
        <f t="shared" si="4"/>
        <v>-316786</v>
      </c>
      <c r="H8" s="10">
        <v>1429</v>
      </c>
      <c r="I8" s="10">
        <v>37200</v>
      </c>
      <c r="J8" s="10">
        <f t="shared" si="5"/>
        <v>26.032190342897131</v>
      </c>
      <c r="K8" s="1">
        <v>35824</v>
      </c>
      <c r="L8" s="10">
        <f t="shared" si="0"/>
        <v>1</v>
      </c>
      <c r="M8" s="10">
        <f t="shared" si="1"/>
        <v>0</v>
      </c>
      <c r="N8" s="10">
        <f t="shared" si="6"/>
        <v>37196.87000000001</v>
      </c>
      <c r="O8" s="4">
        <f t="shared" si="7"/>
        <v>0</v>
      </c>
      <c r="P8" s="10">
        <f t="shared" si="8"/>
        <v>1</v>
      </c>
      <c r="Q8" s="10">
        <f t="shared" si="9"/>
        <v>37196.87000000001</v>
      </c>
      <c r="R8" s="12"/>
      <c r="S8" s="10">
        <f t="shared" si="10"/>
        <v>37196.87000000001</v>
      </c>
      <c r="T8" s="10">
        <f t="shared" si="11"/>
        <v>26.030000000000008</v>
      </c>
      <c r="U8" s="10">
        <f t="shared" si="12"/>
        <v>-0.01</v>
      </c>
      <c r="V8" s="10">
        <f t="shared" si="2"/>
        <v>0</v>
      </c>
      <c r="W8" s="10">
        <f t="shared" si="13"/>
        <v>3.8322632871818052</v>
      </c>
      <c r="X8" s="10">
        <f t="shared" si="14"/>
        <v>3.8410004466279588</v>
      </c>
      <c r="Y8"/>
      <c r="Z8" s="9" t="s">
        <v>472</v>
      </c>
      <c r="AA8" s="11">
        <f xml:space="preserve"> Control!$C$5</f>
        <v>0.3</v>
      </c>
    </row>
    <row r="9" spans="1:31" s="7" customFormat="1" x14ac:dyDescent="0.55000000000000004">
      <c r="A9" s="7" t="s">
        <v>365</v>
      </c>
      <c r="B9" s="13">
        <v>6855014</v>
      </c>
      <c r="C9" s="13">
        <v>13028021</v>
      </c>
      <c r="D9" s="13">
        <v>31260242</v>
      </c>
      <c r="E9" s="13">
        <v>27585848</v>
      </c>
      <c r="F9" s="18">
        <f t="shared" si="3"/>
        <v>24405228</v>
      </c>
      <c r="G9" s="18">
        <f t="shared" si="4"/>
        <v>14557827</v>
      </c>
      <c r="H9" s="13">
        <v>10068</v>
      </c>
      <c r="I9" s="13">
        <v>4118206</v>
      </c>
      <c r="J9" s="13">
        <f t="shared" si="5"/>
        <v>409.03913388955107</v>
      </c>
      <c r="K9" s="14">
        <v>4037127</v>
      </c>
      <c r="L9" s="13">
        <f t="shared" si="0"/>
        <v>1</v>
      </c>
      <c r="M9" s="13">
        <f t="shared" si="1"/>
        <v>1</v>
      </c>
      <c r="N9" s="13">
        <f t="shared" si="6"/>
        <v>262070.04000000004</v>
      </c>
      <c r="O9" s="4">
        <f t="shared" si="7"/>
        <v>5401137.4901604448</v>
      </c>
      <c r="P9" s="10">
        <f t="shared" si="8"/>
        <v>0</v>
      </c>
      <c r="Q9" s="10">
        <f t="shared" si="9"/>
        <v>4175440.4180429219</v>
      </c>
      <c r="R9" s="12"/>
      <c r="S9" s="10">
        <f t="shared" si="10"/>
        <v>4175440.4180429219</v>
      </c>
      <c r="T9" s="13">
        <f t="shared" si="11"/>
        <v>414.72391915404467</v>
      </c>
      <c r="U9" s="13">
        <f t="shared" si="12"/>
        <v>1.39</v>
      </c>
      <c r="V9" s="13">
        <f t="shared" si="2"/>
        <v>5.68</v>
      </c>
      <c r="W9" s="13">
        <f t="shared" si="13"/>
        <v>3.4260358428883197</v>
      </c>
      <c r="X9" s="13">
        <f t="shared" si="14"/>
        <v>2.0083341445537877</v>
      </c>
      <c r="Y9"/>
      <c r="Z9" s="7" t="s">
        <v>471</v>
      </c>
      <c r="AA9" s="13">
        <f>$AA$5-SUMPRODUCT($N$2:$N$18,$P$2:$P$18)</f>
        <v>16315350.729999999</v>
      </c>
      <c r="AD9" s="7" t="s">
        <v>502</v>
      </c>
      <c r="AE9" s="8">
        <f>AA5-SUM(Q2:Q18)</f>
        <v>0</v>
      </c>
    </row>
    <row r="10" spans="1:31" s="7" customFormat="1" x14ac:dyDescent="0.55000000000000004">
      <c r="A10" s="7" t="s">
        <v>366</v>
      </c>
      <c r="B10" s="13">
        <v>8670121</v>
      </c>
      <c r="C10" s="13">
        <v>13935595</v>
      </c>
      <c r="D10" s="13">
        <v>11825981</v>
      </c>
      <c r="E10" s="13">
        <v>14568098</v>
      </c>
      <c r="F10" s="18">
        <f t="shared" si="3"/>
        <v>3155860</v>
      </c>
      <c r="G10" s="18">
        <f t="shared" si="4"/>
        <v>632503</v>
      </c>
      <c r="H10" s="13">
        <v>10890</v>
      </c>
      <c r="I10" s="13">
        <v>462478</v>
      </c>
      <c r="J10" s="13">
        <f t="shared" si="5"/>
        <v>42.46813590449954</v>
      </c>
      <c r="K10" s="14">
        <v>451674</v>
      </c>
      <c r="L10" s="13">
        <f t="shared" si="0"/>
        <v>1</v>
      </c>
      <c r="M10" s="13">
        <f t="shared" si="1"/>
        <v>1</v>
      </c>
      <c r="N10" s="13">
        <f>$AA$8 * $AA$6 * H10</f>
        <v>283466.70000000007</v>
      </c>
      <c r="O10" s="4">
        <f t="shared" si="7"/>
        <v>234666.59316249273</v>
      </c>
      <c r="P10" s="10">
        <f t="shared" si="8"/>
        <v>1</v>
      </c>
      <c r="Q10" s="10">
        <f t="shared" si="9"/>
        <v>283466.70000000007</v>
      </c>
      <c r="R10" s="12">
        <v>179047.47599999994</v>
      </c>
      <c r="S10" s="10">
        <f t="shared" si="10"/>
        <v>462514.17599999998</v>
      </c>
      <c r="T10" s="13">
        <f t="shared" si="11"/>
        <v>42.47145785123967</v>
      </c>
      <c r="U10" s="13">
        <f t="shared" si="12"/>
        <v>0.01</v>
      </c>
      <c r="V10" s="13">
        <f t="shared" si="2"/>
        <v>0</v>
      </c>
      <c r="W10" s="13">
        <f t="shared" si="13"/>
        <v>2.399999999999995</v>
      </c>
      <c r="X10" s="13">
        <f t="shared" si="14"/>
        <v>2.3919906835460973</v>
      </c>
      <c r="Y10"/>
      <c r="AA10" s="13"/>
    </row>
    <row r="11" spans="1:31" s="9" customFormat="1" x14ac:dyDescent="0.55000000000000004">
      <c r="A11" s="9" t="s">
        <v>367</v>
      </c>
      <c r="B11" s="10">
        <v>29777722</v>
      </c>
      <c r="C11" s="10">
        <v>43127706</v>
      </c>
      <c r="D11" s="10">
        <v>14193901</v>
      </c>
      <c r="E11" s="10">
        <v>30258629</v>
      </c>
      <c r="F11" s="18">
        <f t="shared" si="3"/>
        <v>-15583821</v>
      </c>
      <c r="G11" s="18">
        <f t="shared" si="4"/>
        <v>-12869077</v>
      </c>
      <c r="H11" s="10">
        <v>23548</v>
      </c>
      <c r="I11" s="10">
        <v>613000</v>
      </c>
      <c r="J11" s="10">
        <f t="shared" si="5"/>
        <v>26.031934771530491</v>
      </c>
      <c r="K11" s="1">
        <v>594231</v>
      </c>
      <c r="L11" s="10">
        <f t="shared" si="0"/>
        <v>0</v>
      </c>
      <c r="M11" s="10">
        <f t="shared" si="1"/>
        <v>0</v>
      </c>
      <c r="N11" s="10">
        <f t="shared" si="6"/>
        <v>612954.44000000006</v>
      </c>
      <c r="O11" s="4">
        <f t="shared" si="7"/>
        <v>0</v>
      </c>
      <c r="P11" s="10">
        <f t="shared" si="8"/>
        <v>1</v>
      </c>
      <c r="Q11" s="10">
        <f t="shared" si="9"/>
        <v>612954.44000000006</v>
      </c>
      <c r="R11" s="12"/>
      <c r="S11" s="10">
        <f t="shared" si="10"/>
        <v>612954.44000000006</v>
      </c>
      <c r="T11" s="10">
        <f t="shared" si="11"/>
        <v>26.03</v>
      </c>
      <c r="U11" s="10">
        <f t="shared" si="12"/>
        <v>-0.01</v>
      </c>
      <c r="V11" s="10">
        <f t="shared" si="2"/>
        <v>0</v>
      </c>
      <c r="W11" s="10">
        <f t="shared" si="13"/>
        <v>3.1508689381738857</v>
      </c>
      <c r="X11" s="10">
        <f t="shared" si="14"/>
        <v>3.1585359902125605</v>
      </c>
      <c r="Y11"/>
      <c r="Z11" s="9" t="s">
        <v>461</v>
      </c>
      <c r="AA11" s="10">
        <f>SUMPRODUCT(G2:G18, M2:M18)</f>
        <v>57516575</v>
      </c>
      <c r="AD11" s="9" t="s">
        <v>503</v>
      </c>
      <c r="AE11" s="10">
        <f>SUMPRODUCT(F2:F18, L2:L18)</f>
        <v>163056713</v>
      </c>
    </row>
    <row r="12" spans="1:31" x14ac:dyDescent="0.55000000000000004">
      <c r="A12" t="s">
        <v>368</v>
      </c>
      <c r="B12" s="4">
        <v>4466493</v>
      </c>
      <c r="C12" s="4">
        <v>8740268</v>
      </c>
      <c r="D12" s="4">
        <v>34141154</v>
      </c>
      <c r="E12" s="4">
        <v>17580651</v>
      </c>
      <c r="F12" s="18">
        <f t="shared" si="3"/>
        <v>29674661</v>
      </c>
      <c r="G12" s="18">
        <f t="shared" si="4"/>
        <v>8840383</v>
      </c>
      <c r="H12" s="4">
        <v>6744</v>
      </c>
      <c r="I12" s="4">
        <v>2500864</v>
      </c>
      <c r="J12" s="4">
        <f t="shared" si="5"/>
        <v>370.82799525504151</v>
      </c>
      <c r="K12" s="1">
        <v>2402666</v>
      </c>
      <c r="L12" s="4">
        <f t="shared" si="0"/>
        <v>1</v>
      </c>
      <c r="M12" s="4">
        <f t="shared" si="1"/>
        <v>1</v>
      </c>
      <c r="N12" s="4">
        <f t="shared" si="6"/>
        <v>175546.32000000004</v>
      </c>
      <c r="O12" s="4">
        <f t="shared" si="7"/>
        <v>3279893.6303252587</v>
      </c>
      <c r="P12" s="10">
        <f t="shared" si="8"/>
        <v>0</v>
      </c>
      <c r="Q12" s="10">
        <f t="shared" si="9"/>
        <v>2535577.0809187074</v>
      </c>
      <c r="R12" s="12"/>
      <c r="S12" s="10">
        <f t="shared" si="10"/>
        <v>2535577.0809187074</v>
      </c>
      <c r="T12" s="10">
        <f t="shared" si="11"/>
        <v>375.97524924654618</v>
      </c>
      <c r="U12" s="10">
        <f t="shared" si="12"/>
        <v>1.39</v>
      </c>
      <c r="V12" s="4">
        <f t="shared" si="2"/>
        <v>5.15</v>
      </c>
      <c r="W12" s="10">
        <f t="shared" si="13"/>
        <v>5.5318167784747203</v>
      </c>
      <c r="X12" s="10">
        <f t="shared" si="14"/>
        <v>4.0870433093904852</v>
      </c>
      <c r="Z12" t="s">
        <v>470</v>
      </c>
      <c r="AA12" s="4" cm="1">
        <f t="array" ref="AA12">SUMPRODUCT($G$2:$G$18,1-$P2:$P18, M2:M18)</f>
        <v>56884072</v>
      </c>
    </row>
    <row r="13" spans="1:31" x14ac:dyDescent="0.55000000000000004">
      <c r="A13" t="s">
        <v>369</v>
      </c>
      <c r="B13" s="4">
        <v>5519520</v>
      </c>
      <c r="C13" s="4">
        <v>10321762</v>
      </c>
      <c r="D13" s="4">
        <v>26808961</v>
      </c>
      <c r="E13" s="4">
        <v>18905425</v>
      </c>
      <c r="F13" s="18">
        <f t="shared" si="3"/>
        <v>21289441</v>
      </c>
      <c r="G13" s="18">
        <f t="shared" si="4"/>
        <v>8583663</v>
      </c>
      <c r="H13" s="4">
        <v>7533</v>
      </c>
      <c r="I13" s="4">
        <v>2428358</v>
      </c>
      <c r="J13" s="4">
        <f t="shared" si="5"/>
        <v>322.36267091464225</v>
      </c>
      <c r="K13" s="1">
        <v>2478457</v>
      </c>
      <c r="L13" s="4">
        <f t="shared" si="0"/>
        <v>1</v>
      </c>
      <c r="M13" s="4">
        <f t="shared" si="1"/>
        <v>1</v>
      </c>
      <c r="N13" s="4">
        <f t="shared" si="6"/>
        <v>196083.99000000005</v>
      </c>
      <c r="O13" s="4">
        <f t="shared" si="7"/>
        <v>3184647.2713409136</v>
      </c>
      <c r="P13" s="10">
        <f t="shared" si="8"/>
        <v>0</v>
      </c>
      <c r="Q13" s="10">
        <f t="shared" si="9"/>
        <v>2461945.2769331275</v>
      </c>
      <c r="R13" s="12"/>
      <c r="S13" s="10">
        <f t="shared" si="10"/>
        <v>2461945.2769331275</v>
      </c>
      <c r="T13" s="10">
        <f t="shared" si="11"/>
        <v>326.82135629007399</v>
      </c>
      <c r="U13" s="10">
        <f t="shared" si="12"/>
        <v>1.38</v>
      </c>
      <c r="V13" s="4">
        <f t="shared" si="2"/>
        <v>4.46</v>
      </c>
      <c r="W13" s="10">
        <f t="shared" si="13"/>
        <v>-0.66620978563971256</v>
      </c>
      <c r="X13" s="10">
        <f t="shared" si="14"/>
        <v>-2.0213786238776787</v>
      </c>
      <c r="AA13" s="4"/>
    </row>
    <row r="14" spans="1:31" x14ac:dyDescent="0.55000000000000004">
      <c r="A14" t="s">
        <v>370</v>
      </c>
      <c r="B14" s="4">
        <v>1653578</v>
      </c>
      <c r="C14" s="4">
        <v>4396314</v>
      </c>
      <c r="D14" s="4">
        <v>10361865</v>
      </c>
      <c r="E14" s="4">
        <v>5988882</v>
      </c>
      <c r="F14" s="18">
        <f t="shared" si="3"/>
        <v>8708287</v>
      </c>
      <c r="G14" s="18">
        <f t="shared" si="4"/>
        <v>1592568</v>
      </c>
      <c r="H14" s="4">
        <v>2763</v>
      </c>
      <c r="I14" s="4">
        <v>450412</v>
      </c>
      <c r="J14" s="4">
        <f t="shared" si="5"/>
        <v>163.01556279406444</v>
      </c>
      <c r="K14" s="1">
        <v>470442</v>
      </c>
      <c r="L14" s="4">
        <f t="shared" si="0"/>
        <v>1</v>
      </c>
      <c r="M14" s="4">
        <f t="shared" si="1"/>
        <v>1</v>
      </c>
      <c r="N14" s="4">
        <f t="shared" si="6"/>
        <v>71920.890000000014</v>
      </c>
      <c r="O14" s="4">
        <f t="shared" si="7"/>
        <v>590862.82110852399</v>
      </c>
      <c r="P14" s="10">
        <f t="shared" si="8"/>
        <v>0</v>
      </c>
      <c r="Q14" s="10">
        <f t="shared" si="9"/>
        <v>456776.46778477175</v>
      </c>
      <c r="R14" s="12"/>
      <c r="S14" s="10">
        <f t="shared" si="10"/>
        <v>456776.46778477175</v>
      </c>
      <c r="T14" s="10">
        <f t="shared" si="11"/>
        <v>165.31902561880989</v>
      </c>
      <c r="U14" s="10">
        <f t="shared" si="12"/>
        <v>1.41</v>
      </c>
      <c r="V14" s="4">
        <f t="shared" si="2"/>
        <v>2.2999999999999998</v>
      </c>
      <c r="W14" s="10">
        <f t="shared" si="13"/>
        <v>-2.9048282711212532</v>
      </c>
      <c r="X14" s="10">
        <f t="shared" si="14"/>
        <v>-4.25769807967826</v>
      </c>
      <c r="Z14" t="s">
        <v>488</v>
      </c>
      <c r="AA14" s="4" cm="1">
        <f t="array" ref="AA14">SUMPRODUCT(R2:R18, 1- P2:P18)</f>
        <v>0</v>
      </c>
    </row>
    <row r="15" spans="1:31" x14ac:dyDescent="0.55000000000000004">
      <c r="A15" t="s">
        <v>371</v>
      </c>
      <c r="B15" s="4">
        <v>2417888</v>
      </c>
      <c r="C15" s="4">
        <v>4858183</v>
      </c>
      <c r="D15" s="4">
        <v>11497879</v>
      </c>
      <c r="E15" s="4">
        <v>6789190</v>
      </c>
      <c r="F15" s="18">
        <f t="shared" si="3"/>
        <v>9079991</v>
      </c>
      <c r="G15" s="18">
        <f t="shared" si="4"/>
        <v>1931007</v>
      </c>
      <c r="H15" s="4">
        <v>3314</v>
      </c>
      <c r="I15" s="4">
        <v>589064</v>
      </c>
      <c r="J15" s="4">
        <f t="shared" si="5"/>
        <v>177.75015087507543</v>
      </c>
      <c r="K15" s="1">
        <v>620067</v>
      </c>
      <c r="L15" s="4">
        <f t="shared" si="0"/>
        <v>1</v>
      </c>
      <c r="M15" s="4">
        <f t="shared" si="1"/>
        <v>1</v>
      </c>
      <c r="N15" s="4">
        <f t="shared" si="6"/>
        <v>86263.420000000013</v>
      </c>
      <c r="O15" s="4">
        <f t="shared" si="7"/>
        <v>716427.96012497263</v>
      </c>
      <c r="P15" s="10">
        <f t="shared" si="8"/>
        <v>0</v>
      </c>
      <c r="Q15" s="10">
        <f t="shared" si="9"/>
        <v>553846.71595038252</v>
      </c>
      <c r="R15" s="12"/>
      <c r="S15" s="10">
        <f t="shared" si="10"/>
        <v>553846.71595038252</v>
      </c>
      <c r="T15" s="10">
        <f t="shared" si="11"/>
        <v>167.12333009969296</v>
      </c>
      <c r="U15" s="10">
        <f t="shared" si="12"/>
        <v>-5.98</v>
      </c>
      <c r="V15" s="4">
        <f t="shared" si="2"/>
        <v>-10.63</v>
      </c>
      <c r="W15" s="10">
        <f t="shared" si="13"/>
        <v>-10.679536896757524</v>
      </c>
      <c r="X15" s="10">
        <f t="shared" si="14"/>
        <v>-4.9999435544868538</v>
      </c>
      <c r="Z15" t="s">
        <v>469</v>
      </c>
      <c r="AA15" s="4">
        <f>SUM(S2:S18)</f>
        <v>21518422.476</v>
      </c>
    </row>
    <row r="16" spans="1:31" x14ac:dyDescent="0.55000000000000004">
      <c r="A16" t="s">
        <v>372</v>
      </c>
      <c r="B16" s="4">
        <v>311323</v>
      </c>
      <c r="C16" s="4">
        <v>574859</v>
      </c>
      <c r="D16" s="4">
        <v>785297</v>
      </c>
      <c r="E16" s="4">
        <v>550239</v>
      </c>
      <c r="F16" s="18">
        <f t="shared" si="3"/>
        <v>473974</v>
      </c>
      <c r="G16" s="18">
        <f t="shared" si="4"/>
        <v>-24620</v>
      </c>
      <c r="H16" s="4">
        <v>467</v>
      </c>
      <c r="I16" s="4">
        <v>12407</v>
      </c>
      <c r="J16" s="4">
        <f t="shared" si="5"/>
        <v>26.567451820128479</v>
      </c>
      <c r="K16" s="1">
        <v>14282</v>
      </c>
      <c r="L16" s="4">
        <f t="shared" si="0"/>
        <v>1</v>
      </c>
      <c r="M16" s="4">
        <f t="shared" si="1"/>
        <v>0</v>
      </c>
      <c r="N16" s="4">
        <f t="shared" si="6"/>
        <v>12156.010000000002</v>
      </c>
      <c r="O16" s="4">
        <f t="shared" si="7"/>
        <v>0</v>
      </c>
      <c r="P16" s="10">
        <f t="shared" si="8"/>
        <v>1</v>
      </c>
      <c r="Q16" s="10">
        <f t="shared" si="9"/>
        <v>12156.010000000002</v>
      </c>
      <c r="R16" s="12"/>
      <c r="S16" s="10">
        <f t="shared" si="10"/>
        <v>12156.010000000002</v>
      </c>
      <c r="T16" s="10">
        <f t="shared" si="11"/>
        <v>26.030000000000005</v>
      </c>
      <c r="U16" s="10">
        <f t="shared" si="12"/>
        <v>-2.02</v>
      </c>
      <c r="V16" s="4">
        <f t="shared" si="2"/>
        <v>-0.54</v>
      </c>
      <c r="W16" s="10">
        <f t="shared" si="13"/>
        <v>-14.885800308080086</v>
      </c>
      <c r="X16" s="10">
        <f t="shared" si="14"/>
        <v>-13.128413387480744</v>
      </c>
      <c r="AA16" s="4"/>
    </row>
    <row r="17" spans="1:27" x14ac:dyDescent="0.55000000000000004">
      <c r="A17" t="s">
        <v>373</v>
      </c>
      <c r="B17" s="4">
        <v>4615625</v>
      </c>
      <c r="C17" s="4">
        <v>9428496</v>
      </c>
      <c r="D17" s="4">
        <v>23217114</v>
      </c>
      <c r="E17" s="4">
        <v>16334673</v>
      </c>
      <c r="F17" s="18">
        <f t="shared" si="3"/>
        <v>18601489</v>
      </c>
      <c r="G17" s="18">
        <f t="shared" si="4"/>
        <v>6906177</v>
      </c>
      <c r="H17" s="4">
        <v>7449</v>
      </c>
      <c r="I17" s="4">
        <v>1953690</v>
      </c>
      <c r="J17" s="4">
        <f t="shared" si="5"/>
        <v>262.2754732178816</v>
      </c>
      <c r="K17" s="1">
        <v>1728321</v>
      </c>
      <c r="L17" s="4">
        <f t="shared" si="0"/>
        <v>1</v>
      </c>
      <c r="M17" s="4">
        <f t="shared" si="1"/>
        <v>1</v>
      </c>
      <c r="N17" s="4">
        <f t="shared" si="6"/>
        <v>193897.47000000003</v>
      </c>
      <c r="O17" s="4">
        <f t="shared" si="7"/>
        <v>2562278.8008391494</v>
      </c>
      <c r="P17" s="10">
        <f t="shared" si="8"/>
        <v>0</v>
      </c>
      <c r="Q17" s="10">
        <f t="shared" si="9"/>
        <v>1980812.8355941044</v>
      </c>
      <c r="R17" s="12"/>
      <c r="S17" s="10">
        <f t="shared" si="10"/>
        <v>1980812.8355941044</v>
      </c>
      <c r="T17" s="10">
        <f t="shared" si="11"/>
        <v>265.91661103424678</v>
      </c>
      <c r="U17" s="10">
        <f t="shared" si="12"/>
        <v>1.39</v>
      </c>
      <c r="V17" s="4">
        <f t="shared" si="2"/>
        <v>3.64</v>
      </c>
      <c r="W17" s="10">
        <f t="shared" si="13"/>
        <v>14.609082201402654</v>
      </c>
      <c r="X17" s="10">
        <f t="shared" si="14"/>
        <v>13.0397651825095</v>
      </c>
      <c r="Z17" t="s">
        <v>474</v>
      </c>
      <c r="AA17" s="4" cm="1">
        <f t="array" ref="AA17">IF(AA8=30%, 0, SUMPRODUCT(IF(V2:V18 &lt; 0, 1, 0), V2:V18, H2:H18)/SUMPRODUCT(IF(V2:V18 &lt; 0, 1, 0), H2:H18))</f>
        <v>0</v>
      </c>
    </row>
    <row r="18" spans="1:27" x14ac:dyDescent="0.55000000000000004">
      <c r="A18" t="s">
        <v>374</v>
      </c>
      <c r="B18" s="4">
        <v>2162850</v>
      </c>
      <c r="C18" s="4">
        <v>5082242</v>
      </c>
      <c r="D18" s="4">
        <v>8972167</v>
      </c>
      <c r="E18" s="4">
        <v>7131501</v>
      </c>
      <c r="F18" s="18">
        <f t="shared" si="3"/>
        <v>6809317</v>
      </c>
      <c r="G18" s="18">
        <f t="shared" si="4"/>
        <v>2049259</v>
      </c>
      <c r="H18" s="4">
        <v>3445</v>
      </c>
      <c r="I18" s="4">
        <v>579827</v>
      </c>
      <c r="J18" s="4">
        <f t="shared" si="5"/>
        <v>168.30972423802612</v>
      </c>
      <c r="K18" s="1">
        <v>593496</v>
      </c>
      <c r="L18" s="4">
        <f t="shared" si="0"/>
        <v>1</v>
      </c>
      <c r="M18" s="4">
        <f t="shared" si="1"/>
        <v>1</v>
      </c>
      <c r="N18" s="4">
        <f t="shared" si="6"/>
        <v>89673.35000000002</v>
      </c>
      <c r="O18" s="4">
        <f t="shared" si="7"/>
        <v>760300.94408655248</v>
      </c>
      <c r="P18" s="10">
        <f t="shared" si="8"/>
        <v>0</v>
      </c>
      <c r="Q18" s="10">
        <f t="shared" si="9"/>
        <v>587763.46604738606</v>
      </c>
      <c r="R18" s="12"/>
      <c r="S18" s="10">
        <f t="shared" si="10"/>
        <v>587763.46604738606</v>
      </c>
      <c r="T18" s="10">
        <f t="shared" si="11"/>
        <v>170.6134879673109</v>
      </c>
      <c r="U18" s="10">
        <f t="shared" si="12"/>
        <v>1.37</v>
      </c>
      <c r="V18" s="4">
        <f t="shared" si="2"/>
        <v>2.2999999999999998</v>
      </c>
      <c r="W18" s="10">
        <f t="shared" si="13"/>
        <v>-0.96589260123302323</v>
      </c>
      <c r="X18" s="10">
        <f t="shared" si="14"/>
        <v>-2.3031326243142329</v>
      </c>
      <c r="AA18" s="4"/>
    </row>
    <row r="21" spans="1:27" x14ac:dyDescent="0.55000000000000004">
      <c r="AA21" s="5"/>
    </row>
    <row r="22" spans="1:27" x14ac:dyDescent="0.55000000000000004">
      <c r="AA22" s="5"/>
    </row>
    <row r="23" spans="1:27" x14ac:dyDescent="0.55000000000000004">
      <c r="AA23" s="5"/>
    </row>
  </sheetData>
  <customSheetViews>
    <customSheetView guid="{6F58EB3B-97F3-43AA-9269-CE0BCA6518E5}" scale="98">
      <pane xSplit="1" topLeftCell="N1" activePane="topRight" state="frozen"/>
      <selection pane="topRight" activeCell="AA11" sqref="AA11"/>
      <pageMargins left="0.7" right="0.7" top="0.75" bottom="0.75" header="0.3" footer="0.3"/>
      <pageSetup orientation="portrait" r:id="rId1"/>
    </customSheetView>
  </customSheetViews>
  <conditionalFormatting sqref="J2:K18">
    <cfRule type="cellIs" dxfId="5" priority="3" operator="lessThan">
      <formula>26.04</formula>
    </cfRule>
  </conditionalFormatting>
  <conditionalFormatting sqref="T2:T18">
    <cfRule type="cellIs" dxfId="4" priority="1" operator="equal">
      <formula>26.03</formula>
    </cfRule>
    <cfRule type="cellIs" dxfId="3" priority="2" operator="equal">
      <formula>26.032</formula>
    </cfRule>
  </conditionalFormatting>
  <conditionalFormatting sqref="U2:X18">
    <cfRule type="cellIs" dxfId="2" priority="4" operator="lessThan">
      <formula>0</formula>
    </cfRule>
    <cfRule type="cellIs" dxfId="1" priority="5" operator="equal">
      <formula>0</formula>
    </cfRule>
    <cfRule type="cellIs" dxfId="0" priority="6" operator="greaterThan">
      <formula>0</formula>
    </cfRule>
  </conditionalFormatting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72962-4DA4-4A66-9619-1DFD8D97E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Control</vt:lpstr>
      <vt:lpstr>New South Wales</vt:lpstr>
      <vt:lpstr>Victoria</vt:lpstr>
      <vt:lpstr>Queensland</vt:lpstr>
      <vt:lpstr>Tasmania</vt:lpstr>
      <vt:lpstr>Western Australia</vt:lpstr>
      <vt:lpstr>South Australia</vt:lpstr>
      <vt:lpstr>Northern 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Sreehari Pulickamadhom</dc:creator>
  <cp:lastModifiedBy>Sreehari Pulickamadhom</cp:lastModifiedBy>
  <dcterms:created xsi:type="dcterms:W3CDTF">2025-04-30T04:59:32Z</dcterms:created>
  <dcterms:modified xsi:type="dcterms:W3CDTF">2025-07-28T01:13:21Z</dcterms:modified>
</cp:coreProperties>
</file>