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cuments\Yalla Case\"/>
    </mc:Choice>
  </mc:AlternateContent>
  <xr:revisionPtr revIDLastSave="0" documentId="13_ncr:1_{ED4BA9C3-7DB6-4873-949C-313088B10577}" xr6:coauthVersionLast="47" xr6:coauthVersionMax="47" xr10:uidLastSave="{00000000-0000-0000-0000-000000000000}"/>
  <bookViews>
    <workbookView xWindow="-120" yWindow="-120" windowWidth="29040" windowHeight="15840" xr2:uid="{A9930CAF-64B4-49D3-8692-6A2473BA935E}"/>
  </bookViews>
  <sheets>
    <sheet name="DCF Analysis" sheetId="1" r:id="rId1"/>
    <sheet name="Comps" sheetId="9" r:id="rId2"/>
    <sheet name="IS &amp; CF Assump" sheetId="3" r:id="rId3"/>
    <sheet name="BS Assumptions" sheetId="7" r:id="rId4"/>
    <sheet name="Working Cap." sheetId="2" r:id="rId5"/>
    <sheet name="WACC" sheetId="5" r:id="rId6"/>
    <sheet name="Dashboard" sheetId="11" r:id="rId7"/>
  </sheets>
  <definedNames>
    <definedName name="EV">'DCF Analysis'!$E$76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45831.5958680556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V">'DCF Analysis'!$E$73</definedName>
    <definedName name="WACC">'DCF Analysis'!$F$63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0" i="11" l="1"/>
  <c r="AC10" i="11"/>
  <c r="AA10" i="11"/>
  <c r="Y10" i="11"/>
  <c r="AE4" i="11"/>
  <c r="AE5" i="11"/>
  <c r="AF4" i="11" s="1"/>
  <c r="AE6" i="11"/>
  <c r="AF8" i="11" s="1"/>
  <c r="AE7" i="11"/>
  <c r="AF5" i="11" s="1"/>
  <c r="AE8" i="11"/>
  <c r="AE9" i="11"/>
  <c r="AE3" i="11"/>
  <c r="AC4" i="11"/>
  <c r="AC5" i="11"/>
  <c r="AD3" i="11" s="1"/>
  <c r="AC6" i="11"/>
  <c r="AC7" i="11"/>
  <c r="AC8" i="11"/>
  <c r="AC9" i="11"/>
  <c r="AC3" i="11"/>
  <c r="AA4" i="11"/>
  <c r="AA5" i="11"/>
  <c r="AA6" i="11"/>
  <c r="AB4" i="11" s="1"/>
  <c r="AA7" i="11"/>
  <c r="AB6" i="11" s="1"/>
  <c r="AA8" i="11"/>
  <c r="AA9" i="11"/>
  <c r="AA3" i="11"/>
  <c r="Y4" i="11"/>
  <c r="Y5" i="11"/>
  <c r="Y6" i="11"/>
  <c r="Z5" i="11" s="1"/>
  <c r="Y7" i="11"/>
  <c r="Y8" i="11"/>
  <c r="Y9" i="11"/>
  <c r="X4" i="11"/>
  <c r="X5" i="11"/>
  <c r="X6" i="11"/>
  <c r="X7" i="11"/>
  <c r="X8" i="11"/>
  <c r="X9" i="11"/>
  <c r="X3" i="11"/>
  <c r="Y3" i="11"/>
  <c r="AF3" i="11"/>
  <c r="AB5" i="11"/>
  <c r="AF6" i="11"/>
  <c r="AB9" i="11"/>
  <c r="AF9" i="11"/>
  <c r="O14" i="5"/>
  <c r="O15" i="5"/>
  <c r="F17" i="5"/>
  <c r="E17" i="5"/>
  <c r="D17" i="5"/>
  <c r="H17" i="5" s="1"/>
  <c r="C17" i="5"/>
  <c r="G17" i="5" s="1"/>
  <c r="K15" i="5"/>
  <c r="E11" i="5"/>
  <c r="F11" i="5"/>
  <c r="D11" i="5"/>
  <c r="C11" i="5"/>
  <c r="I11" i="5" s="1"/>
  <c r="P2" i="11"/>
  <c r="P7" i="1"/>
  <c r="R2" i="11" s="1"/>
  <c r="O7" i="1"/>
  <c r="Q2" i="11" s="1"/>
  <c r="N7" i="1"/>
  <c r="M7" i="1"/>
  <c r="L7" i="1"/>
  <c r="K7" i="1"/>
  <c r="J7" i="1"/>
  <c r="I7" i="1"/>
  <c r="H7" i="1"/>
  <c r="H24" i="11" s="1"/>
  <c r="G7" i="1"/>
  <c r="G24" i="11" s="1"/>
  <c r="P3" i="11"/>
  <c r="M3" i="11"/>
  <c r="B5" i="11"/>
  <c r="F24" i="11"/>
  <c r="J25" i="11"/>
  <c r="G25" i="11"/>
  <c r="H25" i="11"/>
  <c r="I25" i="11"/>
  <c r="G26" i="11"/>
  <c r="H26" i="11"/>
  <c r="I26" i="11"/>
  <c r="J26" i="11"/>
  <c r="G27" i="11"/>
  <c r="H27" i="11"/>
  <c r="I27" i="11"/>
  <c r="J27" i="11"/>
  <c r="G28" i="11"/>
  <c r="H28" i="11"/>
  <c r="I28" i="11"/>
  <c r="J28" i="11"/>
  <c r="F28" i="11"/>
  <c r="F27" i="11"/>
  <c r="F26" i="11"/>
  <c r="F25" i="11"/>
  <c r="F2" i="11"/>
  <c r="B28" i="11"/>
  <c r="B27" i="11"/>
  <c r="B26" i="11"/>
  <c r="B25" i="11"/>
  <c r="G3" i="11"/>
  <c r="H3" i="11"/>
  <c r="I3" i="11"/>
  <c r="J3" i="11"/>
  <c r="G4" i="11"/>
  <c r="H4" i="11"/>
  <c r="I4" i="11"/>
  <c r="J4" i="11"/>
  <c r="G5" i="11"/>
  <c r="G6" i="11" s="1"/>
  <c r="H5" i="11"/>
  <c r="I5" i="11"/>
  <c r="J5" i="11"/>
  <c r="F3" i="11"/>
  <c r="F5" i="11"/>
  <c r="F4" i="11"/>
  <c r="B4" i="11"/>
  <c r="B3" i="11"/>
  <c r="K7" i="9"/>
  <c r="L7" i="9"/>
  <c r="V7" i="9" s="1"/>
  <c r="Z7" i="9"/>
  <c r="AD7" i="9"/>
  <c r="AE7" i="9"/>
  <c r="AF7" i="9"/>
  <c r="AH7" i="9"/>
  <c r="AJ7" i="9"/>
  <c r="AK7" i="9"/>
  <c r="AL7" i="9"/>
  <c r="AN7" i="9"/>
  <c r="AO7" i="9"/>
  <c r="AP7" i="9"/>
  <c r="K8" i="9"/>
  <c r="L8" i="9" s="1"/>
  <c r="AD8" i="9"/>
  <c r="AH8" i="9"/>
  <c r="AJ8" i="9"/>
  <c r="AK8" i="9"/>
  <c r="AL8" i="9"/>
  <c r="AN8" i="9"/>
  <c r="AO8" i="9"/>
  <c r="AP8" i="9"/>
  <c r="K9" i="9"/>
  <c r="L9" i="9"/>
  <c r="V9" i="9" s="1"/>
  <c r="Z9" i="9"/>
  <c r="AD9" i="9"/>
  <c r="AE9" i="9"/>
  <c r="AF9" i="9"/>
  <c r="AH9" i="9"/>
  <c r="AJ9" i="9"/>
  <c r="AK9" i="9"/>
  <c r="AL9" i="9"/>
  <c r="AN9" i="9"/>
  <c r="AO9" i="9"/>
  <c r="AP9" i="9"/>
  <c r="K10" i="9"/>
  <c r="L10" i="9" s="1"/>
  <c r="AD10" i="9"/>
  <c r="AH10" i="9"/>
  <c r="AJ10" i="9"/>
  <c r="AK10" i="9"/>
  <c r="AL10" i="9"/>
  <c r="AN10" i="9"/>
  <c r="AO10" i="9"/>
  <c r="AP10" i="9"/>
  <c r="K11" i="9"/>
  <c r="L11" i="9"/>
  <c r="V11" i="9" s="1"/>
  <c r="Z11" i="9"/>
  <c r="AD11" i="9"/>
  <c r="AE11" i="9"/>
  <c r="AF11" i="9"/>
  <c r="AH11" i="9"/>
  <c r="AJ11" i="9"/>
  <c r="AK11" i="9"/>
  <c r="AL11" i="9"/>
  <c r="AN11" i="9"/>
  <c r="AO11" i="9"/>
  <c r="AP11" i="9"/>
  <c r="K12" i="9"/>
  <c r="L12" i="9" s="1"/>
  <c r="AD12" i="9"/>
  <c r="AH12" i="9"/>
  <c r="AJ12" i="9"/>
  <c r="AK12" i="9"/>
  <c r="AL12" i="9"/>
  <c r="AN12" i="9"/>
  <c r="AO12" i="9"/>
  <c r="AP12" i="9"/>
  <c r="K13" i="9"/>
  <c r="L13" i="9"/>
  <c r="V13" i="9" s="1"/>
  <c r="Z13" i="9"/>
  <c r="AD13" i="9"/>
  <c r="AE13" i="9"/>
  <c r="AF13" i="9"/>
  <c r="AH13" i="9"/>
  <c r="AJ13" i="9"/>
  <c r="AK13" i="9"/>
  <c r="AL13" i="9"/>
  <c r="AN13" i="9"/>
  <c r="AO13" i="9"/>
  <c r="AP13" i="9"/>
  <c r="M15" i="9"/>
  <c r="N15" i="9"/>
  <c r="O15" i="9"/>
  <c r="P15" i="9"/>
  <c r="Q15" i="9"/>
  <c r="R15" i="9"/>
  <c r="S15" i="9"/>
  <c r="T15" i="9"/>
  <c r="U15" i="9"/>
  <c r="AD15" i="9"/>
  <c r="AH15" i="9"/>
  <c r="AJ15" i="9"/>
  <c r="AK15" i="9"/>
  <c r="AL15" i="9"/>
  <c r="AN15" i="9"/>
  <c r="AO15" i="9"/>
  <c r="AP15" i="9"/>
  <c r="M16" i="9"/>
  <c r="N16" i="9"/>
  <c r="O16" i="9"/>
  <c r="P16" i="9"/>
  <c r="Q16" i="9"/>
  <c r="R16" i="9"/>
  <c r="S16" i="9"/>
  <c r="T16" i="9"/>
  <c r="U16" i="9"/>
  <c r="AD16" i="9"/>
  <c r="AH16" i="9"/>
  <c r="AJ16" i="9"/>
  <c r="AK16" i="9"/>
  <c r="AL16" i="9"/>
  <c r="AN16" i="9"/>
  <c r="AO16" i="9"/>
  <c r="AP16" i="9"/>
  <c r="M17" i="9"/>
  <c r="N17" i="9"/>
  <c r="O17" i="9"/>
  <c r="P17" i="9"/>
  <c r="Q17" i="9"/>
  <c r="R17" i="9"/>
  <c r="S17" i="9"/>
  <c r="T17" i="9"/>
  <c r="U17" i="9"/>
  <c r="AD17" i="9"/>
  <c r="AH17" i="9"/>
  <c r="AJ17" i="9"/>
  <c r="AK17" i="9"/>
  <c r="AL17" i="9"/>
  <c r="AN17" i="9"/>
  <c r="AO17" i="9"/>
  <c r="AP17" i="9"/>
  <c r="M18" i="9"/>
  <c r="N18" i="9"/>
  <c r="O18" i="9"/>
  <c r="P18" i="9"/>
  <c r="Q18" i="9"/>
  <c r="R18" i="9"/>
  <c r="S18" i="9"/>
  <c r="T18" i="9"/>
  <c r="U18" i="9"/>
  <c r="AD18" i="9"/>
  <c r="AH18" i="9"/>
  <c r="AJ18" i="9"/>
  <c r="AK18" i="9"/>
  <c r="AL18" i="9"/>
  <c r="AN18" i="9"/>
  <c r="AO18" i="9"/>
  <c r="AP18" i="9"/>
  <c r="K20" i="9"/>
  <c r="AD20" i="9" s="1"/>
  <c r="AH20" i="9"/>
  <c r="AJ20" i="9"/>
  <c r="AK20" i="9"/>
  <c r="AL20" i="9"/>
  <c r="AN20" i="9"/>
  <c r="AO20" i="9"/>
  <c r="AP20" i="9"/>
  <c r="B7" i="5"/>
  <c r="C7" i="5"/>
  <c r="C15" i="5" s="1"/>
  <c r="D7" i="5"/>
  <c r="D15" i="5" s="1"/>
  <c r="E7" i="5"/>
  <c r="E15" i="5" s="1"/>
  <c r="F7" i="5"/>
  <c r="F15" i="5" s="1"/>
  <c r="H7" i="5"/>
  <c r="O7" i="5"/>
  <c r="B8" i="5"/>
  <c r="C8" i="5"/>
  <c r="D8" i="5"/>
  <c r="E8" i="5"/>
  <c r="F8" i="5"/>
  <c r="G8" i="5" s="1"/>
  <c r="B9" i="5"/>
  <c r="C9" i="5"/>
  <c r="D9" i="5"/>
  <c r="G9" i="5" s="1"/>
  <c r="E9" i="5"/>
  <c r="F9" i="5"/>
  <c r="B10" i="5"/>
  <c r="C10" i="5"/>
  <c r="I10" i="5" s="1"/>
  <c r="D10" i="5"/>
  <c r="E10" i="5"/>
  <c r="F10" i="5"/>
  <c r="H10" i="5"/>
  <c r="B12" i="5"/>
  <c r="C12" i="5"/>
  <c r="I12" i="5" s="1"/>
  <c r="D12" i="5"/>
  <c r="E12" i="5"/>
  <c r="F12" i="5"/>
  <c r="H12" i="5"/>
  <c r="B13" i="5"/>
  <c r="C13" i="5"/>
  <c r="D13" i="5"/>
  <c r="G13" i="5" s="1"/>
  <c r="E13" i="5"/>
  <c r="F13" i="5"/>
  <c r="I13" i="5"/>
  <c r="W24" i="5"/>
  <c r="X24" i="5"/>
  <c r="W26" i="5"/>
  <c r="X26" i="5"/>
  <c r="W27" i="5"/>
  <c r="X27" i="5"/>
  <c r="W28" i="5"/>
  <c r="X28" i="5"/>
  <c r="W29" i="5"/>
  <c r="X29" i="5"/>
  <c r="W30" i="5"/>
  <c r="X30" i="5"/>
  <c r="W31" i="5"/>
  <c r="X31" i="5"/>
  <c r="W32" i="5"/>
  <c r="X32" i="5"/>
  <c r="W33" i="5"/>
  <c r="X33" i="5"/>
  <c r="O34" i="5"/>
  <c r="W25" i="5"/>
  <c r="F6" i="2"/>
  <c r="G6" i="2"/>
  <c r="H6" i="2"/>
  <c r="I6" i="2"/>
  <c r="E7" i="2"/>
  <c r="F7" i="2"/>
  <c r="G7" i="2"/>
  <c r="H7" i="2"/>
  <c r="I7" i="2"/>
  <c r="I35" i="2" s="1"/>
  <c r="J7" i="2"/>
  <c r="K7" i="2"/>
  <c r="E8" i="2"/>
  <c r="F8" i="2"/>
  <c r="G8" i="2"/>
  <c r="G29" i="2" s="1"/>
  <c r="H8" i="2"/>
  <c r="I8" i="2"/>
  <c r="J8" i="2"/>
  <c r="K8" i="2"/>
  <c r="E14" i="2"/>
  <c r="F14" i="2"/>
  <c r="G14" i="2"/>
  <c r="H14" i="2"/>
  <c r="I14" i="2"/>
  <c r="J14" i="2"/>
  <c r="K14" i="2"/>
  <c r="E20" i="2"/>
  <c r="E22" i="2" s="1"/>
  <c r="F24" i="2" s="1"/>
  <c r="F20" i="2"/>
  <c r="F22" i="2" s="1"/>
  <c r="F23" i="2" s="1"/>
  <c r="G20" i="2"/>
  <c r="H20" i="2"/>
  <c r="I20" i="2"/>
  <c r="I22" i="2" s="1"/>
  <c r="J20" i="2"/>
  <c r="J22" i="2" s="1"/>
  <c r="J23" i="2" s="1"/>
  <c r="K20" i="2"/>
  <c r="G22" i="2"/>
  <c r="H22" i="2"/>
  <c r="K22" i="2"/>
  <c r="K23" i="2" s="1"/>
  <c r="H23" i="2"/>
  <c r="I23" i="2"/>
  <c r="J24" i="2"/>
  <c r="K24" i="2"/>
  <c r="G28" i="2"/>
  <c r="H28" i="2"/>
  <c r="K28" i="2"/>
  <c r="E29" i="2"/>
  <c r="H29" i="2"/>
  <c r="I29" i="2"/>
  <c r="K29" i="2"/>
  <c r="E30" i="2"/>
  <c r="G30" i="2"/>
  <c r="H30" i="2"/>
  <c r="I30" i="2"/>
  <c r="K30" i="2"/>
  <c r="E33" i="2"/>
  <c r="H33" i="2"/>
  <c r="I33" i="2"/>
  <c r="K33" i="2"/>
  <c r="G34" i="2"/>
  <c r="H34" i="2"/>
  <c r="K34" i="2"/>
  <c r="E35" i="2"/>
  <c r="G35" i="2"/>
  <c r="H35" i="2"/>
  <c r="K35" i="2"/>
  <c r="G3" i="7"/>
  <c r="H3" i="7" s="1"/>
  <c r="I3" i="7" s="1"/>
  <c r="J3" i="7" s="1"/>
  <c r="K3" i="7" s="1"/>
  <c r="L3" i="7" s="1"/>
  <c r="F12" i="7"/>
  <c r="F10" i="7"/>
  <c r="G10" i="7"/>
  <c r="H12" i="7"/>
  <c r="H10" i="7" s="1"/>
  <c r="O29" i="2" s="1"/>
  <c r="I12" i="7"/>
  <c r="F11" i="7"/>
  <c r="G11" i="7"/>
  <c r="H11" i="7"/>
  <c r="F13" i="7"/>
  <c r="G13" i="7"/>
  <c r="H13" i="7"/>
  <c r="F17" i="7"/>
  <c r="F15" i="7" s="1"/>
  <c r="G15" i="7"/>
  <c r="O30" i="2" s="1"/>
  <c r="H15" i="7"/>
  <c r="P30" i="2" s="1"/>
  <c r="I15" i="7"/>
  <c r="Q30" i="2" s="1"/>
  <c r="J15" i="7"/>
  <c r="R30" i="2" s="1"/>
  <c r="K15" i="7"/>
  <c r="S30" i="2" s="1"/>
  <c r="L15" i="7"/>
  <c r="F16" i="7"/>
  <c r="F23" i="7"/>
  <c r="F33" i="7"/>
  <c r="G3" i="3"/>
  <c r="H3" i="3" s="1"/>
  <c r="I3" i="3" s="1"/>
  <c r="J3" i="3" s="1"/>
  <c r="K3" i="3" s="1"/>
  <c r="E5" i="3"/>
  <c r="M96" i="1" s="1"/>
  <c r="F5" i="3"/>
  <c r="N96" i="1" s="1"/>
  <c r="G5" i="3"/>
  <c r="H5" i="3"/>
  <c r="Q96" i="1" s="1"/>
  <c r="Q9" i="1" s="1"/>
  <c r="Q18" i="1" s="1"/>
  <c r="I5" i="3"/>
  <c r="R96" i="1" s="1"/>
  <c r="R9" i="1" s="1"/>
  <c r="R24" i="1" s="1"/>
  <c r="J5" i="3"/>
  <c r="S96" i="1" s="1"/>
  <c r="S9" i="1" s="1"/>
  <c r="K5" i="3"/>
  <c r="E10" i="3"/>
  <c r="M97" i="1" s="1"/>
  <c r="M20" i="1" s="1"/>
  <c r="F10" i="3"/>
  <c r="N97" i="1" s="1"/>
  <c r="G10" i="3"/>
  <c r="P97" i="1" s="1"/>
  <c r="H10" i="3"/>
  <c r="Q97" i="1" s="1"/>
  <c r="I10" i="3"/>
  <c r="R97" i="1" s="1"/>
  <c r="R20" i="1" s="1"/>
  <c r="J10" i="3"/>
  <c r="S97" i="1" s="1"/>
  <c r="K10" i="3"/>
  <c r="E13" i="3"/>
  <c r="F13" i="3"/>
  <c r="G13" i="3"/>
  <c r="H13" i="3"/>
  <c r="I13" i="3"/>
  <c r="J13" i="3"/>
  <c r="K13" i="3"/>
  <c r="F25" i="3"/>
  <c r="G25" i="3"/>
  <c r="H25" i="3"/>
  <c r="I25" i="3"/>
  <c r="J25" i="3"/>
  <c r="K25" i="3"/>
  <c r="G10" i="1"/>
  <c r="F10" i="1"/>
  <c r="H10" i="1"/>
  <c r="I10" i="1"/>
  <c r="J10" i="1"/>
  <c r="J9" i="1" s="1"/>
  <c r="J12" i="1" s="1"/>
  <c r="K10" i="1"/>
  <c r="L10" i="1"/>
  <c r="P96" i="1"/>
  <c r="P9" i="1"/>
  <c r="P18" i="1" s="1"/>
  <c r="T96" i="1"/>
  <c r="T9" i="1"/>
  <c r="T18" i="1" s="1"/>
  <c r="M18" i="1"/>
  <c r="M17" i="1" s="1"/>
  <c r="M24" i="1"/>
  <c r="M23" i="1" s="1"/>
  <c r="M29" i="1"/>
  <c r="N18" i="1"/>
  <c r="N24" i="1"/>
  <c r="F12" i="1"/>
  <c r="G18" i="1"/>
  <c r="H18" i="1"/>
  <c r="I18" i="1"/>
  <c r="J18" i="1"/>
  <c r="K18" i="1"/>
  <c r="L18" i="1"/>
  <c r="F13" i="1"/>
  <c r="G24" i="1"/>
  <c r="H24" i="1"/>
  <c r="I24" i="1"/>
  <c r="J24" i="1"/>
  <c r="K24" i="1"/>
  <c r="L24" i="1"/>
  <c r="F14" i="1"/>
  <c r="G30" i="1"/>
  <c r="H30" i="1"/>
  <c r="I30" i="1"/>
  <c r="J30" i="1"/>
  <c r="K30" i="1"/>
  <c r="L30" i="1"/>
  <c r="K19" i="1"/>
  <c r="L19" i="1"/>
  <c r="T97" i="1"/>
  <c r="T20" i="1" s="1"/>
  <c r="F19" i="1"/>
  <c r="F20" i="1" s="1"/>
  <c r="G19" i="1"/>
  <c r="H19" i="1"/>
  <c r="I19" i="1"/>
  <c r="J19" i="1"/>
  <c r="L25" i="1"/>
  <c r="K25" i="1"/>
  <c r="F25" i="1"/>
  <c r="F26" i="1" s="1"/>
  <c r="G25" i="1"/>
  <c r="H25" i="1"/>
  <c r="I25" i="1"/>
  <c r="J25" i="1"/>
  <c r="L31" i="1"/>
  <c r="K31" i="1"/>
  <c r="R32" i="1"/>
  <c r="F31" i="1"/>
  <c r="F32" i="1" s="1"/>
  <c r="G31" i="1"/>
  <c r="H31" i="1"/>
  <c r="I31" i="1"/>
  <c r="J31" i="1"/>
  <c r="J32" i="1" s="1"/>
  <c r="L37" i="1"/>
  <c r="K37" i="1"/>
  <c r="R36" i="1"/>
  <c r="F36" i="1"/>
  <c r="G36" i="1"/>
  <c r="H36" i="1"/>
  <c r="I36" i="1"/>
  <c r="J36" i="1"/>
  <c r="K36" i="1"/>
  <c r="L36" i="1"/>
  <c r="F37" i="1"/>
  <c r="F38" i="1" s="1"/>
  <c r="G37" i="1"/>
  <c r="H37" i="1"/>
  <c r="H38" i="1" s="1"/>
  <c r="I37" i="1"/>
  <c r="J37" i="1"/>
  <c r="F40" i="1"/>
  <c r="F41" i="1" s="1"/>
  <c r="F42" i="1" s="1"/>
  <c r="G40" i="1"/>
  <c r="H40" i="1"/>
  <c r="H41" i="1" s="1"/>
  <c r="H42" i="1" s="1"/>
  <c r="I40" i="1"/>
  <c r="I41" i="1" s="1"/>
  <c r="I42" i="1" s="1"/>
  <c r="J40" i="1"/>
  <c r="J41" i="1" s="1"/>
  <c r="J42" i="1" s="1"/>
  <c r="K40" i="1"/>
  <c r="L40" i="1"/>
  <c r="L41" i="1" s="1"/>
  <c r="G41" i="1"/>
  <c r="G42" i="1" s="1"/>
  <c r="K41" i="1"/>
  <c r="K42" i="1" s="1"/>
  <c r="F45" i="1"/>
  <c r="G45" i="1"/>
  <c r="H45" i="1"/>
  <c r="I45" i="1"/>
  <c r="J45" i="1"/>
  <c r="L45" i="1"/>
  <c r="F47" i="1"/>
  <c r="F48" i="1" s="1"/>
  <c r="G47" i="1"/>
  <c r="H47" i="1"/>
  <c r="I47" i="1"/>
  <c r="I50" i="1" s="1"/>
  <c r="I51" i="1" s="1"/>
  <c r="J47" i="1"/>
  <c r="J50" i="1" s="1"/>
  <c r="K47" i="1"/>
  <c r="L47" i="1"/>
  <c r="G48" i="1"/>
  <c r="H48" i="1"/>
  <c r="K48" i="1"/>
  <c r="L48" i="1"/>
  <c r="G50" i="1"/>
  <c r="G53" i="1" s="1"/>
  <c r="H50" i="1"/>
  <c r="H53" i="1" s="1"/>
  <c r="K50" i="1"/>
  <c r="K53" i="1" s="1"/>
  <c r="L50" i="1"/>
  <c r="L53" i="1" s="1"/>
  <c r="G51" i="1"/>
  <c r="H51" i="1"/>
  <c r="K51" i="1"/>
  <c r="L51" i="1"/>
  <c r="N101" i="1"/>
  <c r="P101" i="1"/>
  <c r="Q101" i="1"/>
  <c r="R101" i="1"/>
  <c r="S101" i="1"/>
  <c r="T101" i="1"/>
  <c r="I53" i="1"/>
  <c r="I56" i="1" s="1"/>
  <c r="I54" i="1"/>
  <c r="F58" i="1"/>
  <c r="G58" i="1"/>
  <c r="H58" i="1"/>
  <c r="I58" i="1"/>
  <c r="J58" i="1"/>
  <c r="K58" i="1"/>
  <c r="L58" i="1"/>
  <c r="F60" i="1"/>
  <c r="G60" i="1"/>
  <c r="K60" i="1"/>
  <c r="L60" i="1"/>
  <c r="O64" i="1"/>
  <c r="Q64" i="1"/>
  <c r="R64" i="1"/>
  <c r="S64" i="1"/>
  <c r="T64" i="1" s="1"/>
  <c r="S75" i="1"/>
  <c r="F96" i="1"/>
  <c r="F98" i="1"/>
  <c r="G98" i="1"/>
  <c r="H98" i="1"/>
  <c r="I98" i="1"/>
  <c r="J98" i="1"/>
  <c r="L98" i="1"/>
  <c r="F99" i="1"/>
  <c r="G99" i="1"/>
  <c r="H99" i="1"/>
  <c r="I99" i="1"/>
  <c r="J99" i="1"/>
  <c r="K99" i="1"/>
  <c r="L99" i="1"/>
  <c r="F100" i="1"/>
  <c r="G100" i="1"/>
  <c r="H100" i="1"/>
  <c r="I100" i="1"/>
  <c r="J100" i="1"/>
  <c r="K100" i="1"/>
  <c r="L100" i="1"/>
  <c r="F101" i="1"/>
  <c r="G101" i="1"/>
  <c r="H101" i="1"/>
  <c r="I101" i="1"/>
  <c r="J101" i="1"/>
  <c r="K101" i="1"/>
  <c r="L101" i="1"/>
  <c r="F102" i="1"/>
  <c r="G102" i="1"/>
  <c r="H102" i="1"/>
  <c r="I102" i="1"/>
  <c r="J102" i="1"/>
  <c r="E33" i="3" s="1"/>
  <c r="K102" i="1"/>
  <c r="L102" i="1"/>
  <c r="I103" i="1"/>
  <c r="G104" i="1"/>
  <c r="I104" i="1"/>
  <c r="J104" i="1"/>
  <c r="AF10" i="11" l="1"/>
  <c r="AF7" i="11"/>
  <c r="AD8" i="11"/>
  <c r="AD6" i="11"/>
  <c r="AD9" i="11"/>
  <c r="AD4" i="11"/>
  <c r="AD7" i="11"/>
  <c r="AD5" i="11"/>
  <c r="AD10" i="11"/>
  <c r="AB10" i="11"/>
  <c r="AB7" i="11"/>
  <c r="AB3" i="11"/>
  <c r="AB8" i="11"/>
  <c r="Z4" i="11"/>
  <c r="Z10" i="11"/>
  <c r="Z9" i="11"/>
  <c r="Z8" i="11"/>
  <c r="Z7" i="11"/>
  <c r="Z6" i="11"/>
  <c r="Z3" i="11"/>
  <c r="G12" i="5"/>
  <c r="H11" i="5"/>
  <c r="I17" i="5"/>
  <c r="H13" i="5"/>
  <c r="L38" i="1"/>
  <c r="J26" i="1"/>
  <c r="J20" i="1"/>
  <c r="J38" i="1"/>
  <c r="G32" i="1"/>
  <c r="L32" i="1"/>
  <c r="I26" i="1"/>
  <c r="M19" i="1"/>
  <c r="H9" i="1"/>
  <c r="H13" i="1" s="1"/>
  <c r="I38" i="1"/>
  <c r="N23" i="1"/>
  <c r="O23" i="1" s="1"/>
  <c r="H29" i="11"/>
  <c r="Q20" i="1"/>
  <c r="Q32" i="1"/>
  <c r="Q38" i="1"/>
  <c r="Q26" i="1"/>
  <c r="R38" i="1"/>
  <c r="M38" i="1"/>
  <c r="M32" i="1"/>
  <c r="R26" i="1"/>
  <c r="R18" i="1"/>
  <c r="P36" i="1"/>
  <c r="P38" i="1"/>
  <c r="P20" i="1"/>
  <c r="P26" i="1"/>
  <c r="P32" i="1"/>
  <c r="S18" i="1"/>
  <c r="S24" i="1"/>
  <c r="S20" i="1"/>
  <c r="S26" i="1"/>
  <c r="S32" i="1"/>
  <c r="S36" i="1"/>
  <c r="S38" i="1"/>
  <c r="N20" i="1"/>
  <c r="N26" i="1"/>
  <c r="N32" i="1"/>
  <c r="N36" i="1"/>
  <c r="N38" i="1"/>
  <c r="T32" i="1"/>
  <c r="T38" i="1"/>
  <c r="O97" i="1"/>
  <c r="T24" i="1"/>
  <c r="P24" i="1"/>
  <c r="Q36" i="1"/>
  <c r="T26" i="1"/>
  <c r="T36" i="1"/>
  <c r="O8" i="5"/>
  <c r="O9" i="5" s="1"/>
  <c r="G11" i="5"/>
  <c r="Q7" i="1"/>
  <c r="S2" i="11" s="1"/>
  <c r="G2" i="11"/>
  <c r="H2" i="11"/>
  <c r="G29" i="11"/>
  <c r="J29" i="11"/>
  <c r="F29" i="11"/>
  <c r="I29" i="11"/>
  <c r="H96" i="1"/>
  <c r="I20" i="1"/>
  <c r="N19" i="1"/>
  <c r="O19" i="1" s="1"/>
  <c r="J14" i="1"/>
  <c r="I9" i="1"/>
  <c r="J96" i="1"/>
  <c r="G38" i="1"/>
  <c r="H32" i="1"/>
  <c r="L20" i="1"/>
  <c r="J6" i="11"/>
  <c r="I6" i="11"/>
  <c r="H6" i="11"/>
  <c r="F6" i="11"/>
  <c r="L61" i="1"/>
  <c r="K56" i="1"/>
  <c r="K103" i="1"/>
  <c r="K54" i="1"/>
  <c r="K61" i="1"/>
  <c r="H54" i="1"/>
  <c r="H56" i="1"/>
  <c r="H103" i="1"/>
  <c r="J53" i="1"/>
  <c r="J51" i="1"/>
  <c r="G103" i="1"/>
  <c r="G56" i="1"/>
  <c r="G61" i="1" s="1"/>
  <c r="G54" i="1"/>
  <c r="L56" i="1"/>
  <c r="L103" i="1"/>
  <c r="L54" i="1"/>
  <c r="P42" i="1"/>
  <c r="R42" i="1"/>
  <c r="T42" i="1"/>
  <c r="O42" i="1"/>
  <c r="M42" i="1"/>
  <c r="S42" i="1"/>
  <c r="N42" i="1"/>
  <c r="Q42" i="1"/>
  <c r="E27" i="3"/>
  <c r="E25" i="3" s="1"/>
  <c r="M101" i="1" s="1"/>
  <c r="E17" i="3"/>
  <c r="F50" i="1"/>
  <c r="J48" i="1"/>
  <c r="I48" i="1"/>
  <c r="L42" i="1"/>
  <c r="N17" i="1"/>
  <c r="M10" i="1"/>
  <c r="K9" i="1"/>
  <c r="K13" i="1" s="1"/>
  <c r="L9" i="1"/>
  <c r="E31" i="3"/>
  <c r="M102" i="1" s="1"/>
  <c r="E34" i="3"/>
  <c r="E32" i="3"/>
  <c r="F33" i="3"/>
  <c r="O24" i="1"/>
  <c r="O18" i="1"/>
  <c r="K12" i="1"/>
  <c r="N29" i="1"/>
  <c r="M30" i="1"/>
  <c r="E22" i="3"/>
  <c r="M37" i="1"/>
  <c r="N37" i="1" s="1"/>
  <c r="L26" i="1"/>
  <c r="G20" i="1"/>
  <c r="H20" i="1"/>
  <c r="M16" i="1"/>
  <c r="Q24" i="1"/>
  <c r="I32" i="1"/>
  <c r="M31" i="1"/>
  <c r="G26" i="1"/>
  <c r="H26" i="1"/>
  <c r="J13" i="1"/>
  <c r="G9" i="1"/>
  <c r="G13" i="1" s="1"/>
  <c r="M26" i="1"/>
  <c r="M25" i="1" s="1"/>
  <c r="M36" i="1"/>
  <c r="M35" i="1" s="1"/>
  <c r="F31" i="7"/>
  <c r="F34" i="7"/>
  <c r="F32" i="7"/>
  <c r="I10" i="7"/>
  <c r="P29" i="2" s="1"/>
  <c r="J12" i="7"/>
  <c r="I13" i="7"/>
  <c r="I11" i="7"/>
  <c r="X34" i="5"/>
  <c r="X35" i="5" s="1"/>
  <c r="X12" i="9"/>
  <c r="Z12" i="9"/>
  <c r="V12" i="9"/>
  <c r="AA12" i="9"/>
  <c r="W12" i="9"/>
  <c r="AB12" i="9"/>
  <c r="X8" i="9"/>
  <c r="Z8" i="9"/>
  <c r="V8" i="9"/>
  <c r="AA8" i="9"/>
  <c r="W8" i="9"/>
  <c r="AB8" i="9"/>
  <c r="F21" i="7"/>
  <c r="F24" i="7"/>
  <c r="F22" i="7"/>
  <c r="G23" i="2"/>
  <c r="H104" i="1" s="1"/>
  <c r="G24" i="2"/>
  <c r="H60" i="1" s="1"/>
  <c r="H61" i="1" s="1"/>
  <c r="J6" i="2"/>
  <c r="K6" i="2" s="1"/>
  <c r="L6" i="2" s="1"/>
  <c r="M6" i="2" s="1"/>
  <c r="N6" i="2"/>
  <c r="O6" i="2" s="1"/>
  <c r="P6" i="2" s="1"/>
  <c r="Q6" i="2" s="1"/>
  <c r="R6" i="2" s="1"/>
  <c r="S6" i="2" s="1"/>
  <c r="F18" i="7"/>
  <c r="G33" i="2"/>
  <c r="E23" i="2"/>
  <c r="F104" i="1" s="1"/>
  <c r="H9" i="5"/>
  <c r="I9" i="5"/>
  <c r="H8" i="5"/>
  <c r="H15" i="5" s="1"/>
  <c r="I8" i="5"/>
  <c r="J28" i="2"/>
  <c r="J34" i="2"/>
  <c r="J35" i="2"/>
  <c r="F28" i="2"/>
  <c r="F34" i="2"/>
  <c r="F35" i="2"/>
  <c r="G10" i="5"/>
  <c r="X10" i="9"/>
  <c r="Z10" i="9"/>
  <c r="V10" i="9"/>
  <c r="V18" i="9" s="1"/>
  <c r="AA10" i="9"/>
  <c r="W10" i="9"/>
  <c r="AB10" i="9"/>
  <c r="H24" i="2"/>
  <c r="I60" i="1" s="1"/>
  <c r="I61" i="1" s="1"/>
  <c r="I24" i="2"/>
  <c r="J60" i="1" s="1"/>
  <c r="J29" i="2"/>
  <c r="J30" i="2"/>
  <c r="J33" i="2"/>
  <c r="F29" i="2"/>
  <c r="F30" i="2"/>
  <c r="F33" i="2"/>
  <c r="I28" i="2"/>
  <c r="F7" i="7" s="1"/>
  <c r="I34" i="2"/>
  <c r="F28" i="7" s="1"/>
  <c r="E28" i="2"/>
  <c r="E34" i="2"/>
  <c r="I7" i="5"/>
  <c r="I15" i="5" s="1"/>
  <c r="G7" i="5"/>
  <c r="L20" i="9"/>
  <c r="AE20" i="9"/>
  <c r="AF20" i="9"/>
  <c r="Z15" i="9"/>
  <c r="X13" i="9"/>
  <c r="AF12" i="9"/>
  <c r="X11" i="9"/>
  <c r="AF10" i="9"/>
  <c r="X9" i="9"/>
  <c r="AF8" i="9"/>
  <c r="X7" i="9"/>
  <c r="AB13" i="9"/>
  <c r="W13" i="9"/>
  <c r="AE12" i="9"/>
  <c r="AB11" i="9"/>
  <c r="W11" i="9"/>
  <c r="AE10" i="9"/>
  <c r="AB9" i="9"/>
  <c r="W9" i="9"/>
  <c r="AE8" i="9"/>
  <c r="AB7" i="9"/>
  <c r="W7" i="9"/>
  <c r="AA13" i="9"/>
  <c r="AA11" i="9"/>
  <c r="AA9" i="9"/>
  <c r="AA7" i="9"/>
  <c r="O16" i="5" l="1"/>
  <c r="F63" i="1" s="1"/>
  <c r="G15" i="5"/>
  <c r="H14" i="1"/>
  <c r="H12" i="1"/>
  <c r="P19" i="1"/>
  <c r="Q19" i="1" s="1"/>
  <c r="R19" i="1" s="1"/>
  <c r="S19" i="1" s="1"/>
  <c r="T19" i="1" s="1"/>
  <c r="O32" i="1"/>
  <c r="O38" i="1"/>
  <c r="O26" i="1"/>
  <c r="O36" i="1"/>
  <c r="O20" i="1"/>
  <c r="R7" i="1"/>
  <c r="T2" i="11" s="1"/>
  <c r="S7" i="1"/>
  <c r="I24" i="11"/>
  <c r="I2" i="11"/>
  <c r="P23" i="1"/>
  <c r="K4" i="11"/>
  <c r="I14" i="1"/>
  <c r="I12" i="1"/>
  <c r="I96" i="1"/>
  <c r="I13" i="1"/>
  <c r="G12" i="1"/>
  <c r="N25" i="1"/>
  <c r="N22" i="1" s="1"/>
  <c r="M22" i="1"/>
  <c r="AE16" i="9"/>
  <c r="AE17" i="9"/>
  <c r="AE18" i="9"/>
  <c r="AE15" i="9"/>
  <c r="Z20" i="9"/>
  <c r="V20" i="9"/>
  <c r="AA20" i="9"/>
  <c r="W20" i="9"/>
  <c r="AB20" i="9"/>
  <c r="X20" i="9"/>
  <c r="X17" i="9"/>
  <c r="X18" i="9"/>
  <c r="X15" i="9"/>
  <c r="X16" i="9"/>
  <c r="AA15" i="9"/>
  <c r="AA16" i="9"/>
  <c r="AA17" i="9"/>
  <c r="AA18" i="9"/>
  <c r="W18" i="9"/>
  <c r="W15" i="9"/>
  <c r="W16" i="9"/>
  <c r="W17" i="9"/>
  <c r="AF15" i="9"/>
  <c r="AF16" i="9"/>
  <c r="AF17" i="9"/>
  <c r="AF18" i="9"/>
  <c r="AB18" i="9"/>
  <c r="AB15" i="9"/>
  <c r="AB16" i="9"/>
  <c r="AB17" i="9"/>
  <c r="F26" i="7"/>
  <c r="F29" i="7"/>
  <c r="G28" i="7"/>
  <c r="F27" i="7"/>
  <c r="V17" i="9"/>
  <c r="N35" i="1"/>
  <c r="M34" i="1"/>
  <c r="Q23" i="1"/>
  <c r="O29" i="1"/>
  <c r="N30" i="1"/>
  <c r="O30" i="1" s="1"/>
  <c r="N10" i="1"/>
  <c r="N16" i="1"/>
  <c r="O16" i="1" s="1"/>
  <c r="K25" i="11" s="1"/>
  <c r="O17" i="1"/>
  <c r="K3" i="11" s="1"/>
  <c r="E15" i="3"/>
  <c r="M99" i="1" s="1"/>
  <c r="E18" i="3"/>
  <c r="E16" i="3"/>
  <c r="F17" i="3"/>
  <c r="V16" i="9"/>
  <c r="F31" i="3"/>
  <c r="N102" i="1" s="1"/>
  <c r="F32" i="3"/>
  <c r="G33" i="3"/>
  <c r="F34" i="3"/>
  <c r="L12" i="1"/>
  <c r="L14" i="1"/>
  <c r="L13" i="1"/>
  <c r="L96" i="1"/>
  <c r="V15" i="9"/>
  <c r="G14" i="1"/>
  <c r="G96" i="1"/>
  <c r="N31" i="1"/>
  <c r="N28" i="1" s="1"/>
  <c r="M28" i="1"/>
  <c r="K14" i="1"/>
  <c r="O9" i="1"/>
  <c r="O96" i="1" s="1"/>
  <c r="K96" i="1"/>
  <c r="F6" i="7"/>
  <c r="F5" i="7"/>
  <c r="F8" i="7"/>
  <c r="Z16" i="9"/>
  <c r="Z17" i="9"/>
  <c r="Z18" i="9"/>
  <c r="J10" i="7"/>
  <c r="Q29" i="2" s="1"/>
  <c r="J13" i="7"/>
  <c r="K12" i="7"/>
  <c r="J11" i="7"/>
  <c r="E20" i="3"/>
  <c r="M100" i="1" s="1"/>
  <c r="E23" i="3"/>
  <c r="F22" i="3"/>
  <c r="E21" i="3"/>
  <c r="O37" i="1"/>
  <c r="P37" i="1" s="1"/>
  <c r="Q37" i="1" s="1"/>
  <c r="R37" i="1" s="1"/>
  <c r="S37" i="1" s="1"/>
  <c r="T37" i="1" s="1"/>
  <c r="F53" i="1"/>
  <c r="F51" i="1"/>
  <c r="J103" i="1"/>
  <c r="J56" i="1"/>
  <c r="J61" i="1" s="1"/>
  <c r="J54" i="1"/>
  <c r="R65" i="1" l="1"/>
  <c r="Q65" i="1"/>
  <c r="T65" i="1"/>
  <c r="J74" i="1" s="1"/>
  <c r="S65" i="1"/>
  <c r="P65" i="1"/>
  <c r="N65" i="1"/>
  <c r="O65" i="1" s="1"/>
  <c r="M65" i="1"/>
  <c r="O25" i="1"/>
  <c r="P25" i="1" s="1"/>
  <c r="Q25" i="1" s="1"/>
  <c r="R25" i="1" s="1"/>
  <c r="S25" i="1" s="1"/>
  <c r="T25" i="1" s="1"/>
  <c r="O22" i="1"/>
  <c r="K26" i="11" s="1"/>
  <c r="T7" i="1"/>
  <c r="V2" i="11" s="1"/>
  <c r="U2" i="11"/>
  <c r="J2" i="11"/>
  <c r="J24" i="11"/>
  <c r="P29" i="1"/>
  <c r="P30" i="1" s="1"/>
  <c r="K5" i="11"/>
  <c r="K6" i="11" s="1"/>
  <c r="F20" i="3"/>
  <c r="N100" i="1" s="1"/>
  <c r="F21" i="3"/>
  <c r="G22" i="3"/>
  <c r="F23" i="3"/>
  <c r="O31" i="1"/>
  <c r="P31" i="1" s="1"/>
  <c r="Q31" i="1" s="1"/>
  <c r="R31" i="1" s="1"/>
  <c r="S31" i="1" s="1"/>
  <c r="T31" i="1" s="1"/>
  <c r="F15" i="3"/>
  <c r="N99" i="1" s="1"/>
  <c r="F16" i="3"/>
  <c r="G17" i="3"/>
  <c r="F18" i="3"/>
  <c r="O10" i="1"/>
  <c r="P17" i="1"/>
  <c r="Q29" i="1"/>
  <c r="N34" i="1"/>
  <c r="N40" i="1" s="1"/>
  <c r="O35" i="1"/>
  <c r="P35" i="1" s="1"/>
  <c r="G29" i="7"/>
  <c r="G26" i="7"/>
  <c r="O34" i="2" s="1"/>
  <c r="G27" i="7"/>
  <c r="H28" i="7"/>
  <c r="O28" i="1"/>
  <c r="K27" i="11" s="1"/>
  <c r="R23" i="1"/>
  <c r="F56" i="1"/>
  <c r="F61" i="1" s="1"/>
  <c r="F54" i="1"/>
  <c r="F103" i="1"/>
  <c r="K10" i="7"/>
  <c r="R29" i="2" s="1"/>
  <c r="K11" i="7"/>
  <c r="L12" i="7"/>
  <c r="K13" i="7"/>
  <c r="M40" i="1"/>
  <c r="G34" i="3"/>
  <c r="G32" i="3"/>
  <c r="G31" i="3"/>
  <c r="P102" i="1" s="1"/>
  <c r="H33" i="3"/>
  <c r="E74" i="1" l="1"/>
  <c r="Q22" i="1"/>
  <c r="P28" i="1"/>
  <c r="P22" i="1"/>
  <c r="K2" i="11"/>
  <c r="K24" i="11"/>
  <c r="O34" i="1"/>
  <c r="N41" i="1"/>
  <c r="N44" i="1" s="1"/>
  <c r="Q17" i="1"/>
  <c r="P10" i="1"/>
  <c r="P16" i="1"/>
  <c r="H31" i="3"/>
  <c r="Q102" i="1" s="1"/>
  <c r="I33" i="3"/>
  <c r="H34" i="3"/>
  <c r="H32" i="3"/>
  <c r="M41" i="1"/>
  <c r="O41" i="1" s="1"/>
  <c r="R22" i="1"/>
  <c r="S23" i="1"/>
  <c r="H26" i="7"/>
  <c r="P34" i="2" s="1"/>
  <c r="I28" i="7"/>
  <c r="H29" i="7"/>
  <c r="H27" i="7"/>
  <c r="P34" i="1"/>
  <c r="Q35" i="1"/>
  <c r="Q30" i="1"/>
  <c r="Q28" i="1"/>
  <c r="R29" i="1"/>
  <c r="G18" i="3"/>
  <c r="G16" i="3"/>
  <c r="G15" i="3"/>
  <c r="P99" i="1" s="1"/>
  <c r="H17" i="3"/>
  <c r="L13" i="7"/>
  <c r="L11" i="7"/>
  <c r="L10" i="7"/>
  <c r="S29" i="2" s="1"/>
  <c r="G23" i="3"/>
  <c r="G21" i="3"/>
  <c r="G20" i="3"/>
  <c r="P100" i="1" s="1"/>
  <c r="H22" i="3"/>
  <c r="P40" i="1" l="1"/>
  <c r="M44" i="1"/>
  <c r="M59" i="1" s="1"/>
  <c r="O40" i="1"/>
  <c r="O44" i="1" s="1"/>
  <c r="O45" i="1" s="1"/>
  <c r="K28" i="11"/>
  <c r="K29" i="11" s="1"/>
  <c r="M7" i="2"/>
  <c r="N45" i="1"/>
  <c r="N46" i="1"/>
  <c r="M8" i="2" s="1"/>
  <c r="N52" i="1"/>
  <c r="N58" i="1" s="1"/>
  <c r="N98" i="1"/>
  <c r="N49" i="1"/>
  <c r="N59" i="1"/>
  <c r="I27" i="7"/>
  <c r="I26" i="7"/>
  <c r="Q34" i="2" s="1"/>
  <c r="J28" i="7"/>
  <c r="I29" i="7"/>
  <c r="L7" i="2"/>
  <c r="M45" i="1"/>
  <c r="M52" i="1"/>
  <c r="M49" i="1"/>
  <c r="M46" i="1"/>
  <c r="M98" i="1"/>
  <c r="Q10" i="1"/>
  <c r="R17" i="1"/>
  <c r="Q16" i="1"/>
  <c r="H15" i="3"/>
  <c r="Q99" i="1" s="1"/>
  <c r="I17" i="3"/>
  <c r="H18" i="3"/>
  <c r="H16" i="3"/>
  <c r="S29" i="1"/>
  <c r="R28" i="1"/>
  <c r="R30" i="1"/>
  <c r="P41" i="1"/>
  <c r="P44" i="1" s="1"/>
  <c r="H20" i="3"/>
  <c r="Q100" i="1" s="1"/>
  <c r="I22" i="3"/>
  <c r="H23" i="3"/>
  <c r="H21" i="3"/>
  <c r="S22" i="1"/>
  <c r="T23" i="1"/>
  <c r="T22" i="1" s="1"/>
  <c r="U22" i="1" s="1"/>
  <c r="I31" i="3"/>
  <c r="R102" i="1" s="1"/>
  <c r="I34" i="3"/>
  <c r="I32" i="3"/>
  <c r="J33" i="3"/>
  <c r="R35" i="1"/>
  <c r="Q34" i="1"/>
  <c r="O59" i="1" l="1"/>
  <c r="O102" i="1" s="1"/>
  <c r="O98" i="1"/>
  <c r="Q40" i="1"/>
  <c r="Q41" i="1" s="1"/>
  <c r="Q44" i="1" s="1"/>
  <c r="O7" i="2"/>
  <c r="P49" i="1"/>
  <c r="P52" i="1"/>
  <c r="P58" i="1" s="1"/>
  <c r="P59" i="1"/>
  <c r="P45" i="1"/>
  <c r="P46" i="1"/>
  <c r="O8" i="2" s="1"/>
  <c r="P98" i="1"/>
  <c r="L8" i="2"/>
  <c r="O46" i="1"/>
  <c r="M58" i="1"/>
  <c r="O52" i="1"/>
  <c r="J26" i="7"/>
  <c r="R34" i="2" s="1"/>
  <c r="J29" i="7"/>
  <c r="K28" i="7"/>
  <c r="J27" i="7"/>
  <c r="M12" i="2"/>
  <c r="N12" i="2" s="1"/>
  <c r="M17" i="2"/>
  <c r="M13" i="2"/>
  <c r="N13" i="2" s="1"/>
  <c r="S35" i="1"/>
  <c r="R34" i="1"/>
  <c r="S17" i="1"/>
  <c r="R10" i="1"/>
  <c r="R16" i="1"/>
  <c r="O49" i="1"/>
  <c r="O100" i="1" s="1"/>
  <c r="I15" i="3"/>
  <c r="R99" i="1" s="1"/>
  <c r="I18" i="3"/>
  <c r="I16" i="3"/>
  <c r="J17" i="3"/>
  <c r="M47" i="1"/>
  <c r="N47" i="1"/>
  <c r="T29" i="1"/>
  <c r="S28" i="1"/>
  <c r="S30" i="1"/>
  <c r="J31" i="3"/>
  <c r="S102" i="1" s="1"/>
  <c r="J32" i="3"/>
  <c r="K33" i="3"/>
  <c r="J34" i="3"/>
  <c r="I20" i="3"/>
  <c r="R100" i="1" s="1"/>
  <c r="I23" i="3"/>
  <c r="I21" i="3"/>
  <c r="J22" i="3"/>
  <c r="L11" i="2"/>
  <c r="L19" i="2"/>
  <c r="N7" i="2"/>
  <c r="L18" i="2"/>
  <c r="M18" i="2"/>
  <c r="N18" i="2" s="1"/>
  <c r="M11" i="2"/>
  <c r="M19" i="2"/>
  <c r="N19" i="2" s="1"/>
  <c r="N35" i="2" s="1"/>
  <c r="G33" i="7" s="1"/>
  <c r="P47" i="1" l="1"/>
  <c r="R40" i="1"/>
  <c r="R41" i="1" s="1"/>
  <c r="R44" i="1" s="1"/>
  <c r="N48" i="1"/>
  <c r="N50" i="1"/>
  <c r="P7" i="2"/>
  <c r="Q45" i="1"/>
  <c r="Q46" i="1"/>
  <c r="P8" i="2" s="1"/>
  <c r="Q59" i="1"/>
  <c r="Q98" i="1"/>
  <c r="Q49" i="1"/>
  <c r="Q52" i="1"/>
  <c r="Q58" i="1" s="1"/>
  <c r="Q47" i="1"/>
  <c r="J15" i="3"/>
  <c r="S99" i="1" s="1"/>
  <c r="J16" i="3"/>
  <c r="K16" i="3" s="1"/>
  <c r="K17" i="3"/>
  <c r="J18" i="3"/>
  <c r="J20" i="3"/>
  <c r="S100" i="1" s="1"/>
  <c r="J21" i="3"/>
  <c r="K21" i="3" s="1"/>
  <c r="K22" i="3"/>
  <c r="K20" i="3" s="1"/>
  <c r="T100" i="1" s="1"/>
  <c r="J23" i="3"/>
  <c r="K23" i="3" s="1"/>
  <c r="S34" i="1"/>
  <c r="T35" i="1"/>
  <c r="T34" i="1" s="1"/>
  <c r="O101" i="1"/>
  <c r="O58" i="1"/>
  <c r="K29" i="7"/>
  <c r="K26" i="7"/>
  <c r="S34" i="2" s="1"/>
  <c r="K27" i="7"/>
  <c r="L28" i="7"/>
  <c r="P48" i="1"/>
  <c r="P50" i="1"/>
  <c r="T30" i="1"/>
  <c r="T28" i="1"/>
  <c r="U28" i="1" s="1"/>
  <c r="M50" i="1"/>
  <c r="M48" i="1"/>
  <c r="S10" i="1"/>
  <c r="T17" i="1"/>
  <c r="S16" i="1"/>
  <c r="N17" i="2"/>
  <c r="M20" i="2"/>
  <c r="O99" i="1"/>
  <c r="O47" i="1"/>
  <c r="O12" i="2"/>
  <c r="O13" i="2"/>
  <c r="G34" i="7"/>
  <c r="G31" i="7"/>
  <c r="O35" i="2" s="1"/>
  <c r="O19" i="2" s="1"/>
  <c r="G32" i="7"/>
  <c r="H33" i="7"/>
  <c r="K34" i="3"/>
  <c r="K32" i="3"/>
  <c r="K31" i="3"/>
  <c r="T102" i="1" s="1"/>
  <c r="M14" i="2"/>
  <c r="N11" i="2"/>
  <c r="N34" i="2"/>
  <c r="L12" i="2"/>
  <c r="L17" i="2"/>
  <c r="L20" i="2" s="1"/>
  <c r="L13" i="2"/>
  <c r="N8" i="2"/>
  <c r="N29" i="2" s="1"/>
  <c r="O18" i="2"/>
  <c r="S40" i="1" l="1"/>
  <c r="S41" i="1" s="1"/>
  <c r="S44" i="1" s="1"/>
  <c r="L14" i="2"/>
  <c r="Q7" i="2"/>
  <c r="R49" i="1"/>
  <c r="R45" i="1"/>
  <c r="R52" i="1"/>
  <c r="R58" i="1" s="1"/>
  <c r="R46" i="1"/>
  <c r="Q8" i="2" s="1"/>
  <c r="R59" i="1"/>
  <c r="R98" i="1"/>
  <c r="L22" i="2"/>
  <c r="N14" i="2"/>
  <c r="N28" i="2"/>
  <c r="G7" i="7" s="1"/>
  <c r="O48" i="1"/>
  <c r="O50" i="1"/>
  <c r="M51" i="1"/>
  <c r="M53" i="1"/>
  <c r="U34" i="1"/>
  <c r="H31" i="7"/>
  <c r="P35" i="2" s="1"/>
  <c r="P19" i="2" s="1"/>
  <c r="I33" i="7"/>
  <c r="H34" i="7"/>
  <c r="H32" i="7"/>
  <c r="T10" i="1"/>
  <c r="U10" i="1" s="1"/>
  <c r="T16" i="1"/>
  <c r="U16" i="1" s="1"/>
  <c r="L26" i="7"/>
  <c r="L29" i="7"/>
  <c r="L27" i="7"/>
  <c r="N30" i="2"/>
  <c r="P18" i="2"/>
  <c r="Q50" i="1"/>
  <c r="Q48" i="1"/>
  <c r="N51" i="1"/>
  <c r="N53" i="1"/>
  <c r="M22" i="2"/>
  <c r="N20" i="2"/>
  <c r="N33" i="2"/>
  <c r="G23" i="7" s="1"/>
  <c r="P51" i="1"/>
  <c r="P53" i="1"/>
  <c r="K18" i="3"/>
  <c r="K15" i="3"/>
  <c r="T99" i="1" s="1"/>
  <c r="P13" i="2"/>
  <c r="P12" i="2"/>
  <c r="N22" i="2" l="1"/>
  <c r="N23" i="2" s="1"/>
  <c r="R47" i="1"/>
  <c r="R50" i="1" s="1"/>
  <c r="R7" i="2"/>
  <c r="S46" i="1"/>
  <c r="R8" i="2" s="1"/>
  <c r="S45" i="1"/>
  <c r="S49" i="1"/>
  <c r="S52" i="1"/>
  <c r="S58" i="1" s="1"/>
  <c r="S98" i="1"/>
  <c r="S59" i="1"/>
  <c r="G24" i="7"/>
  <c r="G21" i="7"/>
  <c r="O33" i="2" s="1"/>
  <c r="O17" i="2" s="1"/>
  <c r="O20" i="2" s="1"/>
  <c r="G22" i="7"/>
  <c r="H23" i="7"/>
  <c r="N54" i="1"/>
  <c r="N55" i="1"/>
  <c r="N56" i="1" s="1"/>
  <c r="T40" i="1"/>
  <c r="I32" i="7"/>
  <c r="I31" i="7"/>
  <c r="Q35" i="2" s="1"/>
  <c r="Q19" i="2" s="1"/>
  <c r="J33" i="7"/>
  <c r="I34" i="7"/>
  <c r="M54" i="1"/>
  <c r="M55" i="1"/>
  <c r="G8" i="7"/>
  <c r="G5" i="7"/>
  <c r="O28" i="2" s="1"/>
  <c r="O11" i="2" s="1"/>
  <c r="O14" i="2" s="1"/>
  <c r="G6" i="7"/>
  <c r="H7" i="7"/>
  <c r="Q12" i="2"/>
  <c r="Q13" i="2"/>
  <c r="P54" i="1"/>
  <c r="P55" i="1"/>
  <c r="P56" i="1" s="1"/>
  <c r="M24" i="2"/>
  <c r="N60" i="1" s="1"/>
  <c r="M23" i="2"/>
  <c r="M104" i="1" s="1"/>
  <c r="Q51" i="1"/>
  <c r="Q53" i="1"/>
  <c r="O51" i="1"/>
  <c r="O53" i="1"/>
  <c r="L24" i="2"/>
  <c r="M60" i="1" s="1"/>
  <c r="L23" i="2"/>
  <c r="Q18" i="2"/>
  <c r="R48" i="1" l="1"/>
  <c r="N24" i="2"/>
  <c r="O60" i="1" s="1"/>
  <c r="O55" i="1"/>
  <c r="O56" i="1" s="1"/>
  <c r="S47" i="1"/>
  <c r="S50" i="1" s="1"/>
  <c r="T41" i="1"/>
  <c r="T44" i="1" s="1"/>
  <c r="U44" i="1" s="1"/>
  <c r="U40" i="1"/>
  <c r="H21" i="7"/>
  <c r="P33" i="2" s="1"/>
  <c r="P17" i="2" s="1"/>
  <c r="P20" i="2" s="1"/>
  <c r="I23" i="7"/>
  <c r="H24" i="7"/>
  <c r="H22" i="7"/>
  <c r="O54" i="1"/>
  <c r="O22" i="2"/>
  <c r="R13" i="2"/>
  <c r="R12" i="2"/>
  <c r="N61" i="1"/>
  <c r="N66" i="1" s="1"/>
  <c r="Q54" i="1"/>
  <c r="Q55" i="1"/>
  <c r="Q56" i="1" s="1"/>
  <c r="N104" i="1"/>
  <c r="O104" i="1"/>
  <c r="K104" i="1"/>
  <c r="I7" i="7"/>
  <c r="H8" i="7"/>
  <c r="H5" i="7" s="1"/>
  <c r="P28" i="2" s="1"/>
  <c r="P11" i="2" s="1"/>
  <c r="P14" i="2" s="1"/>
  <c r="H6" i="7"/>
  <c r="M56" i="1"/>
  <c r="M61" i="1" s="1"/>
  <c r="M66" i="1" s="1"/>
  <c r="J34" i="7"/>
  <c r="J31" i="7" s="1"/>
  <c r="R35" i="2" s="1"/>
  <c r="R19" i="2" s="1"/>
  <c r="K33" i="7"/>
  <c r="J32" i="7"/>
  <c r="R51" i="1"/>
  <c r="R53" i="1"/>
  <c r="R18" i="2"/>
  <c r="O61" i="1" l="1"/>
  <c r="Q3" i="11" s="1"/>
  <c r="S48" i="1"/>
  <c r="O103" i="1"/>
  <c r="O66" i="1"/>
  <c r="S7" i="2"/>
  <c r="T49" i="1"/>
  <c r="T98" i="1"/>
  <c r="T46" i="1"/>
  <c r="S8" i="2" s="1"/>
  <c r="T52" i="1"/>
  <c r="T58" i="1" s="1"/>
  <c r="T45" i="1"/>
  <c r="T59" i="1"/>
  <c r="K34" i="7"/>
  <c r="K31" i="7"/>
  <c r="S35" i="2" s="1"/>
  <c r="K32" i="7"/>
  <c r="L33" i="7"/>
  <c r="R54" i="1"/>
  <c r="R55" i="1"/>
  <c r="R56" i="1" s="1"/>
  <c r="J7" i="7"/>
  <c r="I8" i="7"/>
  <c r="I5" i="7" s="1"/>
  <c r="Q28" i="2" s="1"/>
  <c r="Q11" i="2" s="1"/>
  <c r="Q14" i="2" s="1"/>
  <c r="I6" i="7"/>
  <c r="O23" i="2"/>
  <c r="O24" i="2"/>
  <c r="P60" i="1" s="1"/>
  <c r="P61" i="1" s="1"/>
  <c r="I22" i="7"/>
  <c r="I21" i="7"/>
  <c r="Q33" i="2" s="1"/>
  <c r="Q17" i="2" s="1"/>
  <c r="Q20" i="2" s="1"/>
  <c r="J23" i="7"/>
  <c r="I24" i="7"/>
  <c r="S51" i="1"/>
  <c r="S53" i="1"/>
  <c r="P22" i="2"/>
  <c r="T47" i="1" l="1"/>
  <c r="T48" i="1" s="1"/>
  <c r="P66" i="1"/>
  <c r="R3" i="11"/>
  <c r="K7" i="7"/>
  <c r="J6" i="7"/>
  <c r="J5" i="7"/>
  <c r="R28" i="2" s="1"/>
  <c r="R11" i="2" s="1"/>
  <c r="R14" i="2" s="1"/>
  <c r="J8" i="7"/>
  <c r="L34" i="7"/>
  <c r="L31" i="7" s="1"/>
  <c r="L32" i="7"/>
  <c r="S19" i="2"/>
  <c r="S18" i="2"/>
  <c r="Q22" i="2"/>
  <c r="U47" i="1"/>
  <c r="T50" i="1"/>
  <c r="S12" i="2"/>
  <c r="S13" i="2"/>
  <c r="P24" i="2"/>
  <c r="Q60" i="1" s="1"/>
  <c r="Q61" i="1" s="1"/>
  <c r="P23" i="2"/>
  <c r="Q104" i="1" s="1"/>
  <c r="J21" i="7"/>
  <c r="R33" i="2" s="1"/>
  <c r="R17" i="2" s="1"/>
  <c r="R20" i="2" s="1"/>
  <c r="J24" i="7"/>
  <c r="K23" i="7"/>
  <c r="J22" i="7"/>
  <c r="L104" i="1"/>
  <c r="P104" i="1"/>
  <c r="S54" i="1"/>
  <c r="S55" i="1"/>
  <c r="S56" i="1" s="1"/>
  <c r="R22" i="2" l="1"/>
  <c r="R24" i="2" s="1"/>
  <c r="S60" i="1" s="1"/>
  <c r="S61" i="1" s="1"/>
  <c r="Q66" i="1"/>
  <c r="S3" i="11"/>
  <c r="K24" i="7"/>
  <c r="K21" i="7"/>
  <c r="S33" i="2" s="1"/>
  <c r="S17" i="2" s="1"/>
  <c r="S20" i="2" s="1"/>
  <c r="K22" i="7"/>
  <c r="L23" i="7"/>
  <c r="Q24" i="2"/>
  <c r="R60" i="1" s="1"/>
  <c r="R61" i="1" s="1"/>
  <c r="Q23" i="2"/>
  <c r="R104" i="1" s="1"/>
  <c r="U50" i="1"/>
  <c r="T51" i="1"/>
  <c r="T53" i="1"/>
  <c r="E71" i="1"/>
  <c r="E73" i="1" s="1"/>
  <c r="K8" i="7"/>
  <c r="K5" i="7"/>
  <c r="S28" i="2" s="1"/>
  <c r="S11" i="2" s="1"/>
  <c r="S14" i="2" s="1"/>
  <c r="K6" i="7"/>
  <c r="L7" i="7"/>
  <c r="R23" i="2" l="1"/>
  <c r="S104" i="1" s="1"/>
  <c r="R66" i="1"/>
  <c r="T3" i="11"/>
  <c r="S66" i="1"/>
  <c r="U3" i="11"/>
  <c r="L24" i="7"/>
  <c r="L21" i="7" s="1"/>
  <c r="L22" i="7"/>
  <c r="L8" i="7"/>
  <c r="L5" i="7" s="1"/>
  <c r="L6" i="7"/>
  <c r="E75" i="1"/>
  <c r="U53" i="1"/>
  <c r="T54" i="1"/>
  <c r="T55" i="1"/>
  <c r="T56" i="1" s="1"/>
  <c r="U56" i="1" s="1"/>
  <c r="S22" i="2"/>
  <c r="S23" i="2" l="1"/>
  <c r="T104" i="1" s="1"/>
  <c r="S24" i="2"/>
  <c r="T60" i="1" s="1"/>
  <c r="T61" i="1" s="1"/>
  <c r="V3" i="11" s="1"/>
  <c r="T66" i="1" l="1"/>
  <c r="J72" i="1"/>
  <c r="J73" i="1" s="1"/>
  <c r="J75" i="1" s="1"/>
  <c r="E77" i="1"/>
  <c r="P90" i="1" s="1"/>
  <c r="E69" i="1" l="1"/>
  <c r="E76" i="1" s="1"/>
  <c r="J69" i="1"/>
  <c r="J76" i="1" s="1"/>
  <c r="S69" i="1" l="1"/>
  <c r="S72" i="1" s="1"/>
  <c r="B90" i="1"/>
  <c r="P83" i="1" l="1"/>
  <c r="S74" i="1"/>
  <c r="B83" i="1" l="1"/>
  <c r="S76" i="1"/>
</calcChain>
</file>

<file path=xl/sharedStrings.xml><?xml version="1.0" encoding="utf-8"?>
<sst xmlns="http://schemas.openxmlformats.org/spreadsheetml/2006/main" count="386" uniqueCount="211">
  <si>
    <t>Discounted Cash Flow Analysis</t>
  </si>
  <si>
    <t>Scenario</t>
  </si>
  <si>
    <t>Base</t>
  </si>
  <si>
    <t>Historical Period</t>
  </si>
  <si>
    <t>Revenue</t>
  </si>
  <si>
    <t>Cost of Goods Sold</t>
  </si>
  <si>
    <t>Gross Profit</t>
  </si>
  <si>
    <t>SG&amp;A Expense</t>
  </si>
  <si>
    <t>EBITDA</t>
  </si>
  <si>
    <t>Projection Period</t>
  </si>
  <si>
    <t>Depreciation &amp; Amortisation</t>
  </si>
  <si>
    <t>EBIT</t>
  </si>
  <si>
    <t>% Margin</t>
  </si>
  <si>
    <t>% Growth</t>
  </si>
  <si>
    <t>Taxes</t>
  </si>
  <si>
    <t>Unlevered Free Cash Flow</t>
  </si>
  <si>
    <t>(+) Depreciation &amp; Amortisation</t>
  </si>
  <si>
    <t>(-) Capital Expenditures</t>
  </si>
  <si>
    <t>(-) Changes in NWC</t>
  </si>
  <si>
    <t>Net Working Capital</t>
  </si>
  <si>
    <t>Working Capital Projections</t>
  </si>
  <si>
    <t>Current Assets</t>
  </si>
  <si>
    <t>Current Liabilities</t>
  </si>
  <si>
    <t>Total Current Assets</t>
  </si>
  <si>
    <t>Accounts Receivable</t>
  </si>
  <si>
    <t>Inventories</t>
  </si>
  <si>
    <t>Other Current Assets</t>
  </si>
  <si>
    <t>Total Current Liabilities</t>
  </si>
  <si>
    <t>Accounts Payable</t>
  </si>
  <si>
    <t>Other Current Liabilities</t>
  </si>
  <si>
    <t>Changes in NWC</t>
  </si>
  <si>
    <t>Assumptions</t>
  </si>
  <si>
    <t>Current assets</t>
  </si>
  <si>
    <t>Days sales outstanding</t>
  </si>
  <si>
    <t>Days inventory held</t>
  </si>
  <si>
    <t>Prepaids and other CA</t>
  </si>
  <si>
    <t>Current liabilities</t>
  </si>
  <si>
    <t>Days payable outstanding</t>
  </si>
  <si>
    <t>Other current liabilities</t>
  </si>
  <si>
    <t>SG&amp;A (% revenue)</t>
  </si>
  <si>
    <t>Weighted Average Cost of Capital</t>
  </si>
  <si>
    <t>Days Sales Outstanding (DSO)</t>
  </si>
  <si>
    <t>Days Payable Outstanding (DPO)</t>
  </si>
  <si>
    <t>Prepaid and Other CA (% of revenue)</t>
  </si>
  <si>
    <t>Tax Rate</t>
  </si>
  <si>
    <t>% of revenue</t>
  </si>
  <si>
    <t>COGS (% revenue)</t>
  </si>
  <si>
    <t>Capital Expenditures (% revenue)</t>
  </si>
  <si>
    <t>Working Capital (% revenue)</t>
  </si>
  <si>
    <t>WACC</t>
  </si>
  <si>
    <t>Dicount Period</t>
  </si>
  <si>
    <t>Discount Factor</t>
  </si>
  <si>
    <t>Present Value of Free Cash Flow</t>
  </si>
  <si>
    <t>Capital Structure</t>
  </si>
  <si>
    <t>Enterprise Value</t>
  </si>
  <si>
    <t>Cumulative Present Value of FCF</t>
  </si>
  <si>
    <t>Terminal Value</t>
  </si>
  <si>
    <t>Terminal Year EBITDA</t>
  </si>
  <si>
    <t>Exit EV/EBITDA</t>
  </si>
  <si>
    <t>Implied Equity Value</t>
  </si>
  <si>
    <t>Total Debt</t>
  </si>
  <si>
    <t>Cash and Cash Equivalents</t>
  </si>
  <si>
    <t>Fully Diluted Shares Outstanding</t>
  </si>
  <si>
    <t>Implied Share Price</t>
  </si>
  <si>
    <t xml:space="preserve"> Income Statement and Cash Flow Statement Assumptions</t>
  </si>
  <si>
    <t>Balance Sheet Assumptions</t>
  </si>
  <si>
    <t>CAGR</t>
  </si>
  <si>
    <t>Comparable Companies Analysis</t>
  </si>
  <si>
    <t>Company</t>
  </si>
  <si>
    <t>Levered</t>
  </si>
  <si>
    <t>Beta 2Y</t>
  </si>
  <si>
    <t>Cost of Equity</t>
  </si>
  <si>
    <t>Min. Interest</t>
  </si>
  <si>
    <t>Cash &amp; Eq.</t>
  </si>
  <si>
    <t>Enterprise</t>
  </si>
  <si>
    <t>Value</t>
  </si>
  <si>
    <t>Median of Peers</t>
  </si>
  <si>
    <t>NOPAT</t>
  </si>
  <si>
    <t>Net Revenue</t>
  </si>
  <si>
    <t>Equity</t>
  </si>
  <si>
    <t>Debt /</t>
  </si>
  <si>
    <t>Cap.</t>
  </si>
  <si>
    <t>Market</t>
  </si>
  <si>
    <t>Low</t>
  </si>
  <si>
    <t>High</t>
  </si>
  <si>
    <t>2026E</t>
  </si>
  <si>
    <t>Rev.</t>
  </si>
  <si>
    <t>Margins</t>
  </si>
  <si>
    <t>1st Quartile</t>
  </si>
  <si>
    <t>Mean</t>
  </si>
  <si>
    <t>Median</t>
  </si>
  <si>
    <t>3rd Quartile</t>
  </si>
  <si>
    <t>Net Income</t>
  </si>
  <si>
    <t>52 Week</t>
  </si>
  <si>
    <t>Grupo Mateus</t>
  </si>
  <si>
    <t>Wholesale</t>
  </si>
  <si>
    <t>Retail</t>
  </si>
  <si>
    <t>Household Electrical Appliance</t>
  </si>
  <si>
    <t>Wholesale B2B</t>
  </si>
  <si>
    <t>Deductions</t>
  </si>
  <si>
    <t>Accrued Expenses</t>
  </si>
  <si>
    <t>Income Statement</t>
  </si>
  <si>
    <t>Depreciation &amp; Amortization</t>
  </si>
  <si>
    <t>Cash Flow Statement</t>
  </si>
  <si>
    <t>Days Inventory Held (DIH)</t>
  </si>
  <si>
    <t>Wal-Mart de México</t>
  </si>
  <si>
    <t>Cencosud</t>
  </si>
  <si>
    <t>Assaí</t>
  </si>
  <si>
    <t>Almacenes Éxito</t>
  </si>
  <si>
    <t xml:space="preserve">InRetail Perú </t>
  </si>
  <si>
    <t>Shares Outs.</t>
  </si>
  <si>
    <t>Diluted</t>
  </si>
  <si>
    <t>Preferred</t>
  </si>
  <si>
    <t>Cash</t>
  </si>
  <si>
    <t>LTM</t>
  </si>
  <si>
    <t>Debt</t>
  </si>
  <si>
    <t>Total</t>
  </si>
  <si>
    <t>&amp; Equiv.</t>
  </si>
  <si>
    <t>-</t>
  </si>
  <si>
    <t>2027E</t>
  </si>
  <si>
    <t>Equity Value /</t>
  </si>
  <si>
    <t>'25 - 27'</t>
  </si>
  <si>
    <t>Minority</t>
  </si>
  <si>
    <t>Interes</t>
  </si>
  <si>
    <t xml:space="preserve">Enterprise Value / </t>
  </si>
  <si>
    <t>($ in millions, as of 8/22/2025)</t>
  </si>
  <si>
    <t>Share Price</t>
  </si>
  <si>
    <t>Other Current Liabilities (% of revenue)</t>
  </si>
  <si>
    <t>Bear</t>
  </si>
  <si>
    <t>Bull</t>
  </si>
  <si>
    <t>Capital IQ</t>
  </si>
  <si>
    <t>Description</t>
  </si>
  <si>
    <t>Type</t>
  </si>
  <si>
    <t>Floating Rate</t>
  </si>
  <si>
    <t>Maturity</t>
  </si>
  <si>
    <t>Seniority</t>
  </si>
  <si>
    <t>Secured</t>
  </si>
  <si>
    <t>2nd Issue of Mateus Supermarkets Debentures</t>
  </si>
  <si>
    <t>Bonds and Notes</t>
  </si>
  <si>
    <t>NA</t>
  </si>
  <si>
    <t>CDI Rate + 2.000%</t>
  </si>
  <si>
    <t>Senior</t>
  </si>
  <si>
    <t>No</t>
  </si>
  <si>
    <t>2nd Issue of Mateus Warehouse 1st Series Debentures</t>
  </si>
  <si>
    <t>CDI Rate + 3.300%</t>
  </si>
  <si>
    <t>3rd Issue of Mateus Supermarkets - Real Estate Receivables Certificates Debentures</t>
  </si>
  <si>
    <t>IPCA + 6.342%</t>
  </si>
  <si>
    <t>3rd Issue of Mateus Warehouse 1st Series Debentures</t>
  </si>
  <si>
    <t>CDI Rate + 2.350%</t>
  </si>
  <si>
    <t>Lease Liabilities</t>
  </si>
  <si>
    <t>Capital Lease</t>
  </si>
  <si>
    <t>Yes</t>
  </si>
  <si>
    <t>Leasing</t>
  </si>
  <si>
    <t>Rural Product Credit Note Bank Loan</t>
  </si>
  <si>
    <t>Term Loans</t>
  </si>
  <si>
    <t>CDI Rate + 1.820%</t>
  </si>
  <si>
    <t>CDI Rate + 1.150%</t>
  </si>
  <si>
    <t>Special Agency for Industrial Financing Loan</t>
  </si>
  <si>
    <t>*Principal Due values translated into BRL at an exchange rate of 1.000 BRL/BRL on Jun-30-2025.</t>
  </si>
  <si>
    <t>Cost of Debt</t>
  </si>
  <si>
    <t>CDI/IPCA</t>
  </si>
  <si>
    <t>Cp/Base Rate</t>
  </si>
  <si>
    <t>Principal Due</t>
  </si>
  <si>
    <t>Cost of Debt %</t>
  </si>
  <si>
    <t>WACD</t>
  </si>
  <si>
    <t>Levered Beta</t>
  </si>
  <si>
    <t>(R$ in millions, as of 8/22/2025)</t>
  </si>
  <si>
    <t>Stores Opened</t>
  </si>
  <si>
    <t>Total Stores</t>
  </si>
  <si>
    <t>Stores</t>
  </si>
  <si>
    <t>Comercial Representants</t>
  </si>
  <si>
    <t>Var Un.</t>
  </si>
  <si>
    <t>Revenue / Store</t>
  </si>
  <si>
    <t>Revenue / Represetant</t>
  </si>
  <si>
    <t>Gross Revenue</t>
  </si>
  <si>
    <t>Revenue Growth / Store (% growth)</t>
  </si>
  <si>
    <t>Revenue / Store (% growth)</t>
  </si>
  <si>
    <t>New Stores (Un.)</t>
  </si>
  <si>
    <t>CapEx (% revenue)</t>
  </si>
  <si>
    <t>Multiple Method</t>
  </si>
  <si>
    <t>(R$ in millions)</t>
  </si>
  <si>
    <t>Pre-tax Cost of Debt</t>
  </si>
  <si>
    <t>Revenue Growth (% growth)</t>
  </si>
  <si>
    <t>('25 - 30')</t>
  </si>
  <si>
    <t>Present Value of TV</t>
  </si>
  <si>
    <t>Current Share Price</t>
  </si>
  <si>
    <t>Discount %</t>
  </si>
  <si>
    <t>Equity Risk Premium</t>
  </si>
  <si>
    <t>Debt/Cap.</t>
  </si>
  <si>
    <t>Equity/Cap.</t>
  </si>
  <si>
    <t>Soriana</t>
  </si>
  <si>
    <t>CY'25 - CY'27 Revenue CAGR</t>
  </si>
  <si>
    <t>CY'26E EBITDA Margin</t>
  </si>
  <si>
    <t>EV / EBITDA CY'26E</t>
  </si>
  <si>
    <t>P/E Ratio CY'26E</t>
  </si>
  <si>
    <t>IPCA 2027 (Focus)</t>
  </si>
  <si>
    <t>Treasury IPCA+ 2035</t>
  </si>
  <si>
    <t>Sensitivity Analysis</t>
  </si>
  <si>
    <t>Exit EV/EBITDA Multiple</t>
  </si>
  <si>
    <t>Perpetuity Growth Rate</t>
  </si>
  <si>
    <t>UFCF Y-5</t>
  </si>
  <si>
    <t>Implied Terminal FCF Growth Rate</t>
  </si>
  <si>
    <t>Perpetuity Method</t>
  </si>
  <si>
    <t>Terminal EV/EBITDA Multiple</t>
  </si>
  <si>
    <t>Implied Perpetuity Growth Rate</t>
  </si>
  <si>
    <t>Implied Enterprise Value</t>
  </si>
  <si>
    <t>Pão de Açucar</t>
  </si>
  <si>
    <t>Cash-and-carry</t>
  </si>
  <si>
    <t>Gross Revenue per Segment</t>
  </si>
  <si>
    <t>Consumer Durables</t>
  </si>
  <si>
    <t>Pão de 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</si>
</sst>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4" formatCode="_(&quot;$&quot;* #,##0.00_);_(&quot;$&quot;* \(#,##0.00\);_(&quot;$&quot;* &quot;-&quot;??_);_(@_)"/>
    <numFmt numFmtId="164" formatCode="yyyy"/>
    <numFmt numFmtId="165" formatCode="yyyy&quot;E&quot;"/>
    <numFmt numFmtId="166" formatCode="#,##0_);\(#,##0\);\-"/>
    <numFmt numFmtId="167" formatCode="0.0%;\(0.0%\);\-"/>
    <numFmt numFmtId="168" formatCode="0.0%"/>
    <numFmt numFmtId="169" formatCode="0.0"/>
    <numFmt numFmtId="170" formatCode="#,##0.0_);\(#,##0.0\);\-"/>
    <numFmt numFmtId="171" formatCode="#,##0.0&quot;x&quot;;\(#,##0.0\)&quot;x&quot;"/>
    <numFmt numFmtId="172" formatCode="#,##0.0\x_);\(#,###.0\x0\)"/>
    <numFmt numFmtId="173" formatCode="\​\​#,##0_);\(#,##0\);\-_);@_)"/>
    <numFmt numFmtId="174" formatCode="yyyy&quot;A&quot;"/>
    <numFmt numFmtId="175" formatCode="[$R$-416]\ #,##0.00;\-[$R$-416]\ #,##0.00"/>
    <numFmt numFmtId="176" formatCode="#,##0.000_);\(#,##0.000\)"/>
    <numFmt numFmtId="177" formatCode="\​\​#,##0.000_);\(#,##0.000\);\-_);@_)"/>
    <numFmt numFmtId="178" formatCode="[$R$-416]\ #,##0.00"/>
    <numFmt numFmtId="179" formatCode="_(\ #,##0.0#_);_(\(\ #,##0.0#\)_);_(\ &quot; - &quot;_)"/>
    <numFmt numFmtId="180" formatCode="#,##0.0%;\(#,##0.0%\)"/>
    <numFmt numFmtId="181" formatCode="#,##0.0&quot;x&quot;;\(#,##0.0&quot;x&quot;\)"/>
    <numFmt numFmtId="182" formatCode="0.00000%"/>
    <numFmt numFmtId="183" formatCode="\​\​#,##0.0_);\(#,##0.0\);\-_);@_)"/>
    <numFmt numFmtId="184" formatCode="mm/yyyy&quot;E&quot;"/>
    <numFmt numFmtId="185" formatCode="mm/yyyy"/>
    <numFmt numFmtId="186" formatCode="mm/yyyy&quot;A&quot;"/>
    <numFmt numFmtId="187" formatCode="_-[$R$-416]\ * #,##0.00_-;\-[$R$-416]\ * #,##0.00_-;_-[$R$-416]\ * &quot;-&quot;??_-;_-@_-"/>
    <numFmt numFmtId="188" formatCode="&quot;WACC&quot;"/>
    <numFmt numFmtId="189" formatCode="\​\​#.0,;\(#.0,\);\-_);@_)"/>
  </numFmts>
  <fonts count="3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0"/>
      <color rgb="FF1C3B11"/>
      <name val="Arial"/>
      <family val="2"/>
    </font>
    <font>
      <b/>
      <sz val="10"/>
      <name val="MS Sans Serif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b/>
      <sz val="8"/>
      <color theme="0"/>
      <name val="Arial"/>
      <family val="2"/>
    </font>
    <font>
      <i/>
      <sz val="8"/>
      <color theme="0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b/>
      <i/>
      <sz val="10"/>
      <color theme="0"/>
      <name val="Arial"/>
      <family val="2"/>
    </font>
    <font>
      <b/>
      <sz val="11"/>
      <color theme="1"/>
      <name val="Aptos Narrow"/>
      <family val="2"/>
      <scheme val="minor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3" fillId="0" borderId="0" applyNumberFormat="0" applyFill="0" applyBorder="0" applyAlignment="0" applyProtection="0"/>
    <xf numFmtId="0" fontId="17" fillId="0" borderId="0"/>
    <xf numFmtId="0" fontId="18" fillId="0" borderId="0" applyAlignment="0"/>
    <xf numFmtId="0" fontId="19" fillId="0" borderId="0" applyAlignment="0"/>
    <xf numFmtId="0" fontId="20" fillId="4" borderId="0" applyAlignment="0"/>
    <xf numFmtId="0" fontId="21" fillId="5" borderId="0" applyAlignment="0"/>
    <xf numFmtId="0" fontId="22" fillId="6" borderId="0" applyAlignment="0"/>
    <xf numFmtId="0" fontId="23" fillId="7" borderId="0" applyAlignment="0"/>
    <xf numFmtId="0" fontId="24" fillId="0" borderId="0" applyAlignment="0"/>
    <xf numFmtId="0" fontId="25" fillId="0" borderId="0" applyAlignment="0"/>
    <xf numFmtId="0" fontId="26" fillId="0" borderId="0" applyAlignment="0"/>
    <xf numFmtId="0" fontId="27" fillId="0" borderId="0" applyAlignment="0"/>
    <xf numFmtId="0" fontId="28" fillId="0" borderId="0" applyAlignment="0"/>
    <xf numFmtId="0" fontId="27" fillId="0" borderId="0" applyAlignment="0">
      <alignment wrapText="1"/>
    </xf>
    <xf numFmtId="0" fontId="29" fillId="0" borderId="0" applyAlignment="0"/>
    <xf numFmtId="0" fontId="30" fillId="0" borderId="0" applyAlignment="0"/>
    <xf numFmtId="0" fontId="31" fillId="0" borderId="0" applyAlignment="0"/>
  </cellStyleXfs>
  <cellXfs count="240">
    <xf numFmtId="0" fontId="0" fillId="0" borderId="0" xfId="0"/>
    <xf numFmtId="0" fontId="2" fillId="0" borderId="0" xfId="0" applyFont="1"/>
    <xf numFmtId="0" fontId="8" fillId="0" borderId="0" xfId="0" applyFont="1"/>
    <xf numFmtId="166" fontId="2" fillId="0" borderId="0" xfId="0" applyNumberFormat="1" applyFont="1"/>
    <xf numFmtId="167" fontId="9" fillId="0" borderId="0" xfId="0" applyNumberFormat="1" applyFont="1"/>
    <xf numFmtId="0" fontId="6" fillId="0" borderId="0" xfId="0" applyFont="1"/>
    <xf numFmtId="166" fontId="6" fillId="0" borderId="0" xfId="0" applyNumberFormat="1" applyFont="1"/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6" fontId="2" fillId="0" borderId="2" xfId="0" applyNumberFormat="1" applyFont="1" applyBorder="1"/>
    <xf numFmtId="0" fontId="2" fillId="0" borderId="2" xfId="0" applyFont="1" applyBorder="1"/>
    <xf numFmtId="0" fontId="10" fillId="0" borderId="0" xfId="0" applyFont="1" applyAlignment="1">
      <alignment horizontal="left" indent="8"/>
    </xf>
    <xf numFmtId="0" fontId="11" fillId="0" borderId="0" xfId="0" applyFont="1"/>
    <xf numFmtId="0" fontId="7" fillId="0" borderId="0" xfId="0" applyFont="1"/>
    <xf numFmtId="168" fontId="2" fillId="0" borderId="0" xfId="2" applyNumberFormat="1" applyFont="1"/>
    <xf numFmtId="2" fontId="2" fillId="0" borderId="0" xfId="0" applyNumberFormat="1" applyFont="1"/>
    <xf numFmtId="0" fontId="6" fillId="3" borderId="3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164" fontId="6" fillId="0" borderId="3" xfId="0" applyNumberFormat="1" applyFont="1" applyBorder="1" applyAlignment="1">
      <alignment horizontal="center"/>
    </xf>
    <xf numFmtId="168" fontId="12" fillId="0" borderId="4" xfId="2" applyNumberFormat="1" applyFont="1" applyBorder="1"/>
    <xf numFmtId="168" fontId="12" fillId="0" borderId="5" xfId="2" applyNumberFormat="1" applyFont="1" applyBorder="1"/>
    <xf numFmtId="168" fontId="12" fillId="0" borderId="6" xfId="2" applyNumberFormat="1" applyFont="1" applyBorder="1"/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8" fontId="6" fillId="0" borderId="0" xfId="2" applyNumberFormat="1" applyFont="1"/>
    <xf numFmtId="168" fontId="14" fillId="0" borderId="0" xfId="2" applyNumberFormat="1" applyFont="1" applyFill="1" applyBorder="1" applyAlignment="1">
      <alignment horizontal="left"/>
    </xf>
    <xf numFmtId="0" fontId="15" fillId="0" borderId="0" xfId="4" applyFont="1" applyBorder="1" applyAlignment="1">
      <alignment horizontal="left"/>
    </xf>
    <xf numFmtId="0" fontId="14" fillId="0" borderId="0" xfId="4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168" fontId="6" fillId="0" borderId="0" xfId="2" applyNumberFormat="1" applyFont="1" applyAlignment="1">
      <alignment horizontal="center" vertical="center"/>
    </xf>
    <xf numFmtId="168" fontId="12" fillId="0" borderId="4" xfId="2" applyNumberFormat="1" applyFont="1" applyBorder="1" applyAlignment="1">
      <alignment horizontal="center" vertical="center"/>
    </xf>
    <xf numFmtId="168" fontId="12" fillId="0" borderId="5" xfId="2" applyNumberFormat="1" applyFont="1" applyBorder="1" applyAlignment="1">
      <alignment horizontal="center" vertical="center"/>
    </xf>
    <xf numFmtId="168" fontId="12" fillId="0" borderId="6" xfId="2" applyNumberFormat="1" applyFont="1" applyBorder="1" applyAlignment="1">
      <alignment horizontal="center" vertical="center"/>
    </xf>
    <xf numFmtId="0" fontId="12" fillId="0" borderId="0" xfId="2" applyNumberFormat="1" applyFont="1" applyBorder="1" applyAlignment="1">
      <alignment horizontal="center" vertical="center"/>
    </xf>
    <xf numFmtId="9" fontId="9" fillId="0" borderId="0" xfId="2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171" fontId="2" fillId="0" borderId="2" xfId="0" applyNumberFormat="1" applyFont="1" applyBorder="1"/>
    <xf numFmtId="2" fontId="2" fillId="0" borderId="2" xfId="0" applyNumberFormat="1" applyFont="1" applyBorder="1"/>
    <xf numFmtId="0" fontId="6" fillId="0" borderId="2" xfId="0" applyFont="1" applyBorder="1" applyAlignment="1">
      <alignment horizontal="center"/>
    </xf>
    <xf numFmtId="173" fontId="2" fillId="0" borderId="0" xfId="0" applyNumberFormat="1" applyFont="1"/>
    <xf numFmtId="173" fontId="2" fillId="0" borderId="2" xfId="0" applyNumberFormat="1" applyFont="1" applyBorder="1"/>
    <xf numFmtId="173" fontId="6" fillId="0" borderId="0" xfId="0" applyNumberFormat="1" applyFont="1"/>
    <xf numFmtId="174" fontId="6" fillId="0" borderId="2" xfId="0" applyNumberFormat="1" applyFont="1" applyBorder="1" applyAlignment="1">
      <alignment horizontal="center"/>
    </xf>
    <xf numFmtId="0" fontId="16" fillId="0" borderId="0" xfId="0" applyFont="1"/>
    <xf numFmtId="10" fontId="16" fillId="0" borderId="0" xfId="2" applyNumberFormat="1" applyFont="1"/>
    <xf numFmtId="10" fontId="9" fillId="0" borderId="0" xfId="2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4" fillId="0" borderId="0" xfId="0" applyFont="1" applyAlignment="1">
      <alignment horizontal="centerContinuous"/>
    </xf>
    <xf numFmtId="0" fontId="34" fillId="0" borderId="11" xfId="0" applyFont="1" applyBorder="1" applyAlignment="1">
      <alignment horizontal="center"/>
    </xf>
    <xf numFmtId="0" fontId="11" fillId="0" borderId="0" xfId="0" applyFont="1" applyAlignment="1">
      <alignment vertical="center"/>
    </xf>
    <xf numFmtId="37" fontId="11" fillId="0" borderId="0" xfId="0" applyNumberFormat="1" applyFont="1" applyAlignment="1">
      <alignment horizontal="right" vertical="center"/>
    </xf>
    <xf numFmtId="14" fontId="34" fillId="0" borderId="11" xfId="0" applyNumberFormat="1" applyFont="1" applyBorder="1" applyAlignment="1">
      <alignment horizontal="center"/>
    </xf>
    <xf numFmtId="178" fontId="34" fillId="8" borderId="3" xfId="0" applyNumberFormat="1" applyFont="1" applyFill="1" applyBorder="1" applyAlignment="1">
      <alignment vertical="center"/>
    </xf>
    <xf numFmtId="37" fontId="34" fillId="8" borderId="3" xfId="0" applyNumberFormat="1" applyFont="1" applyFill="1" applyBorder="1" applyAlignment="1">
      <alignment horizontal="right" vertical="center"/>
    </xf>
    <xf numFmtId="172" fontId="34" fillId="8" borderId="3" xfId="0" applyNumberFormat="1" applyFont="1" applyFill="1" applyBorder="1" applyAlignment="1">
      <alignment vertical="center"/>
    </xf>
    <xf numFmtId="168" fontId="34" fillId="8" borderId="3" xfId="2" applyNumberFormat="1" applyFont="1" applyFill="1" applyBorder="1" applyAlignment="1">
      <alignment vertical="center"/>
    </xf>
    <xf numFmtId="1" fontId="12" fillId="0" borderId="4" xfId="2" applyNumberFormat="1" applyFont="1" applyBorder="1" applyAlignment="1">
      <alignment horizontal="center" vertical="center"/>
    </xf>
    <xf numFmtId="1" fontId="12" fillId="0" borderId="5" xfId="2" applyNumberFormat="1" applyFont="1" applyBorder="1" applyAlignment="1">
      <alignment horizontal="center" vertical="center"/>
    </xf>
    <xf numFmtId="1" fontId="12" fillId="0" borderId="6" xfId="2" applyNumberFormat="1" applyFont="1" applyBorder="1" applyAlignment="1">
      <alignment horizontal="center" vertical="center"/>
    </xf>
    <xf numFmtId="1" fontId="6" fillId="0" borderId="0" xfId="2" applyNumberFormat="1" applyFont="1" applyAlignment="1">
      <alignment horizontal="center" vertical="center"/>
    </xf>
    <xf numFmtId="180" fontId="11" fillId="0" borderId="0" xfId="2" applyNumberFormat="1" applyFont="1" applyAlignment="1">
      <alignment vertical="center"/>
    </xf>
    <xf numFmtId="173" fontId="11" fillId="0" borderId="0" xfId="2" applyNumberFormat="1" applyFont="1" applyAlignment="1">
      <alignment vertical="center"/>
    </xf>
    <xf numFmtId="179" fontId="24" fillId="0" borderId="0" xfId="0" applyNumberFormat="1" applyFont="1" applyAlignment="1">
      <alignment horizontal="right" vertical="top" wrapText="1"/>
    </xf>
    <xf numFmtId="9" fontId="11" fillId="0" borderId="0" xfId="2" applyFont="1"/>
    <xf numFmtId="173" fontId="34" fillId="8" borderId="3" xfId="0" applyNumberFormat="1" applyFont="1" applyFill="1" applyBorder="1" applyAlignment="1">
      <alignment vertical="center"/>
    </xf>
    <xf numFmtId="0" fontId="11" fillId="0" borderId="0" xfId="0" applyFont="1" applyAlignment="1">
      <alignment horizontal="centerContinuous"/>
    </xf>
    <xf numFmtId="0" fontId="34" fillId="0" borderId="2" xfId="0" applyFont="1" applyBorder="1" applyAlignment="1">
      <alignment horizontal="centerContinuous"/>
    </xf>
    <xf numFmtId="0" fontId="11" fillId="0" borderId="2" xfId="0" applyFont="1" applyBorder="1" applyAlignment="1">
      <alignment horizontal="centerContinuous"/>
    </xf>
    <xf numFmtId="49" fontId="34" fillId="0" borderId="11" xfId="0" quotePrefix="1" applyNumberFormat="1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37" fontId="34" fillId="8" borderId="0" xfId="0" applyNumberFormat="1" applyFont="1" applyFill="1" applyAlignment="1">
      <alignment vertical="center"/>
    </xf>
    <xf numFmtId="180" fontId="34" fillId="8" borderId="3" xfId="0" applyNumberFormat="1" applyFont="1" applyFill="1" applyBorder="1" applyAlignment="1">
      <alignment vertical="center"/>
    </xf>
    <xf numFmtId="180" fontId="34" fillId="8" borderId="12" xfId="0" applyNumberFormat="1" applyFont="1" applyFill="1" applyBorder="1" applyAlignment="1">
      <alignment vertical="center"/>
    </xf>
    <xf numFmtId="10" fontId="35" fillId="0" borderId="0" xfId="2" applyNumberFormat="1" applyFont="1" applyAlignment="1">
      <alignment horizontal="center"/>
    </xf>
    <xf numFmtId="173" fontId="6" fillId="0" borderId="0" xfId="1" applyNumberFormat="1" applyFont="1" applyFill="1" applyBorder="1"/>
    <xf numFmtId="172" fontId="6" fillId="0" borderId="0" xfId="0" applyNumberFormat="1" applyFont="1"/>
    <xf numFmtId="0" fontId="6" fillId="2" borderId="1" xfId="3" applyFont="1" applyAlignment="1">
      <alignment horizontal="center"/>
    </xf>
    <xf numFmtId="17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84" fontId="6" fillId="0" borderId="2" xfId="0" applyNumberFormat="1" applyFont="1" applyBorder="1" applyAlignment="1">
      <alignment horizontal="center"/>
    </xf>
    <xf numFmtId="184" fontId="6" fillId="0" borderId="0" xfId="0" applyNumberFormat="1" applyFont="1" applyAlignment="1">
      <alignment horizontal="center"/>
    </xf>
    <xf numFmtId="0" fontId="12" fillId="0" borderId="4" xfId="2" applyNumberFormat="1" applyFont="1" applyBorder="1"/>
    <xf numFmtId="0" fontId="12" fillId="0" borderId="5" xfId="2" applyNumberFormat="1" applyFont="1" applyBorder="1"/>
    <xf numFmtId="0" fontId="12" fillId="0" borderId="6" xfId="2" applyNumberFormat="1" applyFont="1" applyBorder="1"/>
    <xf numFmtId="0" fontId="3" fillId="0" borderId="0" xfId="0" applyFont="1" applyAlignment="1">
      <alignment horizontal="centerContinuous"/>
    </xf>
    <xf numFmtId="9" fontId="2" fillId="0" borderId="0" xfId="0" applyNumberFormat="1" applyFont="1"/>
    <xf numFmtId="185" fontId="6" fillId="0" borderId="3" xfId="0" applyNumberFormat="1" applyFont="1" applyBorder="1" applyAlignment="1">
      <alignment horizontal="center"/>
    </xf>
    <xf numFmtId="175" fontId="2" fillId="0" borderId="0" xfId="1" applyNumberFormat="1" applyFont="1" applyFill="1" applyBorder="1"/>
    <xf numFmtId="9" fontId="8" fillId="0" borderId="0" xfId="2" applyFont="1"/>
    <xf numFmtId="9" fontId="8" fillId="0" borderId="13" xfId="2" applyFont="1" applyBorder="1"/>
    <xf numFmtId="9" fontId="8" fillId="0" borderId="2" xfId="2" applyFont="1" applyBorder="1"/>
    <xf numFmtId="9" fontId="8" fillId="0" borderId="0" xfId="2" applyFont="1" applyBorder="1"/>
    <xf numFmtId="0" fontId="2" fillId="9" borderId="0" xfId="0" applyFont="1" applyFill="1"/>
    <xf numFmtId="0" fontId="7" fillId="3" borderId="0" xfId="0" applyFont="1" applyFill="1" applyAlignment="1">
      <alignment horizontal="centerContinuous"/>
    </xf>
    <xf numFmtId="173" fontId="6" fillId="0" borderId="7" xfId="0" applyNumberFormat="1" applyFont="1" applyBorder="1"/>
    <xf numFmtId="0" fontId="9" fillId="0" borderId="0" xfId="0" applyFont="1"/>
    <xf numFmtId="173" fontId="9" fillId="0" borderId="0" xfId="0" applyNumberFormat="1" applyFont="1"/>
    <xf numFmtId="167" fontId="9" fillId="0" borderId="8" xfId="0" applyNumberFormat="1" applyFont="1" applyBorder="1"/>
    <xf numFmtId="177" fontId="2" fillId="0" borderId="0" xfId="0" applyNumberFormat="1" applyFont="1"/>
    <xf numFmtId="0" fontId="2" fillId="10" borderId="0" xfId="0" applyFont="1" applyFill="1"/>
    <xf numFmtId="0" fontId="3" fillId="10" borderId="0" xfId="0" applyFont="1" applyFill="1"/>
    <xf numFmtId="0" fontId="5" fillId="10" borderId="0" xfId="0" applyFont="1" applyFill="1"/>
    <xf numFmtId="0" fontId="11" fillId="10" borderId="0" xfId="0" applyFont="1" applyFill="1"/>
    <xf numFmtId="0" fontId="32" fillId="10" borderId="0" xfId="0" applyFont="1" applyFill="1"/>
    <xf numFmtId="0" fontId="33" fillId="10" borderId="0" xfId="0" applyFont="1" applyFill="1"/>
    <xf numFmtId="0" fontId="7" fillId="0" borderId="8" xfId="0" applyFont="1" applyBorder="1"/>
    <xf numFmtId="0" fontId="2" fillId="0" borderId="8" xfId="0" applyFont="1" applyBorder="1"/>
    <xf numFmtId="166" fontId="8" fillId="0" borderId="8" xfId="0" applyNumberFormat="1" applyFont="1" applyBorder="1"/>
    <xf numFmtId="0" fontId="2" fillId="0" borderId="7" xfId="0" applyFont="1" applyBorder="1"/>
    <xf numFmtId="170" fontId="8" fillId="0" borderId="7" xfId="0" applyNumberFormat="1" applyFont="1" applyBorder="1"/>
    <xf numFmtId="170" fontId="8" fillId="0" borderId="0" xfId="0" applyNumberFormat="1" applyFont="1"/>
    <xf numFmtId="168" fontId="8" fillId="0" borderId="8" xfId="2" applyNumberFormat="1" applyFont="1" applyFill="1" applyBorder="1"/>
    <xf numFmtId="166" fontId="8" fillId="0" borderId="0" xfId="0" applyNumberFormat="1" applyFont="1"/>
    <xf numFmtId="0" fontId="8" fillId="0" borderId="8" xfId="0" applyFont="1" applyBorder="1"/>
    <xf numFmtId="169" fontId="8" fillId="0" borderId="0" xfId="0" applyNumberFormat="1" applyFont="1"/>
    <xf numFmtId="168" fontId="8" fillId="0" borderId="0" xfId="2" applyNumberFormat="1" applyFont="1" applyFill="1" applyBorder="1"/>
    <xf numFmtId="186" fontId="6" fillId="0" borderId="2" xfId="0" applyNumberFormat="1" applyFont="1" applyBorder="1" applyAlignment="1">
      <alignment horizontal="center"/>
    </xf>
    <xf numFmtId="0" fontId="3" fillId="10" borderId="0" xfId="0" applyFont="1" applyFill="1" applyAlignment="1">
      <alignment horizontal="centerContinuous"/>
    </xf>
    <xf numFmtId="0" fontId="36" fillId="10" borderId="0" xfId="0" applyFont="1" applyFill="1" applyAlignment="1">
      <alignment horizontal="centerContinuous"/>
    </xf>
    <xf numFmtId="0" fontId="36" fillId="10" borderId="0" xfId="0" applyFont="1" applyFill="1"/>
    <xf numFmtId="0" fontId="3" fillId="11" borderId="0" xfId="0" applyFont="1" applyFill="1"/>
    <xf numFmtId="0" fontId="4" fillId="11" borderId="0" xfId="0" applyFont="1" applyFill="1"/>
    <xf numFmtId="175" fontId="3" fillId="11" borderId="0" xfId="1" applyNumberFormat="1" applyFont="1" applyFill="1" applyBorder="1"/>
    <xf numFmtId="173" fontId="3" fillId="11" borderId="0" xfId="1" applyNumberFormat="1" applyFont="1" applyFill="1" applyBorder="1"/>
    <xf numFmtId="173" fontId="3" fillId="11" borderId="0" xfId="0" applyNumberFormat="1" applyFont="1" applyFill="1"/>
    <xf numFmtId="0" fontId="3" fillId="0" borderId="0" xfId="0" applyFont="1"/>
    <xf numFmtId="173" fontId="34" fillId="8" borderId="3" xfId="0" applyNumberFormat="1" applyFont="1" applyFill="1" applyBorder="1" applyAlignment="1">
      <alignment horizontal="right" vertical="center"/>
    </xf>
    <xf numFmtId="0" fontId="32" fillId="11" borderId="18" xfId="0" applyFont="1" applyFill="1" applyBorder="1" applyAlignment="1">
      <alignment vertical="center"/>
    </xf>
    <xf numFmtId="0" fontId="32" fillId="11" borderId="9" xfId="0" applyFont="1" applyFill="1" applyBorder="1" applyAlignment="1">
      <alignment horizontal="centerContinuous" vertical="center"/>
    </xf>
    <xf numFmtId="0" fontId="32" fillId="11" borderId="13" xfId="0" applyFont="1" applyFill="1" applyBorder="1" applyAlignment="1">
      <alignment horizontal="centerContinuous" vertical="center"/>
    </xf>
    <xf numFmtId="0" fontId="32" fillId="11" borderId="10" xfId="0" applyFont="1" applyFill="1" applyBorder="1" applyAlignment="1">
      <alignment horizontal="centerContinuous" vertical="center"/>
    </xf>
    <xf numFmtId="0" fontId="32" fillId="11" borderId="0" xfId="0" applyFont="1" applyFill="1" applyAlignment="1">
      <alignment horizontal="centerContinuous" vertical="center"/>
    </xf>
    <xf numFmtId="0" fontId="32" fillId="11" borderId="16" xfId="0" applyFont="1" applyFill="1" applyBorder="1" applyAlignment="1">
      <alignment horizontal="centerContinuous" vertical="center"/>
    </xf>
    <xf numFmtId="0" fontId="32" fillId="11" borderId="2" xfId="0" applyFont="1" applyFill="1" applyBorder="1" applyAlignment="1">
      <alignment horizontal="centerContinuous" vertical="center"/>
    </xf>
    <xf numFmtId="187" fontId="11" fillId="0" borderId="0" xfId="1" applyNumberFormat="1" applyFont="1" applyAlignment="1">
      <alignment horizontal="center" vertical="center"/>
    </xf>
    <xf numFmtId="180" fontId="34" fillId="8" borderId="3" xfId="2" applyNumberFormat="1" applyFont="1" applyFill="1" applyBorder="1" applyAlignment="1">
      <alignment vertical="center"/>
    </xf>
    <xf numFmtId="0" fontId="34" fillId="0" borderId="18" xfId="0" applyFont="1" applyBorder="1" applyAlignment="1">
      <alignment vertical="center"/>
    </xf>
    <xf numFmtId="187" fontId="34" fillId="0" borderId="3" xfId="1" applyNumberFormat="1" applyFont="1" applyBorder="1" applyAlignment="1">
      <alignment horizontal="center" vertical="center"/>
    </xf>
    <xf numFmtId="180" fontId="34" fillId="0" borderId="3" xfId="2" applyNumberFormat="1" applyFont="1" applyBorder="1" applyAlignment="1">
      <alignment vertical="center"/>
    </xf>
    <xf numFmtId="173" fontId="34" fillId="0" borderId="3" xfId="2" applyNumberFormat="1" applyFont="1" applyBorder="1" applyAlignment="1">
      <alignment vertical="center"/>
    </xf>
    <xf numFmtId="37" fontId="34" fillId="0" borderId="3" xfId="0" applyNumberFormat="1" applyFont="1" applyBorder="1" applyAlignment="1">
      <alignment horizontal="right" vertical="center"/>
    </xf>
    <xf numFmtId="180" fontId="34" fillId="0" borderId="12" xfId="2" applyNumberFormat="1" applyFont="1" applyBorder="1" applyAlignment="1">
      <alignment vertical="center"/>
    </xf>
    <xf numFmtId="172" fontId="11" fillId="8" borderId="13" xfId="0" applyNumberFormat="1" applyFont="1" applyFill="1" applyBorder="1" applyAlignment="1">
      <alignment horizontal="right" vertical="center"/>
    </xf>
    <xf numFmtId="180" fontId="11" fillId="8" borderId="13" xfId="0" applyNumberFormat="1" applyFont="1" applyFill="1" applyBorder="1" applyAlignment="1">
      <alignment horizontal="right" vertical="center"/>
    </xf>
    <xf numFmtId="180" fontId="11" fillId="8" borderId="14" xfId="0" applyNumberFormat="1" applyFont="1" applyFill="1" applyBorder="1" applyAlignment="1">
      <alignment horizontal="right" vertical="center"/>
    </xf>
    <xf numFmtId="172" fontId="11" fillId="8" borderId="0" xfId="0" applyNumberFormat="1" applyFont="1" applyFill="1" applyAlignment="1">
      <alignment horizontal="right" vertical="center"/>
    </xf>
    <xf numFmtId="180" fontId="11" fillId="8" borderId="0" xfId="0" applyNumberFormat="1" applyFont="1" applyFill="1" applyAlignment="1">
      <alignment horizontal="right" vertical="center"/>
    </xf>
    <xf numFmtId="180" fontId="11" fillId="8" borderId="15" xfId="0" applyNumberFormat="1" applyFont="1" applyFill="1" applyBorder="1" applyAlignment="1">
      <alignment horizontal="right" vertical="center"/>
    </xf>
    <xf numFmtId="172" fontId="34" fillId="8" borderId="0" xfId="0" applyNumberFormat="1" applyFont="1" applyFill="1" applyAlignment="1">
      <alignment horizontal="right" vertical="center"/>
    </xf>
    <xf numFmtId="180" fontId="34" fillId="8" borderId="0" xfId="0" applyNumberFormat="1" applyFont="1" applyFill="1" applyAlignment="1">
      <alignment horizontal="right" vertical="center"/>
    </xf>
    <xf numFmtId="180" fontId="34" fillId="8" borderId="15" xfId="0" applyNumberFormat="1" applyFont="1" applyFill="1" applyBorder="1" applyAlignment="1">
      <alignment horizontal="right" vertical="center"/>
    </xf>
    <xf numFmtId="172" fontId="11" fillId="8" borderId="2" xfId="0" applyNumberFormat="1" applyFont="1" applyFill="1" applyBorder="1" applyAlignment="1">
      <alignment horizontal="right" vertical="center"/>
    </xf>
    <xf numFmtId="180" fontId="11" fillId="8" borderId="2" xfId="0" applyNumberFormat="1" applyFont="1" applyFill="1" applyBorder="1" applyAlignment="1">
      <alignment horizontal="right" vertical="center"/>
    </xf>
    <xf numFmtId="180" fontId="11" fillId="8" borderId="17" xfId="0" applyNumberFormat="1" applyFont="1" applyFill="1" applyBorder="1" applyAlignment="1">
      <alignment horizontal="right" vertical="center"/>
    </xf>
    <xf numFmtId="181" fontId="11" fillId="0" borderId="0" xfId="0" applyNumberFormat="1" applyFont="1" applyAlignment="1">
      <alignment vertical="center"/>
    </xf>
    <xf numFmtId="181" fontId="34" fillId="0" borderId="3" xfId="0" applyNumberFormat="1" applyFont="1" applyBorder="1" applyAlignment="1">
      <alignment vertical="center"/>
    </xf>
    <xf numFmtId="0" fontId="37" fillId="0" borderId="0" xfId="0" applyFont="1"/>
    <xf numFmtId="181" fontId="0" fillId="0" borderId="0" xfId="2" applyNumberFormat="1" applyFont="1"/>
    <xf numFmtId="168" fontId="0" fillId="0" borderId="0" xfId="2" applyNumberFormat="1" applyFont="1"/>
    <xf numFmtId="168" fontId="0" fillId="0" borderId="0" xfId="0" applyNumberFormat="1"/>
    <xf numFmtId="0" fontId="3" fillId="10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centerContinuous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11" xfId="0" applyFont="1" applyBorder="1" applyAlignment="1">
      <alignment horizontal="center"/>
    </xf>
    <xf numFmtId="173" fontId="2" fillId="0" borderId="0" xfId="0" applyNumberFormat="1" applyFont="1" applyAlignment="1">
      <alignment horizontal="center" vertical="center"/>
    </xf>
    <xf numFmtId="9" fontId="2" fillId="0" borderId="0" xfId="2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37" fontId="2" fillId="0" borderId="0" xfId="0" applyNumberFormat="1" applyFont="1" applyAlignment="1">
      <alignment horizontal="center"/>
    </xf>
    <xf numFmtId="0" fontId="3" fillId="9" borderId="18" xfId="0" applyFont="1" applyFill="1" applyBorder="1" applyAlignment="1">
      <alignment vertical="center"/>
    </xf>
    <xf numFmtId="173" fontId="6" fillId="3" borderId="3" xfId="0" applyNumberFormat="1" applyFont="1" applyFill="1" applyBorder="1" applyAlignment="1">
      <alignment horizontal="center" vertical="center"/>
    </xf>
    <xf numFmtId="9" fontId="6" fillId="3" borderId="3" xfId="2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176" fontId="6" fillId="3" borderId="12" xfId="0" applyNumberFormat="1" applyFont="1" applyFill="1" applyBorder="1" applyAlignment="1">
      <alignment horizontal="center" vertical="center"/>
    </xf>
    <xf numFmtId="9" fontId="2" fillId="0" borderId="0" xfId="2" applyFont="1"/>
    <xf numFmtId="10" fontId="2" fillId="0" borderId="0" xfId="0" applyNumberFormat="1" applyFont="1"/>
    <xf numFmtId="182" fontId="2" fillId="0" borderId="0" xfId="0" applyNumberFormat="1" applyFont="1"/>
    <xf numFmtId="10" fontId="2" fillId="0" borderId="2" xfId="0" applyNumberFormat="1" applyFont="1" applyBorder="1"/>
    <xf numFmtId="182" fontId="2" fillId="0" borderId="2" xfId="0" applyNumberFormat="1" applyFont="1" applyBorder="1"/>
    <xf numFmtId="10" fontId="6" fillId="0" borderId="0" xfId="2" applyNumberFormat="1" applyFont="1"/>
    <xf numFmtId="183" fontId="2" fillId="0" borderId="0" xfId="0" applyNumberFormat="1" applyFont="1" applyAlignment="1">
      <alignment horizontal="right" vertical="center" wrapText="1"/>
    </xf>
    <xf numFmtId="168" fontId="2" fillId="0" borderId="0" xfId="2" applyNumberFormat="1" applyFont="1" applyAlignment="1">
      <alignment horizontal="right" vertical="center" wrapText="1"/>
    </xf>
    <xf numFmtId="168" fontId="2" fillId="0" borderId="0" xfId="0" applyNumberFormat="1" applyFont="1" applyAlignment="1">
      <alignment horizontal="right" vertical="center" wrapText="1"/>
    </xf>
    <xf numFmtId="0" fontId="3" fillId="11" borderId="18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10" fontId="3" fillId="11" borderId="12" xfId="2" applyNumberFormat="1" applyFont="1" applyFill="1" applyBorder="1" applyAlignment="1">
      <alignment horizontal="right" vertical="center" wrapText="1"/>
    </xf>
    <xf numFmtId="171" fontId="6" fillId="0" borderId="2" xfId="0" applyNumberFormat="1" applyFont="1" applyBorder="1"/>
    <xf numFmtId="187" fontId="6" fillId="0" borderId="0" xfId="0" applyNumberFormat="1" applyFont="1"/>
    <xf numFmtId="168" fontId="6" fillId="0" borderId="0" xfId="2" applyNumberFormat="1" applyFont="1" applyAlignment="1">
      <alignment horizontal="center"/>
    </xf>
    <xf numFmtId="188" fontId="38" fillId="0" borderId="0" xfId="0" applyNumberFormat="1" applyFont="1" applyAlignment="1">
      <alignment horizontal="center"/>
    </xf>
    <xf numFmtId="168" fontId="6" fillId="12" borderId="0" xfId="2" applyNumberFormat="1" applyFont="1" applyFill="1" applyAlignment="1">
      <alignment horizontal="center"/>
    </xf>
    <xf numFmtId="171" fontId="6" fillId="12" borderId="2" xfId="0" applyNumberFormat="1" applyFont="1" applyFill="1" applyBorder="1"/>
    <xf numFmtId="187" fontId="6" fillId="0" borderId="10" xfId="0" applyNumberFormat="1" applyFont="1" applyBorder="1"/>
    <xf numFmtId="187" fontId="6" fillId="12" borderId="0" xfId="0" applyNumberFormat="1" applyFont="1" applyFill="1"/>
    <xf numFmtId="187" fontId="6" fillId="12" borderId="10" xfId="0" applyNumberFormat="1" applyFont="1" applyFill="1" applyBorder="1"/>
    <xf numFmtId="168" fontId="6" fillId="0" borderId="15" xfId="2" applyNumberFormat="1" applyFont="1" applyBorder="1" applyAlignment="1">
      <alignment horizontal="center"/>
    </xf>
    <xf numFmtId="168" fontId="6" fillId="12" borderId="15" xfId="2" applyNumberFormat="1" applyFont="1" applyFill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12" borderId="2" xfId="0" applyNumberFormat="1" applyFont="1" applyFill="1" applyBorder="1" applyAlignment="1">
      <alignment horizontal="center"/>
    </xf>
    <xf numFmtId="173" fontId="6" fillId="0" borderId="0" xfId="0" applyNumberFormat="1" applyFont="1" applyAlignment="1">
      <alignment horizontal="right"/>
    </xf>
    <xf numFmtId="173" fontId="6" fillId="12" borderId="0" xfId="0" applyNumberFormat="1" applyFont="1" applyFill="1" applyAlignment="1">
      <alignment horizontal="right"/>
    </xf>
    <xf numFmtId="168" fontId="2" fillId="0" borderId="0" xfId="2" applyNumberFormat="1" applyFont="1" applyFill="1" applyBorder="1"/>
    <xf numFmtId="168" fontId="6" fillId="0" borderId="10" xfId="2" applyNumberFormat="1" applyFont="1" applyBorder="1" applyAlignment="1">
      <alignment horizontal="center"/>
    </xf>
    <xf numFmtId="168" fontId="6" fillId="12" borderId="10" xfId="2" applyNumberFormat="1" applyFont="1" applyFill="1" applyBorder="1" applyAlignment="1">
      <alignment horizontal="center"/>
    </xf>
    <xf numFmtId="168" fontId="8" fillId="0" borderId="0" xfId="2" applyNumberFormat="1" applyFont="1"/>
    <xf numFmtId="187" fontId="11" fillId="0" borderId="0" xfId="1" applyNumberFormat="1" applyFont="1" applyBorder="1" applyAlignment="1">
      <alignment horizontal="center" vertical="center"/>
    </xf>
    <xf numFmtId="173" fontId="11" fillId="0" borderId="0" xfId="2" applyNumberFormat="1" applyFont="1" applyBorder="1" applyAlignment="1">
      <alignment vertical="center"/>
    </xf>
    <xf numFmtId="37" fontId="11" fillId="8" borderId="13" xfId="0" applyNumberFormat="1" applyFont="1" applyFill="1" applyBorder="1" applyAlignment="1">
      <alignment vertical="center"/>
    </xf>
    <xf numFmtId="37" fontId="11" fillId="8" borderId="0" xfId="0" applyNumberFormat="1" applyFont="1" applyFill="1" applyAlignment="1">
      <alignment vertical="center"/>
    </xf>
    <xf numFmtId="37" fontId="11" fillId="8" borderId="2" xfId="0" applyNumberFormat="1" applyFont="1" applyFill="1" applyBorder="1" applyAlignment="1">
      <alignment vertical="center"/>
    </xf>
    <xf numFmtId="171" fontId="6" fillId="0" borderId="2" xfId="0" applyNumberFormat="1" applyFont="1" applyBorder="1" applyAlignment="1">
      <alignment horizontal="right" indent="1"/>
    </xf>
    <xf numFmtId="171" fontId="6" fillId="12" borderId="2" xfId="0" applyNumberFormat="1" applyFont="1" applyFill="1" applyBorder="1" applyAlignment="1">
      <alignment horizontal="right" indent="1"/>
    </xf>
    <xf numFmtId="1" fontId="0" fillId="0" borderId="0" xfId="0" applyNumberFormat="1"/>
    <xf numFmtId="0" fontId="0" fillId="0" borderId="13" xfId="0" applyBorder="1"/>
    <xf numFmtId="174" fontId="6" fillId="0" borderId="3" xfId="0" applyNumberFormat="1" applyFont="1" applyBorder="1" applyAlignment="1">
      <alignment horizontal="center"/>
    </xf>
    <xf numFmtId="0" fontId="37" fillId="0" borderId="13" xfId="0" applyFont="1" applyBorder="1"/>
    <xf numFmtId="0" fontId="0" fillId="0" borderId="2" xfId="0" applyBorder="1"/>
    <xf numFmtId="165" fontId="6" fillId="0" borderId="3" xfId="0" applyNumberFormat="1" applyFont="1" applyBorder="1" applyAlignment="1">
      <alignment horizontal="center"/>
    </xf>
    <xf numFmtId="189" fontId="2" fillId="0" borderId="0" xfId="0" applyNumberFormat="1" applyFont="1"/>
    <xf numFmtId="189" fontId="2" fillId="0" borderId="2" xfId="0" applyNumberFormat="1" applyFont="1" applyBorder="1"/>
    <xf numFmtId="189" fontId="37" fillId="0" borderId="0" xfId="0" applyNumberFormat="1" applyFont="1"/>
    <xf numFmtId="167" fontId="8" fillId="0" borderId="0" xfId="2" applyNumberFormat="1" applyFont="1" applyFill="1" applyBorder="1"/>
    <xf numFmtId="168" fontId="8" fillId="0" borderId="0" xfId="2" applyNumberFormat="1" applyFont="1" applyBorder="1"/>
    <xf numFmtId="0" fontId="2" fillId="0" borderId="13" xfId="0" applyFont="1" applyBorder="1"/>
    <xf numFmtId="0" fontId="8" fillId="0" borderId="13" xfId="2" applyNumberFormat="1" applyFont="1" applyBorder="1"/>
    <xf numFmtId="173" fontId="8" fillId="0" borderId="13" xfId="2" applyNumberFormat="1" applyFont="1" applyBorder="1"/>
    <xf numFmtId="0" fontId="2" fillId="0" borderId="11" xfId="0" applyFont="1" applyBorder="1"/>
    <xf numFmtId="9" fontId="8" fillId="0" borderId="11" xfId="2" applyFont="1" applyBorder="1"/>
    <xf numFmtId="9" fontId="8" fillId="0" borderId="11" xfId="0" applyNumberFormat="1" applyFont="1" applyBorder="1"/>
    <xf numFmtId="0" fontId="37" fillId="0" borderId="0" xfId="0" quotePrefix="1" applyFont="1"/>
  </cellXfs>
  <cellStyles count="24">
    <cellStyle name="_x000a_386grabber=M" xfId="4" xr:uid="{B7734642-3E2F-4E65-8062-6E29BDA562CA}"/>
    <cellStyle name="ChartingText" xfId="19" xr:uid="{1B8677A0-DBF1-40B4-A475-A3A920EDA00C}"/>
    <cellStyle name="CHPAboveAverage" xfId="20" xr:uid="{3AC03F34-2480-435D-BF0A-D06A59652789}"/>
    <cellStyle name="CHPBelowAverage" xfId="20" xr:uid="{BFBE205A-6341-4657-A695-07DF2ACF70C4}"/>
    <cellStyle name="CHPBottom" xfId="20" xr:uid="{E403E8DD-18EB-4CE6-9126-0CBF81A408AA}"/>
    <cellStyle name="CHPTop" xfId="20" xr:uid="{E9FB37BC-6CAA-4A86-904A-743310568A00}"/>
    <cellStyle name="ColumnHeaderNormal" xfId="11" xr:uid="{DFE82987-177E-45C1-86D7-11B5A2253415}"/>
    <cellStyle name="Currency" xfId="1" builtinId="4"/>
    <cellStyle name="Invisible" xfId="18" xr:uid="{66099A22-AC59-47CF-BCA8-C3E291558EC1}"/>
    <cellStyle name="NewColumnHeaderNormal" xfId="9" xr:uid="{4806D194-996C-47C2-89C1-1D5B2EACE584}"/>
    <cellStyle name="NewSectionHeaderNormal" xfId="8" xr:uid="{4DD3E363-922D-496E-AFC2-B8D1672A909C}"/>
    <cellStyle name="NewTitleNormal" xfId="7" xr:uid="{76F3F295-5222-4ADD-871B-2952280C76E5}"/>
    <cellStyle name="Normal" xfId="0" builtinId="0"/>
    <cellStyle name="Normal 2" xfId="5" xr:uid="{3F85A324-F4AF-48FF-97BF-261033BFD0B7}"/>
    <cellStyle name="Note" xfId="3" builtinId="10"/>
    <cellStyle name="Percent" xfId="2" builtinId="5"/>
    <cellStyle name="SectionHeaderNormal" xfId="10" xr:uid="{0A5915EF-8590-417C-B758-7F13217E484B}"/>
    <cellStyle name="SubScript" xfId="14" xr:uid="{F5EA41C0-A573-4652-A5B0-4C54F092E9FD}"/>
    <cellStyle name="SuperScript" xfId="13" xr:uid="{2828BEA1-1F0E-40DA-8BDA-52F9B3B3E48A}"/>
    <cellStyle name="TextBold" xfId="15" xr:uid="{0AE471BC-2398-489C-9B57-939033E54450}"/>
    <cellStyle name="TextItalic" xfId="16" xr:uid="{AAA44B1A-4DEC-41C2-A597-04C72C7AE44F}"/>
    <cellStyle name="TextNormal" xfId="12" xr:uid="{63201808-61D8-4E57-8914-03A0160DF824}"/>
    <cellStyle name="TitleNormal" xfId="6" xr:uid="{A0AE52AB-5E47-49E3-A25E-2649F681BA59}"/>
    <cellStyle name="Total 2" xfId="17" xr:uid="{465D6CB3-505F-4BAE-801E-A2E87856E8CC}"/>
  </cellStyles>
  <dxfs count="0"/>
  <tableStyles count="0" defaultTableStyle="TableStyleMedium2" defaultPivotStyle="PivotStyleLight16"/>
  <colors>
    <mruColors>
      <color rgb="FF1D88B3"/>
      <color rgb="FF001236"/>
      <color rgb="FFDBB691"/>
      <color rgb="FF1C3B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Stores</a:t>
            </a:r>
            <a:r>
              <a:rPr lang="pt-BR" sz="1200" b="1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per Segment</a:t>
            </a:r>
            <a:endParaRPr lang="pt-BR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112211680253747E-2"/>
          <c:y val="0.23049529401480273"/>
          <c:w val="0.90697494968605952"/>
          <c:h val="0.672573066612273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Cash-and-carry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 w="3175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Dashboard!$F$2:$K$2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Dashboard!$F$3:$K$3</c:f>
              <c:numCache>
                <c:formatCode>General</c:formatCode>
                <c:ptCount val="6"/>
                <c:pt idx="0">
                  <c:v>33</c:v>
                </c:pt>
                <c:pt idx="1">
                  <c:v>42</c:v>
                </c:pt>
                <c:pt idx="2">
                  <c:v>58</c:v>
                </c:pt>
                <c:pt idx="3">
                  <c:v>80</c:v>
                </c:pt>
                <c:pt idx="4">
                  <c:v>90</c:v>
                </c:pt>
                <c:pt idx="5" formatCode="0">
                  <c:v>107.89999999999999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0-41B3-A60A-31C5EFD91D3E}"/>
            </c:ext>
          </c:extLst>
        </c:ser>
        <c:ser>
          <c:idx val="1"/>
          <c:order val="1"/>
          <c:tx>
            <c:strRef>
              <c:f>Dashboard!$B$4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Dashboard!$F$2:$K$2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Dashboard!$F$4:$K$4</c:f>
              <c:numCache>
                <c:formatCode>General</c:formatCode>
                <c:ptCount val="6"/>
                <c:pt idx="0">
                  <c:v>49</c:v>
                </c:pt>
                <c:pt idx="1">
                  <c:v>61</c:v>
                </c:pt>
                <c:pt idx="2">
                  <c:v>70</c:v>
                </c:pt>
                <c:pt idx="3">
                  <c:v>73</c:v>
                </c:pt>
                <c:pt idx="4">
                  <c:v>78</c:v>
                </c:pt>
                <c:pt idx="5" formatCode="0">
                  <c:v>85.100000000000009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0-41B3-A60A-31C5EFD91D3E}"/>
            </c:ext>
          </c:extLst>
        </c:ser>
        <c:ser>
          <c:idx val="2"/>
          <c:order val="2"/>
          <c:tx>
            <c:strRef>
              <c:f>Dashboard!$B$5</c:f>
              <c:strCache>
                <c:ptCount val="1"/>
                <c:pt idx="0">
                  <c:v>Consumer Durables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Dashboard!$F$2:$K$2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Dashboard!$F$5:$K$5</c:f>
              <c:numCache>
                <c:formatCode>General</c:formatCode>
                <c:ptCount val="6"/>
                <c:pt idx="0">
                  <c:v>77</c:v>
                </c:pt>
                <c:pt idx="1">
                  <c:v>99</c:v>
                </c:pt>
                <c:pt idx="2">
                  <c:v>104</c:v>
                </c:pt>
                <c:pt idx="3">
                  <c:v>105</c:v>
                </c:pt>
                <c:pt idx="4">
                  <c:v>104</c:v>
                </c:pt>
                <c:pt idx="5" formatCode="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0-41B3-A60A-31C5EFD91D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9"/>
        <c:overlap val="100"/>
        <c:axId val="2102994752"/>
        <c:axId val="2102994272"/>
      </c:barChart>
      <c:dateAx>
        <c:axId val="2102994752"/>
        <c:scaling>
          <c:orientation val="minMax"/>
        </c:scaling>
        <c:delete val="0"/>
        <c:axPos val="b"/>
        <c:numFmt formatCode="yyyy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02994272"/>
        <c:crosses val="autoZero"/>
        <c:auto val="1"/>
        <c:lblOffset val="100"/>
        <c:baseTimeUnit val="years"/>
      </c:dateAx>
      <c:valAx>
        <c:axId val="2102994272"/>
        <c:scaling>
          <c:orientation val="minMax"/>
          <c:max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029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Gross</a:t>
            </a:r>
            <a:r>
              <a:rPr lang="pt-BR" sz="1200" b="1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Revenue per Segment</a:t>
            </a:r>
            <a:endParaRPr lang="pt-BR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Dashboard!$B$25</c:f>
              <c:strCache>
                <c:ptCount val="1"/>
                <c:pt idx="0">
                  <c:v>Cash-and-carry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Dashboard!$F$24:$K$24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Dashboard!$F$25:$K$25</c:f>
              <c:numCache>
                <c:formatCode>\​\​#.0,;\(#.0,\);\-_);@_)</c:formatCode>
                <c:ptCount val="6"/>
                <c:pt idx="0">
                  <c:v>6812</c:v>
                </c:pt>
                <c:pt idx="1">
                  <c:v>8697</c:v>
                </c:pt>
                <c:pt idx="2">
                  <c:v>12532</c:v>
                </c:pt>
                <c:pt idx="3">
                  <c:v>16384</c:v>
                </c:pt>
                <c:pt idx="4">
                  <c:v>20372</c:v>
                </c:pt>
                <c:pt idx="5">
                  <c:v>23402.731997282608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4-4B8E-8067-7D6AC6C32A9F}"/>
            </c:ext>
          </c:extLst>
        </c:ser>
        <c:ser>
          <c:idx val="1"/>
          <c:order val="1"/>
          <c:tx>
            <c:strRef>
              <c:f>Dashboard!$B$26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A4-4B8E-8067-7D6AC6C32A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Dashboard!$F$24:$K$24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Dashboard!$F$26:$K$26</c:f>
              <c:numCache>
                <c:formatCode>\​\​#.0,;\(#.0,\);\-_);@_)</c:formatCode>
                <c:ptCount val="6"/>
                <c:pt idx="0">
                  <c:v>3880</c:v>
                </c:pt>
                <c:pt idx="1">
                  <c:v>5230</c:v>
                </c:pt>
                <c:pt idx="2">
                  <c:v>6808</c:v>
                </c:pt>
                <c:pt idx="3">
                  <c:v>7777</c:v>
                </c:pt>
                <c:pt idx="4">
                  <c:v>8497</c:v>
                </c:pt>
                <c:pt idx="5">
                  <c:v>8756.8368038515637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4-4B8E-8067-7D6AC6C32A9F}"/>
            </c:ext>
          </c:extLst>
        </c:ser>
        <c:ser>
          <c:idx val="2"/>
          <c:order val="2"/>
          <c:tx>
            <c:strRef>
              <c:f>Dashboard!$B$27</c:f>
              <c:strCache>
                <c:ptCount val="1"/>
                <c:pt idx="0">
                  <c:v>Consumer Durables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Dashboard!$F$24:$K$24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Dashboard!$F$27:$K$27</c:f>
              <c:numCache>
                <c:formatCode>\​\​#.0,;\(#.0,\);\-_);@_)</c:formatCode>
                <c:ptCount val="6"/>
                <c:pt idx="0">
                  <c:v>796</c:v>
                </c:pt>
                <c:pt idx="1">
                  <c:v>994</c:v>
                </c:pt>
                <c:pt idx="2">
                  <c:v>1117</c:v>
                </c:pt>
                <c:pt idx="3">
                  <c:v>1184</c:v>
                </c:pt>
                <c:pt idx="4">
                  <c:v>1267</c:v>
                </c:pt>
                <c:pt idx="5">
                  <c:v>1087.0792312499998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4-4B8E-8067-7D6AC6C32A9F}"/>
            </c:ext>
          </c:extLst>
        </c:ser>
        <c:ser>
          <c:idx val="3"/>
          <c:order val="3"/>
          <c:tx>
            <c:strRef>
              <c:f>Dashboard!$B$28</c:f>
              <c:strCache>
                <c:ptCount val="1"/>
                <c:pt idx="0">
                  <c:v>Wholesale B2B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Dashboard!$F$24:$K$24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Dashboard!$F$28:$K$28</c:f>
              <c:numCache>
                <c:formatCode>\​\​#.0,;\(#.0,\);\-_);@_)</c:formatCode>
                <c:ptCount val="6"/>
                <c:pt idx="0">
                  <c:v>2866</c:v>
                </c:pt>
                <c:pt idx="1">
                  <c:v>3019</c:v>
                </c:pt>
                <c:pt idx="2">
                  <c:v>4072</c:v>
                </c:pt>
                <c:pt idx="3">
                  <c:v>4901</c:v>
                </c:pt>
                <c:pt idx="4">
                  <c:v>6249</c:v>
                </c:pt>
                <c:pt idx="5">
                  <c:v>7803.877011702577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4-4B8E-8067-7D6AC6C32A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89"/>
        <c:overlap val="-27"/>
        <c:axId val="39677504"/>
        <c:axId val="39673664"/>
      </c:barChart>
      <c:lineChart>
        <c:grouping val="standard"/>
        <c:varyColors val="0"/>
        <c:ser>
          <c:idx val="4"/>
          <c:order val="4"/>
          <c:tx>
            <c:strRef>
              <c:f>Dashboard!$B$29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6736901161392296E-3"/>
                  <c:y val="2.28034727970471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A4-4B8E-8067-7D6AC6C32A9F}"/>
                </c:ext>
              </c:extLst>
            </c:dLbl>
            <c:dLbl>
              <c:idx val="1"/>
              <c:layout>
                <c:manualLayout>
                  <c:x val="1.8368450580696148E-3"/>
                  <c:y val="2.9318750739060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A4-4B8E-8067-7D6AC6C32A9F}"/>
                </c:ext>
              </c:extLst>
            </c:dLbl>
            <c:dLbl>
              <c:idx val="2"/>
              <c:layout>
                <c:manualLayout>
                  <c:x val="0"/>
                  <c:y val="3.25763897100675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A4-4B8E-8067-7D6AC6C32A9F}"/>
                </c:ext>
              </c:extLst>
            </c:dLbl>
            <c:dLbl>
              <c:idx val="3"/>
              <c:layout>
                <c:manualLayout>
                  <c:x val="1.8368450580696148E-3"/>
                  <c:y val="2.60611117680540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A4-4B8E-8067-7D6AC6C32A9F}"/>
                </c:ext>
              </c:extLst>
            </c:dLbl>
            <c:dLbl>
              <c:idx val="4"/>
              <c:layout>
                <c:manualLayout>
                  <c:x val="5.510535174208844E-3"/>
                  <c:y val="2.9318750739060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A4-4B8E-8067-7D6AC6C32A9F}"/>
                </c:ext>
              </c:extLst>
            </c:dLbl>
            <c:dLbl>
              <c:idx val="5"/>
              <c:layout>
                <c:manualLayout>
                  <c:x val="-1.3470041485441823E-16"/>
                  <c:y val="4.56069455940945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A4-4B8E-8067-7D6AC6C32A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Dashboard!$F$2:$K$2</c:f>
              <c:numCache>
                <c:formatCode>yyyy"A"</c:formatCode>
                <c:ptCount val="6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 formatCode="yyyy&quot;E&quot;">
                  <c:v>46022</c:v>
                </c:pt>
              </c:numCache>
            </c:numRef>
          </c:cat>
          <c:val>
            <c:numRef>
              <c:f>Dashboard!$F$29:$K$29</c:f>
              <c:numCache>
                <c:formatCode>\​\​#.0,;\(#.0,\);\-_);@_)</c:formatCode>
                <c:ptCount val="6"/>
                <c:pt idx="0">
                  <c:v>14354</c:v>
                </c:pt>
                <c:pt idx="1">
                  <c:v>17940</c:v>
                </c:pt>
                <c:pt idx="2">
                  <c:v>24529</c:v>
                </c:pt>
                <c:pt idx="3">
                  <c:v>30246</c:v>
                </c:pt>
                <c:pt idx="4">
                  <c:v>36385</c:v>
                </c:pt>
                <c:pt idx="5">
                  <c:v>41050.525044086746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A4-4B8E-8067-7D6AC6C32A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677504"/>
        <c:axId val="39673664"/>
      </c:lineChart>
      <c:dateAx>
        <c:axId val="39677504"/>
        <c:scaling>
          <c:orientation val="minMax"/>
        </c:scaling>
        <c:delete val="0"/>
        <c:axPos val="b"/>
        <c:numFmt formatCode="yyyy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9673664"/>
        <c:crosses val="autoZero"/>
        <c:auto val="1"/>
        <c:lblOffset val="100"/>
        <c:baseTimeUnit val="years"/>
      </c:dateAx>
      <c:valAx>
        <c:axId val="39673664"/>
        <c:scaling>
          <c:orientation val="minMax"/>
        </c:scaling>
        <c:delete val="0"/>
        <c:axPos val="l"/>
        <c:numFmt formatCode="\​\​#,;\(#.0,\);\-_);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967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UFCF</a:t>
            </a:r>
            <a:r>
              <a:rPr lang="en-US" sz="1100" b="1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Projection - Base Case</a:t>
            </a:r>
            <a:endParaRPr lang="en-US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1.1314005608425859E-2"/>
          <c:y val="1.0369011623634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Dashboard!$M$3</c:f>
              <c:strCache>
                <c:ptCount val="1"/>
                <c:pt idx="0">
                  <c:v>Unlevered Free Cash Flow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D88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20-47C5-A2C9-AB298CAC3A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Dashboard!$P$2:$V$2</c:f>
              <c:numCache>
                <c:formatCode>yyyy</c:formatCode>
                <c:ptCount val="7"/>
                <c:pt idx="0">
                  <c:v>45657</c:v>
                </c:pt>
                <c:pt idx="1">
                  <c:v>46022</c:v>
                </c:pt>
                <c:pt idx="2">
                  <c:v>46387</c:v>
                </c:pt>
                <c:pt idx="3">
                  <c:v>46752</c:v>
                </c:pt>
                <c:pt idx="4">
                  <c:v>47118</c:v>
                </c:pt>
                <c:pt idx="5">
                  <c:v>47483</c:v>
                </c:pt>
                <c:pt idx="6">
                  <c:v>47848</c:v>
                </c:pt>
              </c:numCache>
            </c:numRef>
          </c:cat>
          <c:val>
            <c:numRef>
              <c:f>Dashboard!$P$3:$V$3</c:f>
              <c:numCache>
                <c:formatCode>\​\​#,##0_);\(#,##0\);\-_);@_)</c:formatCode>
                <c:ptCount val="7"/>
                <c:pt idx="0">
                  <c:v>125.40000000000191</c:v>
                </c:pt>
                <c:pt idx="1">
                  <c:v>498.14154117671137</c:v>
                </c:pt>
                <c:pt idx="2">
                  <c:v>160.80284984134801</c:v>
                </c:pt>
                <c:pt idx="3">
                  <c:v>1284.0468023395581</c:v>
                </c:pt>
                <c:pt idx="4">
                  <c:v>1820.1431956763727</c:v>
                </c:pt>
                <c:pt idx="5">
                  <c:v>2368.3592483632669</c:v>
                </c:pt>
                <c:pt idx="6">
                  <c:v>2511.4708406369195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0-47C5-A2C9-AB298CAC3A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9"/>
        <c:overlap val="-27"/>
        <c:axId val="42151328"/>
        <c:axId val="42152768"/>
      </c:barChart>
      <c:dateAx>
        <c:axId val="42151328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2152768"/>
        <c:crosses val="autoZero"/>
        <c:auto val="1"/>
        <c:lblOffset val="100"/>
        <c:baseTimeUnit val="years"/>
      </c:dateAx>
      <c:valAx>
        <c:axId val="42152768"/>
        <c:scaling>
          <c:orientation val="minMax"/>
        </c:scaling>
        <c:delete val="0"/>
        <c:axPos val="l"/>
        <c:numFmt formatCode="\​\​#,##0_);\(#,##0\);\-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21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74127525296873E-2"/>
          <c:y val="2.2989318848512925E-2"/>
          <c:w val="0.96585176561893671"/>
          <c:h val="0.460744214934029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1D88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7E-4AA4-951C-3BCBE87BF8F6}"/>
              </c:ext>
            </c:extLst>
          </c:dPt>
          <c:dLbls>
            <c:dLbl>
              <c:idx val="2"/>
              <c:layout>
                <c:manualLayout>
                  <c:x val="0"/>
                  <c:y val="-3.03030013810533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E-4AA4-951C-3BCBE87BF8F6}"/>
                </c:ext>
              </c:extLst>
            </c:dLbl>
            <c:dLbl>
              <c:idx val="4"/>
              <c:layout>
                <c:manualLayout>
                  <c:x val="1.4229811454997178E-3"/>
                  <c:y val="-1.81818008286319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E-4AA4-951C-3BCBE87BF8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Dashboard!$X$3:$X$10</c:f>
              <c:strCache>
                <c:ptCount val="8"/>
                <c:pt idx="0">
                  <c:v>Wal-Mart de México</c:v>
                </c:pt>
                <c:pt idx="1">
                  <c:v>Soriana</c:v>
                </c:pt>
                <c:pt idx="2">
                  <c:v>Cencosud</c:v>
                </c:pt>
                <c:pt idx="3">
                  <c:v>Assaí</c:v>
                </c:pt>
                <c:pt idx="4">
                  <c:v>Pão de Açucar</c:v>
                </c:pt>
                <c:pt idx="5">
                  <c:v>Almacenes Éxito</c:v>
                </c:pt>
                <c:pt idx="6">
                  <c:v>InRetail Perú </c:v>
                </c:pt>
                <c:pt idx="7">
                  <c:v>Grupo Mateus</c:v>
                </c:pt>
              </c:strCache>
            </c:strRef>
          </c:cat>
          <c:val>
            <c:numRef>
              <c:f>Dashboard!$Y$3:$Y$10</c:f>
              <c:numCache>
                <c:formatCode>0.0%</c:formatCode>
                <c:ptCount val="8"/>
                <c:pt idx="0">
                  <c:v>5.5617220273391554E-2</c:v>
                </c:pt>
                <c:pt idx="1">
                  <c:v>3.8801057943340655E-2</c:v>
                </c:pt>
                <c:pt idx="2">
                  <c:v>2.9704870527033744E-2</c:v>
                </c:pt>
                <c:pt idx="3">
                  <c:v>6.3643536201287265E-2</c:v>
                </c:pt>
                <c:pt idx="4">
                  <c:v>5.5252968060196528E-2</c:v>
                </c:pt>
                <c:pt idx="5">
                  <c:v>2.6908192188878521E-2</c:v>
                </c:pt>
                <c:pt idx="6">
                  <c:v>4.6306297291869969E-2</c:v>
                </c:pt>
                <c:pt idx="7">
                  <c:v>0.15470564878363935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E-4AA4-951C-3BCBE87BF8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3"/>
        <c:axId val="1625648399"/>
        <c:axId val="1625633999"/>
      </c:barChart>
      <c:lineChart>
        <c:grouping val="standard"/>
        <c:varyColors val="0"/>
        <c:ser>
          <c:idx val="1"/>
          <c:order val="1"/>
          <c:tx>
            <c:strRef>
              <c:f>Dashboard!$Z$2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Dashboard!$Z$3:$Z$10</c:f>
              <c:numCache>
                <c:formatCode>0.0%</c:formatCode>
                <c:ptCount val="8"/>
                <c:pt idx="0">
                  <c:v>4.6306297291869969E-2</c:v>
                </c:pt>
                <c:pt idx="1">
                  <c:v>4.6306297291869969E-2</c:v>
                </c:pt>
                <c:pt idx="2">
                  <c:v>4.6306297291869969E-2</c:v>
                </c:pt>
                <c:pt idx="3">
                  <c:v>4.6306297291869969E-2</c:v>
                </c:pt>
                <c:pt idx="4">
                  <c:v>4.6306297291869969E-2</c:v>
                </c:pt>
                <c:pt idx="5">
                  <c:v>4.6306297291869969E-2</c:v>
                </c:pt>
                <c:pt idx="6">
                  <c:v>4.6306297291869969E-2</c:v>
                </c:pt>
                <c:pt idx="7">
                  <c:v>4.6306297291869969E-2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7E-4AA4-951C-3BCBE87BF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48399"/>
        <c:axId val="1625633999"/>
      </c:lineChart>
      <c:catAx>
        <c:axId val="16256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00000" spcFirstLastPara="1" vertOverflow="ellipsis" wrap="square" anchor="b" anchorCtr="0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25633999"/>
        <c:crosses val="autoZero"/>
        <c:auto val="0"/>
        <c:lblAlgn val="ctr"/>
        <c:lblOffset val="0"/>
        <c:noMultiLvlLbl val="0"/>
      </c:catAx>
      <c:valAx>
        <c:axId val="1625633999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25648399"/>
        <c:crossesAt val="1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54278016384317E-2"/>
          <c:y val="9.9361436527751104E-2"/>
          <c:w val="0.96589147286821708"/>
          <c:h val="0.362949581759597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1D88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50-40EF-9F8D-346AA571811E}"/>
              </c:ext>
            </c:extLst>
          </c:dPt>
          <c:dLbls>
            <c:dLbl>
              <c:idx val="0"/>
              <c:layout>
                <c:manualLayout>
                  <c:x val="-7.1058610649413908E-18"/>
                  <c:y val="-2.370369264336303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50-40EF-9F8D-346AA571811E}"/>
                </c:ext>
              </c:extLst>
            </c:dLbl>
            <c:dLbl>
              <c:idx val="3"/>
              <c:layout>
                <c:manualLayout>
                  <c:x val="0"/>
                  <c:y val="-2.370369264336301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50-40EF-9F8D-346AA571811E}"/>
                </c:ext>
              </c:extLst>
            </c:dLbl>
            <c:dLbl>
              <c:idx val="4"/>
              <c:layout>
                <c:manualLayout>
                  <c:x val="0"/>
                  <c:y val="-1.7777769482522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50-40EF-9F8D-346AA5718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Dashboard!$X$3:$X$10</c:f>
              <c:strCache>
                <c:ptCount val="8"/>
                <c:pt idx="0">
                  <c:v>Wal-Mart de México</c:v>
                </c:pt>
                <c:pt idx="1">
                  <c:v>Soriana</c:v>
                </c:pt>
                <c:pt idx="2">
                  <c:v>Cencosud</c:v>
                </c:pt>
                <c:pt idx="3">
                  <c:v>Assaí</c:v>
                </c:pt>
                <c:pt idx="4">
                  <c:v>Pão de Açucar</c:v>
                </c:pt>
                <c:pt idx="5">
                  <c:v>Almacenes Éxito</c:v>
                </c:pt>
                <c:pt idx="6">
                  <c:v>InRetail Perú </c:v>
                </c:pt>
                <c:pt idx="7">
                  <c:v>Grupo Mateus</c:v>
                </c:pt>
              </c:strCache>
            </c:strRef>
          </c:cat>
          <c:val>
            <c:numRef>
              <c:f>Dashboard!$AA$3:$AA$10</c:f>
              <c:numCache>
                <c:formatCode>0.0%</c:formatCode>
                <c:ptCount val="8"/>
                <c:pt idx="0">
                  <c:v>0.10201823173148922</c:v>
                </c:pt>
                <c:pt idx="1">
                  <c:v>7.1123745760623705E-2</c:v>
                </c:pt>
                <c:pt idx="2">
                  <c:v>9.9565012750803664E-2</c:v>
                </c:pt>
                <c:pt idx="3">
                  <c:v>7.6615334583181927E-2</c:v>
                </c:pt>
                <c:pt idx="4">
                  <c:v>9.1457841410242005E-2</c:v>
                </c:pt>
                <c:pt idx="5">
                  <c:v>7.7904500106544525E-2</c:v>
                </c:pt>
                <c:pt idx="6">
                  <c:v>0.13813214593301504</c:v>
                </c:pt>
                <c:pt idx="7">
                  <c:v>8.1433064255800158E-2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50-40EF-9F8D-346AA57181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-27"/>
        <c:axId val="1625648399"/>
        <c:axId val="1625633999"/>
      </c:barChart>
      <c:lineChart>
        <c:grouping val="standard"/>
        <c:varyColors val="0"/>
        <c:ser>
          <c:idx val="1"/>
          <c:order val="1"/>
          <c:tx>
            <c:strRef>
              <c:f>Dashboard!$AB$2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Dashboard!$AB$3:$AB$10</c:f>
              <c:numCache>
                <c:formatCode>0.0%</c:formatCode>
                <c:ptCount val="8"/>
                <c:pt idx="0">
                  <c:v>9.1457841410242005E-2</c:v>
                </c:pt>
                <c:pt idx="1">
                  <c:v>9.1457841410242005E-2</c:v>
                </c:pt>
                <c:pt idx="2">
                  <c:v>9.1457841410242005E-2</c:v>
                </c:pt>
                <c:pt idx="3">
                  <c:v>9.1457841410242005E-2</c:v>
                </c:pt>
                <c:pt idx="4">
                  <c:v>9.1457841410242005E-2</c:v>
                </c:pt>
                <c:pt idx="5">
                  <c:v>9.1457841410242005E-2</c:v>
                </c:pt>
                <c:pt idx="6">
                  <c:v>9.1457841410242005E-2</c:v>
                </c:pt>
                <c:pt idx="7">
                  <c:v>9.1457841410242005E-2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50-40EF-9F8D-346AA5718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48399"/>
        <c:axId val="1625633999"/>
      </c:lineChart>
      <c:catAx>
        <c:axId val="16256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25633999"/>
        <c:crosses val="autoZero"/>
        <c:auto val="1"/>
        <c:lblAlgn val="ctr"/>
        <c:lblOffset val="0"/>
        <c:noMultiLvlLbl val="0"/>
      </c:catAx>
      <c:valAx>
        <c:axId val="1625633999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256483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54278016384317E-2"/>
          <c:y val="2.9734919826414109E-2"/>
          <c:w val="0.96589147286821708"/>
          <c:h val="0.42525793030584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1D88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4D-4266-89A1-AF21E9804532}"/>
              </c:ext>
            </c:extLst>
          </c:dPt>
          <c:dLbls>
            <c:dLbl>
              <c:idx val="4"/>
              <c:layout>
                <c:manualLayout>
                  <c:x val="-1.1369377703906225E-16"/>
                  <c:y val="-1.80995389130585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4D-4266-89A1-AF21E98045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Dashboard!$X$3:$X$10</c:f>
              <c:strCache>
                <c:ptCount val="8"/>
                <c:pt idx="0">
                  <c:v>Wal-Mart de México</c:v>
                </c:pt>
                <c:pt idx="1">
                  <c:v>Soriana</c:v>
                </c:pt>
                <c:pt idx="2">
                  <c:v>Cencosud</c:v>
                </c:pt>
                <c:pt idx="3">
                  <c:v>Assaí</c:v>
                </c:pt>
                <c:pt idx="4">
                  <c:v>Pão de Açucar</c:v>
                </c:pt>
                <c:pt idx="5">
                  <c:v>Almacenes Éxito</c:v>
                </c:pt>
                <c:pt idx="6">
                  <c:v>InRetail Perú </c:v>
                </c:pt>
                <c:pt idx="7">
                  <c:v>Grupo Mateus</c:v>
                </c:pt>
              </c:strCache>
            </c:strRef>
          </c:cat>
          <c:val>
            <c:numRef>
              <c:f>Dashboard!$AC$3:$AC$10</c:f>
              <c:numCache>
                <c:formatCode>#,##0.0"x";\(#,##0.0"x"\)</c:formatCode>
                <c:ptCount val="8"/>
                <c:pt idx="0">
                  <c:v>9.972454353858021</c:v>
                </c:pt>
                <c:pt idx="1">
                  <c:v>5.2723597537575104</c:v>
                </c:pt>
                <c:pt idx="2">
                  <c:v>8.4331902016452531</c:v>
                </c:pt>
                <c:pt idx="3">
                  <c:v>5.7570729523557445</c:v>
                </c:pt>
                <c:pt idx="4">
                  <c:v>4.7413722447463034</c:v>
                </c:pt>
                <c:pt idx="5">
                  <c:v>4.8584769939874706</c:v>
                </c:pt>
                <c:pt idx="6">
                  <c:v>5.8182521021162001</c:v>
                </c:pt>
                <c:pt idx="7">
                  <c:v>6.2628458355819392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4D-4266-89A1-AF21E98045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-27"/>
        <c:axId val="1625648399"/>
        <c:axId val="1625633999"/>
      </c:barChart>
      <c:lineChart>
        <c:grouping val="standard"/>
        <c:varyColors val="0"/>
        <c:ser>
          <c:idx val="1"/>
          <c:order val="1"/>
          <c:tx>
            <c:strRef>
              <c:f>Dashboard!$AD$2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Dashboard!$AD$3:$AD$10</c:f>
              <c:numCache>
                <c:formatCode>#,##0.0"x";\(#,##0.0"x"\)</c:formatCode>
                <c:ptCount val="8"/>
                <c:pt idx="0">
                  <c:v>5.7570729523557445</c:v>
                </c:pt>
                <c:pt idx="1">
                  <c:v>5.7570729523557445</c:v>
                </c:pt>
                <c:pt idx="2">
                  <c:v>5.7570729523557445</c:v>
                </c:pt>
                <c:pt idx="3">
                  <c:v>5.7570729523557445</c:v>
                </c:pt>
                <c:pt idx="4">
                  <c:v>5.7570729523557445</c:v>
                </c:pt>
                <c:pt idx="5">
                  <c:v>5.7570729523557445</c:v>
                </c:pt>
                <c:pt idx="6">
                  <c:v>5.7570729523557445</c:v>
                </c:pt>
                <c:pt idx="7">
                  <c:v>5.7570729523557445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4D-4266-89A1-AF21E9804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48399"/>
        <c:axId val="1625633999"/>
      </c:lineChart>
      <c:catAx>
        <c:axId val="16256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00000" spcFirstLastPara="1" vertOverflow="ellipsis" wrap="square" anchor="ctr" anchorCtr="1"/>
          <a:lstStyle/>
          <a:p>
            <a:pPr algn="ctr">
              <a:defRPr lang="en-US"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25633999"/>
        <c:crosses val="autoZero"/>
        <c:auto val="1"/>
        <c:lblAlgn val="ctr"/>
        <c:lblOffset val="0"/>
        <c:noMultiLvlLbl val="0"/>
      </c:catAx>
      <c:valAx>
        <c:axId val="1625633999"/>
        <c:scaling>
          <c:orientation val="minMax"/>
        </c:scaling>
        <c:delete val="1"/>
        <c:axPos val="l"/>
        <c:numFmt formatCode="#,##0.0&quot;x&quot;;\(#,##0.0&quot;x&quot;\)" sourceLinked="1"/>
        <c:majorTickMark val="none"/>
        <c:minorTickMark val="none"/>
        <c:tickLblPos val="nextTo"/>
        <c:crossAx val="16256483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221464355172166E-2"/>
          <c:y val="8.9826980582651053E-2"/>
          <c:w val="0.94708251147965217"/>
          <c:h val="0.380430026246719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 w="0"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1D88B3"/>
              </a:solidFill>
              <a:ln w="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3E-4097-BCD0-2175239A6F03}"/>
              </c:ext>
            </c:extLst>
          </c:dPt>
          <c:dLbls>
            <c:dLbl>
              <c:idx val="4"/>
              <c:layout>
                <c:manualLayout>
                  <c:x val="-9.5622329866913176E-17"/>
                  <c:y val="-7.60668013468013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3E-4097-BCD0-2175239A6F03}"/>
                </c:ext>
              </c:extLst>
            </c:dLbl>
            <c:dLbl>
              <c:idx val="5"/>
              <c:layout>
                <c:manualLayout>
                  <c:x val="0"/>
                  <c:y val="-4.81770826854575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3E-4097-BCD0-2175239A6F03}"/>
                </c:ext>
              </c:extLst>
            </c:dLbl>
            <c:dLbl>
              <c:idx val="6"/>
              <c:layout>
                <c:manualLayout>
                  <c:x val="-1.5782206911637232E-3"/>
                  <c:y val="-0.1362496816062548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0694444444444438E-2"/>
                      <c:h val="0.101090014064697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03E-4097-BCD0-2175239A6F03}"/>
                </c:ext>
              </c:extLst>
            </c:dLbl>
            <c:dLbl>
              <c:idx val="7"/>
              <c:layout>
                <c:manualLayout>
                  <c:x val="0"/>
                  <c:y val="-4.05424119383804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3E-4097-BCD0-2175239A6F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Dashboard!$X$3:$X$10</c:f>
              <c:strCache>
                <c:ptCount val="8"/>
                <c:pt idx="0">
                  <c:v>Wal-Mart de México</c:v>
                </c:pt>
                <c:pt idx="1">
                  <c:v>Soriana</c:v>
                </c:pt>
                <c:pt idx="2">
                  <c:v>Cencosud</c:v>
                </c:pt>
                <c:pt idx="3">
                  <c:v>Assaí</c:v>
                </c:pt>
                <c:pt idx="4">
                  <c:v>Pão de Açucar</c:v>
                </c:pt>
                <c:pt idx="5">
                  <c:v>Almacenes Éxito</c:v>
                </c:pt>
                <c:pt idx="6">
                  <c:v>InRetail Perú </c:v>
                </c:pt>
                <c:pt idx="7">
                  <c:v>Grupo Mateus</c:v>
                </c:pt>
              </c:strCache>
            </c:strRef>
          </c:cat>
          <c:val>
            <c:numRef>
              <c:f>Dashboard!$AE$3:$AE$10</c:f>
              <c:numCache>
                <c:formatCode>#,##0.0"x";\(#,##0.0"x"\)</c:formatCode>
                <c:ptCount val="8"/>
                <c:pt idx="0">
                  <c:v>18.36692087990691</c:v>
                </c:pt>
                <c:pt idx="1">
                  <c:v>11.202165250733028</c:v>
                </c:pt>
                <c:pt idx="2">
                  <c:v>13.084526491750854</c:v>
                </c:pt>
                <c:pt idx="3">
                  <c:v>15.906205310624845</c:v>
                </c:pt>
                <c:pt idx="4">
                  <c:v>-3.2942786069651739</c:v>
                </c:pt>
                <c:pt idx="5">
                  <c:v>10.997454159428681</c:v>
                </c:pt>
                <c:pt idx="6">
                  <c:v>9.1698129825900594</c:v>
                </c:pt>
                <c:pt idx="7">
                  <c:v>9.8408688968265761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3E-4097-BCD0-2175239A6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3"/>
        <c:overlap val="-27"/>
        <c:axId val="1625648399"/>
        <c:axId val="1625633999"/>
      </c:barChart>
      <c:lineChart>
        <c:grouping val="standard"/>
        <c:varyColors val="0"/>
        <c:ser>
          <c:idx val="1"/>
          <c:order val="1"/>
          <c:tx>
            <c:strRef>
              <c:f>Dashboard!$AF$2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Dashboard!$AF$3:$AF$10</c:f>
              <c:numCache>
                <c:formatCode>#,##0.0"x";\(#,##0.0"x"\)</c:formatCode>
                <c:ptCount val="8"/>
                <c:pt idx="0">
                  <c:v>11.202165250733028</c:v>
                </c:pt>
                <c:pt idx="1">
                  <c:v>11.202165250733028</c:v>
                </c:pt>
                <c:pt idx="2">
                  <c:v>11.202165250733028</c:v>
                </c:pt>
                <c:pt idx="3">
                  <c:v>11.202165250733028</c:v>
                </c:pt>
                <c:pt idx="4">
                  <c:v>11.202165250733028</c:v>
                </c:pt>
                <c:pt idx="5">
                  <c:v>11.202165250733028</c:v>
                </c:pt>
                <c:pt idx="6">
                  <c:v>11.202165250733028</c:v>
                </c:pt>
                <c:pt idx="7">
                  <c:v>11.202165250733028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3E-4097-BCD0-2175239A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648399"/>
        <c:axId val="1625633999"/>
      </c:lineChart>
      <c:catAx>
        <c:axId val="16256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25633999"/>
        <c:crosses val="autoZero"/>
        <c:auto val="1"/>
        <c:lblAlgn val="ctr"/>
        <c:lblOffset val="0"/>
        <c:noMultiLvlLbl val="0"/>
      </c:catAx>
      <c:valAx>
        <c:axId val="1625633999"/>
        <c:scaling>
          <c:orientation val="minMax"/>
        </c:scaling>
        <c:delete val="1"/>
        <c:axPos val="l"/>
        <c:numFmt formatCode="#,##0.0&quot;x&quot;;\(#,##0.0&quot;x&quot;\)" sourceLinked="1"/>
        <c:majorTickMark val="none"/>
        <c:minorTickMark val="none"/>
        <c:tickLblPos val="nextTo"/>
        <c:crossAx val="16256483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164726</xdr:colOff>
      <xdr:row>7</xdr:row>
      <xdr:rowOff>33618</xdr:rowOff>
    </xdr:from>
    <xdr:to>
      <xdr:col>9</xdr:col>
      <xdr:colOff>381000</xdr:colOff>
      <xdr:row>21</xdr:row>
      <xdr:rowOff>179295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9F6EF-9D89-40DA-EF25-7849A7D7C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29</xdr:row>
      <xdr:rowOff>91280</xdr:rowOff>
    </xdr:from>
    <xdr:to>
      <xdr:col>10</xdr:col>
      <xdr:colOff>112060</xdr:colOff>
      <xdr:row>48</xdr:row>
      <xdr:rowOff>22412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9F79AA-9A7A-2B07-FBCC-D08FBB1EA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50424</xdr:colOff>
      <xdr:row>4</xdr:row>
      <xdr:rowOff>78440</xdr:rowOff>
    </xdr:from>
    <xdr:to>
      <xdr:col>22</xdr:col>
      <xdr:colOff>23615</xdr:colOff>
      <xdr:row>19</xdr:row>
      <xdr:rowOff>156881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D4DB9-9430-53F1-5931-452D15C44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562530</xdr:colOff>
      <xdr:row>19</xdr:row>
      <xdr:rowOff>136713</xdr:rowOff>
    </xdr:from>
    <xdr:to>
      <xdr:col>34</xdr:col>
      <xdr:colOff>103985</xdr:colOff>
      <xdr:row>27</xdr:row>
      <xdr:rowOff>57465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8370F-3434-4302-A47B-2B0B02A60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23</xdr:col>
      <xdr:colOff>0</xdr:colOff>
      <xdr:row>13</xdr:row>
      <xdr:rowOff>123265</xdr:rowOff>
    </xdr:from>
    <xdr:to>
      <xdr:col>34</xdr:col>
      <xdr:colOff>146572</xdr:colOff>
      <xdr:row>21</xdr:row>
      <xdr:rowOff>44017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B41232-2775-44E4-ACEE-27C544357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547967</xdr:colOff>
      <xdr:row>26</xdr:row>
      <xdr:rowOff>173134</xdr:rowOff>
    </xdr:from>
    <xdr:to>
      <xdr:col>34</xdr:col>
      <xdr:colOff>89422</xdr:colOff>
      <xdr:row>34</xdr:row>
      <xdr:rowOff>93886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C009632-ADA1-4C17-8530-32BF4430F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22</xdr:col>
      <xdr:colOff>356907</xdr:colOff>
      <xdr:row>34</xdr:row>
      <xdr:rowOff>48751</xdr:rowOff>
    </xdr:from>
    <xdr:to>
      <xdr:col>34</xdr:col>
      <xdr:colOff>78441</xdr:colOff>
      <xdr:row>44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F5C4C5B-9403-4D1E-A0CB-59656BF9D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D41-68A7-4901-A989-B26B7813157D}">
  <dimension ref="A1:AB104"/>
  <sheetViews>
    <sheetView showGridLines="0" tabSelected="1" zoomScaleNormal="100" workbookViewId="0">
      <pane ySplit="7" topLeftCell="A8" activePane="bottomLeft" state="frozen"/>
      <selection pane="bottomLeft" activeCell="E26" sqref="E26"/>
    </sheetView>
  </sheetViews>
  <sheetFormatPr defaultColWidth="10.5703125" defaultRowHeight="12.75" outlineLevelRow="1" outlineLevelCol="1" x14ac:dyDescent="0.2"/>
  <cols>
    <col min="1" max="1" width="0.85546875" style="1" customWidth="1"/>
    <col min="2" max="5" width="11" style="1" customWidth="1"/>
    <col min="6" max="6" width="11" style="1" bestFit="1" customWidth="1"/>
    <col min="7" max="10" width="11" style="1" customWidth="1"/>
    <col min="11" max="14" width="10.5703125" style="1" hidden="1" customWidth="1" outlineLevel="1"/>
    <col min="15" max="15" width="10.5703125" style="1" collapsed="1"/>
    <col min="16" max="20" width="11" style="1" customWidth="1"/>
    <col min="21" max="22" width="10.5703125" style="1"/>
    <col min="23" max="23" width="11.140625" style="1" customWidth="1"/>
    <col min="24" max="16384" width="10.5703125" style="1"/>
  </cols>
  <sheetData>
    <row r="1" spans="1:21" x14ac:dyDescent="0.2">
      <c r="A1" s="103"/>
      <c r="B1" s="104" t="s">
        <v>94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</row>
    <row r="2" spans="1:21" x14ac:dyDescent="0.2">
      <c r="A2" s="103"/>
      <c r="B2" s="104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</row>
    <row r="3" spans="1:21" x14ac:dyDescent="0.2">
      <c r="A3" s="103"/>
      <c r="B3" s="105" t="s">
        <v>166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</row>
    <row r="5" spans="1:21" x14ac:dyDescent="0.2"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21" x14ac:dyDescent="0.2">
      <c r="B6" s="5" t="s">
        <v>1</v>
      </c>
      <c r="D6" s="80" t="s">
        <v>2</v>
      </c>
      <c r="F6" s="122" t="s">
        <v>3</v>
      </c>
      <c r="G6" s="122"/>
      <c r="H6" s="122"/>
      <c r="I6" s="122"/>
      <c r="J6" s="122"/>
      <c r="K6" s="123"/>
      <c r="L6" s="123"/>
      <c r="M6" s="97"/>
      <c r="N6" s="97"/>
      <c r="O6" s="97" t="s">
        <v>9</v>
      </c>
      <c r="P6" s="97"/>
      <c r="Q6" s="97"/>
      <c r="R6" s="97"/>
      <c r="S6" s="97"/>
      <c r="T6" s="97"/>
      <c r="U6" s="36" t="s">
        <v>66</v>
      </c>
    </row>
    <row r="7" spans="1:21" x14ac:dyDescent="0.2">
      <c r="B7" s="5"/>
      <c r="F7" s="44">
        <v>44196</v>
      </c>
      <c r="G7" s="44">
        <f>EOMONTH(F7,12)</f>
        <v>44561</v>
      </c>
      <c r="H7" s="44">
        <f>EOMONTH(G7,12)</f>
        <v>44926</v>
      </c>
      <c r="I7" s="44">
        <f>EOMONTH(H7,12)</f>
        <v>45291</v>
      </c>
      <c r="J7" s="44">
        <f>EOMONTH(I7,12)</f>
        <v>45657</v>
      </c>
      <c r="K7" s="120">
        <f>EOMONTH(J7,3)</f>
        <v>45747</v>
      </c>
      <c r="L7" s="120">
        <f>EOMONTH(K7,3)</f>
        <v>45838</v>
      </c>
      <c r="M7" s="83">
        <f>EOMONTH(L7,3)</f>
        <v>45930</v>
      </c>
      <c r="N7" s="83">
        <f>EOMONTH(M7,3)</f>
        <v>46022</v>
      </c>
      <c r="O7" s="8">
        <f>EOMONTH(J7,12)</f>
        <v>46022</v>
      </c>
      <c r="P7" s="8">
        <f>EOMONTH(O7,12)</f>
        <v>46387</v>
      </c>
      <c r="Q7" s="8">
        <f>EOMONTH(P7,12)</f>
        <v>46752</v>
      </c>
      <c r="R7" s="8">
        <f>EOMONTH(Q7,12)</f>
        <v>47118</v>
      </c>
      <c r="S7" s="8">
        <f>EOMONTH(R7,12)</f>
        <v>47483</v>
      </c>
      <c r="T7" s="8">
        <f>EOMONTH(S7,12)</f>
        <v>47848</v>
      </c>
      <c r="U7" s="40" t="s">
        <v>183</v>
      </c>
    </row>
    <row r="8" spans="1:21" outlineLevel="1" x14ac:dyDescent="0.2">
      <c r="B8" s="5"/>
      <c r="F8" s="81"/>
      <c r="G8" s="81"/>
      <c r="H8" s="81"/>
      <c r="I8" s="81"/>
      <c r="J8" s="81"/>
      <c r="K8" s="84"/>
      <c r="L8" s="84"/>
      <c r="M8" s="84"/>
      <c r="N8" s="84"/>
      <c r="O8" s="82"/>
      <c r="P8" s="82"/>
      <c r="Q8" s="82"/>
      <c r="R8" s="82"/>
      <c r="S8" s="82"/>
      <c r="T8" s="82"/>
      <c r="U8" s="36"/>
    </row>
    <row r="9" spans="1:21" outlineLevel="1" x14ac:dyDescent="0.2">
      <c r="B9" s="1" t="s">
        <v>167</v>
      </c>
      <c r="F9" s="41">
        <v>39</v>
      </c>
      <c r="G9" s="41">
        <f>G10-F10</f>
        <v>43</v>
      </c>
      <c r="H9" s="41">
        <f t="shared" ref="H9:J9" si="0">H10-G10</f>
        <v>30</v>
      </c>
      <c r="I9" s="41">
        <f t="shared" si="0"/>
        <v>26</v>
      </c>
      <c r="J9" s="41">
        <f t="shared" si="0"/>
        <v>14</v>
      </c>
      <c r="K9" s="41">
        <f>K10-J10</f>
        <v>4</v>
      </c>
      <c r="L9" s="41">
        <f>L10-K10</f>
        <v>4</v>
      </c>
      <c r="M9" s="41">
        <v>8</v>
      </c>
      <c r="N9" s="41">
        <v>9</v>
      </c>
      <c r="O9" s="41">
        <f>SUM(K9:N9)</f>
        <v>25</v>
      </c>
      <c r="P9" s="41">
        <f>P96</f>
        <v>25</v>
      </c>
      <c r="Q9" s="41">
        <f>Q96</f>
        <v>25</v>
      </c>
      <c r="R9" s="41">
        <f>R96</f>
        <v>25</v>
      </c>
      <c r="S9" s="41">
        <f>S96</f>
        <v>25</v>
      </c>
      <c r="T9" s="41">
        <f>T96</f>
        <v>25</v>
      </c>
    </row>
    <row r="10" spans="1:21" outlineLevel="1" x14ac:dyDescent="0.2">
      <c r="B10" s="1" t="s">
        <v>168</v>
      </c>
      <c r="F10" s="43">
        <f t="shared" ref="F10:T10" si="1">SUM(F17,F23,F29)</f>
        <v>159</v>
      </c>
      <c r="G10" s="43">
        <f t="shared" si="1"/>
        <v>202</v>
      </c>
      <c r="H10" s="43">
        <f t="shared" si="1"/>
        <v>232</v>
      </c>
      <c r="I10" s="43">
        <f t="shared" si="1"/>
        <v>258</v>
      </c>
      <c r="J10" s="43">
        <f t="shared" si="1"/>
        <v>272</v>
      </c>
      <c r="K10" s="43">
        <f t="shared" si="1"/>
        <v>276</v>
      </c>
      <c r="L10" s="43">
        <f t="shared" si="1"/>
        <v>280</v>
      </c>
      <c r="M10" s="43">
        <f t="shared" si="1"/>
        <v>288</v>
      </c>
      <c r="N10" s="43">
        <f t="shared" si="1"/>
        <v>297</v>
      </c>
      <c r="O10" s="43">
        <f t="shared" si="1"/>
        <v>297</v>
      </c>
      <c r="P10" s="43">
        <f t="shared" si="1"/>
        <v>322</v>
      </c>
      <c r="Q10" s="43">
        <f t="shared" si="1"/>
        <v>347</v>
      </c>
      <c r="R10" s="43">
        <f t="shared" si="1"/>
        <v>372</v>
      </c>
      <c r="S10" s="43">
        <f t="shared" si="1"/>
        <v>397</v>
      </c>
      <c r="T10" s="43">
        <f t="shared" si="1"/>
        <v>422</v>
      </c>
      <c r="U10" s="77">
        <f>(T10/O10)^(1/5)-1</f>
        <v>7.2781314198130165E-2</v>
      </c>
    </row>
    <row r="11" spans="1:21" outlineLevel="1" x14ac:dyDescent="0.2"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77"/>
    </row>
    <row r="12" spans="1:21" outlineLevel="1" x14ac:dyDescent="0.2">
      <c r="B12" s="2" t="s">
        <v>95</v>
      </c>
      <c r="C12" s="2"/>
      <c r="D12" s="2"/>
      <c r="E12" s="2"/>
      <c r="F12" s="93">
        <f t="shared" ref="F12:L12" si="2">F18/F$9</f>
        <v>0</v>
      </c>
      <c r="G12" s="93">
        <f t="shared" si="2"/>
        <v>0.20930232558139536</v>
      </c>
      <c r="H12" s="93">
        <f t="shared" si="2"/>
        <v>0.53333333333333333</v>
      </c>
      <c r="I12" s="93">
        <f t="shared" si="2"/>
        <v>0.84615384615384615</v>
      </c>
      <c r="J12" s="93">
        <f t="shared" si="2"/>
        <v>0.7142857142857143</v>
      </c>
      <c r="K12" s="93">
        <f t="shared" si="2"/>
        <v>0.5</v>
      </c>
      <c r="L12" s="93">
        <f t="shared" si="2"/>
        <v>1</v>
      </c>
      <c r="M12" s="93">
        <v>0.7</v>
      </c>
      <c r="N12" s="93">
        <v>0.7</v>
      </c>
      <c r="O12" s="93">
        <v>0.7</v>
      </c>
      <c r="P12" s="93">
        <v>0.7</v>
      </c>
      <c r="Q12" s="93">
        <v>0.7</v>
      </c>
      <c r="R12" s="93">
        <v>0.7</v>
      </c>
      <c r="S12" s="93">
        <v>0.7</v>
      </c>
      <c r="T12" s="93">
        <v>0.7</v>
      </c>
    </row>
    <row r="13" spans="1:21" outlineLevel="1" x14ac:dyDescent="0.2">
      <c r="B13" s="2" t="s">
        <v>96</v>
      </c>
      <c r="C13" s="2"/>
      <c r="D13" s="2"/>
      <c r="E13" s="2"/>
      <c r="F13" s="95">
        <f t="shared" ref="F13:L13" si="3">F24/F$9</f>
        <v>0</v>
      </c>
      <c r="G13" s="95">
        <f t="shared" si="3"/>
        <v>0.27906976744186046</v>
      </c>
      <c r="H13" s="95">
        <f t="shared" si="3"/>
        <v>0.3</v>
      </c>
      <c r="I13" s="95">
        <f t="shared" si="3"/>
        <v>0.11538461538461539</v>
      </c>
      <c r="J13" s="95">
        <f t="shared" si="3"/>
        <v>0.35714285714285715</v>
      </c>
      <c r="K13" s="95">
        <f t="shared" si="3"/>
        <v>0.5</v>
      </c>
      <c r="L13" s="95">
        <f t="shared" si="3"/>
        <v>0</v>
      </c>
      <c r="M13" s="95">
        <v>0.3</v>
      </c>
      <c r="N13" s="95">
        <v>0.3</v>
      </c>
      <c r="O13" s="95">
        <v>0.3</v>
      </c>
      <c r="P13" s="95">
        <v>0.3</v>
      </c>
      <c r="Q13" s="95">
        <v>0.3</v>
      </c>
      <c r="R13" s="95">
        <v>0.3</v>
      </c>
      <c r="S13" s="95">
        <v>0.3</v>
      </c>
      <c r="T13" s="95">
        <v>0.3</v>
      </c>
    </row>
    <row r="14" spans="1:21" outlineLevel="1" x14ac:dyDescent="0.2">
      <c r="B14" s="2" t="s">
        <v>97</v>
      </c>
      <c r="C14" s="2"/>
      <c r="D14" s="2"/>
      <c r="E14" s="2"/>
      <c r="F14" s="94">
        <f t="shared" ref="F14:L14" si="4">F30/F$9</f>
        <v>0</v>
      </c>
      <c r="G14" s="94">
        <f t="shared" si="4"/>
        <v>0.51162790697674421</v>
      </c>
      <c r="H14" s="94">
        <f t="shared" si="4"/>
        <v>0.16666666666666666</v>
      </c>
      <c r="I14" s="94">
        <f t="shared" si="4"/>
        <v>3.8461538461538464E-2</v>
      </c>
      <c r="J14" s="94">
        <f t="shared" si="4"/>
        <v>-7.1428571428571425E-2</v>
      </c>
      <c r="K14" s="94">
        <f t="shared" si="4"/>
        <v>0</v>
      </c>
      <c r="L14" s="94">
        <f t="shared" si="4"/>
        <v>0</v>
      </c>
      <c r="M14" s="94">
        <v>0</v>
      </c>
      <c r="N14" s="94">
        <v>0</v>
      </c>
      <c r="O14" s="94">
        <v>0</v>
      </c>
      <c r="P14" s="94">
        <v>0</v>
      </c>
      <c r="Q14" s="94">
        <v>0</v>
      </c>
      <c r="R14" s="94">
        <v>0</v>
      </c>
      <c r="S14" s="94">
        <v>0</v>
      </c>
      <c r="T14" s="94">
        <v>0</v>
      </c>
    </row>
    <row r="15" spans="1:21" outlineLevel="1" x14ac:dyDescent="0.2"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1:21" outlineLevel="1" x14ac:dyDescent="0.2">
      <c r="B16" s="5" t="s">
        <v>207</v>
      </c>
      <c r="F16" s="98">
        <v>6812</v>
      </c>
      <c r="G16" s="98">
        <v>8697</v>
      </c>
      <c r="H16" s="98">
        <v>12532</v>
      </c>
      <c r="I16" s="98">
        <v>16384</v>
      </c>
      <c r="J16" s="98">
        <v>20372</v>
      </c>
      <c r="K16" s="98">
        <v>5525</v>
      </c>
      <c r="L16" s="98">
        <v>5541</v>
      </c>
      <c r="M16" s="98">
        <f t="shared" ref="M16:T16" si="5">M17*M19</f>
        <v>5982.8733695652172</v>
      </c>
      <c r="N16" s="98">
        <f t="shared" si="5"/>
        <v>6353.8586277173908</v>
      </c>
      <c r="O16" s="98">
        <f>SUM(K16:N16)</f>
        <v>23402.731997282608</v>
      </c>
      <c r="P16" s="98">
        <f t="shared" si="5"/>
        <v>29832.867864130432</v>
      </c>
      <c r="Q16" s="98">
        <f t="shared" si="5"/>
        <v>34336.108341005427</v>
      </c>
      <c r="R16" s="98">
        <f t="shared" si="5"/>
        <v>38926.430340631516</v>
      </c>
      <c r="S16" s="98">
        <f t="shared" si="5"/>
        <v>43605.125169416024</v>
      </c>
      <c r="T16" s="98">
        <f t="shared" si="5"/>
        <v>48373.501251742156</v>
      </c>
      <c r="U16" s="77">
        <f>(T16/O16)^(1/5)-1</f>
        <v>0.15629378852587195</v>
      </c>
    </row>
    <row r="17" spans="2:21" outlineLevel="1" x14ac:dyDescent="0.2">
      <c r="B17" s="22" t="s">
        <v>169</v>
      </c>
      <c r="F17" s="1">
        <v>33</v>
      </c>
      <c r="G17" s="41">
        <v>42</v>
      </c>
      <c r="H17" s="41">
        <v>58</v>
      </c>
      <c r="I17" s="41">
        <v>80</v>
      </c>
      <c r="J17" s="41">
        <v>90</v>
      </c>
      <c r="K17" s="41">
        <v>92</v>
      </c>
      <c r="L17" s="41">
        <v>96</v>
      </c>
      <c r="M17" s="41">
        <f>L17+M18</f>
        <v>101.6</v>
      </c>
      <c r="N17" s="41">
        <f t="shared" ref="N17:T17" si="6">M17+N18</f>
        <v>107.89999999999999</v>
      </c>
      <c r="O17" s="41">
        <f>N17</f>
        <v>107.89999999999999</v>
      </c>
      <c r="P17" s="41">
        <f t="shared" si="6"/>
        <v>125.39999999999999</v>
      </c>
      <c r="Q17" s="41">
        <f t="shared" si="6"/>
        <v>142.89999999999998</v>
      </c>
      <c r="R17" s="41">
        <f t="shared" si="6"/>
        <v>160.39999999999998</v>
      </c>
      <c r="S17" s="41">
        <f t="shared" si="6"/>
        <v>177.89999999999998</v>
      </c>
      <c r="T17" s="41">
        <f t="shared" si="6"/>
        <v>195.39999999999998</v>
      </c>
    </row>
    <row r="18" spans="2:21" outlineLevel="1" x14ac:dyDescent="0.2">
      <c r="B18" s="11" t="s">
        <v>171</v>
      </c>
      <c r="F18" s="99">
        <v>0</v>
      </c>
      <c r="G18" s="100">
        <f>G17-F17</f>
        <v>9</v>
      </c>
      <c r="H18" s="100">
        <f t="shared" ref="H18:J18" si="7">H17-G17</f>
        <v>16</v>
      </c>
      <c r="I18" s="100">
        <f t="shared" si="7"/>
        <v>22</v>
      </c>
      <c r="J18" s="100">
        <f t="shared" si="7"/>
        <v>10</v>
      </c>
      <c r="K18" s="100">
        <f>K17-J17</f>
        <v>2</v>
      </c>
      <c r="L18" s="100">
        <f>L17-K17</f>
        <v>4</v>
      </c>
      <c r="M18" s="100">
        <f t="shared" ref="M18:T18" si="8">M$9*M12</f>
        <v>5.6</v>
      </c>
      <c r="N18" s="100">
        <f t="shared" si="8"/>
        <v>6.3</v>
      </c>
      <c r="O18" s="100">
        <f>SUM(K18:N18)</f>
        <v>17.899999999999999</v>
      </c>
      <c r="P18" s="100">
        <f t="shared" si="8"/>
        <v>17.5</v>
      </c>
      <c r="Q18" s="100">
        <f t="shared" si="8"/>
        <v>17.5</v>
      </c>
      <c r="R18" s="100">
        <f t="shared" si="8"/>
        <v>17.5</v>
      </c>
      <c r="S18" s="100">
        <f t="shared" si="8"/>
        <v>17.5</v>
      </c>
      <c r="T18" s="100">
        <f t="shared" si="8"/>
        <v>17.5</v>
      </c>
    </row>
    <row r="19" spans="2:21" outlineLevel="1" x14ac:dyDescent="0.2">
      <c r="B19" s="22" t="s">
        <v>172</v>
      </c>
      <c r="F19" s="41">
        <f t="shared" ref="F19:L19" si="9">F16/F17</f>
        <v>206.42424242424244</v>
      </c>
      <c r="G19" s="41">
        <f t="shared" si="9"/>
        <v>207.07142857142858</v>
      </c>
      <c r="H19" s="41">
        <f t="shared" si="9"/>
        <v>216.06896551724137</v>
      </c>
      <c r="I19" s="41">
        <f t="shared" si="9"/>
        <v>204.8</v>
      </c>
      <c r="J19" s="41">
        <f t="shared" si="9"/>
        <v>226.35555555555555</v>
      </c>
      <c r="K19" s="41">
        <f t="shared" si="9"/>
        <v>60.054347826086953</v>
      </c>
      <c r="L19" s="41">
        <f t="shared" si="9"/>
        <v>57.71875</v>
      </c>
      <c r="M19" s="41">
        <f>AVERAGE(K19:L19)</f>
        <v>58.886548913043477</v>
      </c>
      <c r="N19" s="41">
        <f>AVERAGE(K19:M19)</f>
        <v>58.886548913043477</v>
      </c>
      <c r="O19" s="41">
        <f>SUM(K19:N19)</f>
        <v>235.54619565217391</v>
      </c>
      <c r="P19" s="41">
        <f>O19*(1+P20)</f>
        <v>237.90165760869564</v>
      </c>
      <c r="Q19" s="41">
        <f>P19*(1+Q20)</f>
        <v>240.28067418478261</v>
      </c>
      <c r="R19" s="41">
        <f>Q19*(1+R20)</f>
        <v>242.68348092663044</v>
      </c>
      <c r="S19" s="41">
        <f>R19*(1+S20)</f>
        <v>245.11031573589673</v>
      </c>
      <c r="T19" s="41">
        <f>S19*(1+T20)</f>
        <v>247.56141889325571</v>
      </c>
    </row>
    <row r="20" spans="2:21" outlineLevel="1" x14ac:dyDescent="0.2">
      <c r="B20" s="11" t="s">
        <v>13</v>
      </c>
      <c r="F20" s="101">
        <f>IFERROR((F19-D19)/D19, 0)</f>
        <v>0</v>
      </c>
      <c r="G20" s="101">
        <f>IFERROR((G19-F19)/F19, 0)</f>
        <v>3.1352235550708837E-3</v>
      </c>
      <c r="H20" s="101">
        <f>IFERROR((H19-G19)/G19, 0)</f>
        <v>4.3451368486160387E-2</v>
      </c>
      <c r="I20" s="101">
        <f>IFERROR((I19-H19)/H19, 0)</f>
        <v>-5.2154484519629639E-2</v>
      </c>
      <c r="J20" s="101">
        <f>IFERROR((J19-I19)/I19, 0)</f>
        <v>0.10525173611111105</v>
      </c>
      <c r="K20" s="101">
        <v>0</v>
      </c>
      <c r="L20" s="101">
        <f>IFERROR((L19-K19)/K19, 0)</f>
        <v>-3.8891402714932077E-2</v>
      </c>
      <c r="M20" s="101">
        <f t="shared" ref="M20:T20" si="10">M$97</f>
        <v>2.5000000000000001E-3</v>
      </c>
      <c r="N20" s="101">
        <f t="shared" si="10"/>
        <v>2.5000000000000001E-3</v>
      </c>
      <c r="O20" s="101">
        <f t="shared" si="10"/>
        <v>2.5000000000000001E-3</v>
      </c>
      <c r="P20" s="101">
        <f t="shared" si="10"/>
        <v>0.01</v>
      </c>
      <c r="Q20" s="101">
        <f t="shared" si="10"/>
        <v>0.01</v>
      </c>
      <c r="R20" s="101">
        <f t="shared" si="10"/>
        <v>0.01</v>
      </c>
      <c r="S20" s="101">
        <f t="shared" si="10"/>
        <v>0.01</v>
      </c>
      <c r="T20" s="101">
        <f t="shared" si="10"/>
        <v>0.01</v>
      </c>
    </row>
    <row r="21" spans="2:21" outlineLevel="1" x14ac:dyDescent="0.2">
      <c r="B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1" outlineLevel="1" x14ac:dyDescent="0.2">
      <c r="B22" s="5" t="s">
        <v>96</v>
      </c>
      <c r="F22" s="98">
        <v>3880</v>
      </c>
      <c r="G22" s="98">
        <v>5230</v>
      </c>
      <c r="H22" s="98">
        <v>6808</v>
      </c>
      <c r="I22" s="98">
        <v>7777</v>
      </c>
      <c r="J22" s="98">
        <v>8497</v>
      </c>
      <c r="K22" s="98">
        <v>2110</v>
      </c>
      <c r="L22" s="98">
        <v>2143</v>
      </c>
      <c r="M22" s="98">
        <f t="shared" ref="M22:T22" si="11">M23*M25</f>
        <v>2212.8082250000002</v>
      </c>
      <c r="N22" s="98">
        <f t="shared" si="11"/>
        <v>2291.0285788515625</v>
      </c>
      <c r="O22" s="98">
        <f>SUM(K22:N22)</f>
        <v>8756.8368038515637</v>
      </c>
      <c r="P22" s="98">
        <f>P23*P25</f>
        <v>10001.537041235784</v>
      </c>
      <c r="Q22" s="98">
        <f t="shared" si="11"/>
        <v>10919.71270416824</v>
      </c>
      <c r="R22" s="98">
        <f t="shared" si="11"/>
        <v>11855.25172665522</v>
      </c>
      <c r="S22" s="98">
        <f t="shared" si="11"/>
        <v>12808.409558321524</v>
      </c>
      <c r="T22" s="98">
        <f t="shared" si="11"/>
        <v>13779.44502144849</v>
      </c>
      <c r="U22" s="77">
        <f>(T22/O22)^(1/5)-1</f>
        <v>9.4906147179120159E-2</v>
      </c>
    </row>
    <row r="23" spans="2:21" outlineLevel="1" x14ac:dyDescent="0.2">
      <c r="B23" s="22" t="s">
        <v>169</v>
      </c>
      <c r="F23" s="1">
        <v>49</v>
      </c>
      <c r="G23" s="1">
        <v>61</v>
      </c>
      <c r="H23" s="1">
        <v>70</v>
      </c>
      <c r="I23" s="1">
        <v>73</v>
      </c>
      <c r="J23" s="1">
        <v>78</v>
      </c>
      <c r="K23" s="1">
        <v>80</v>
      </c>
      <c r="L23" s="1">
        <v>80</v>
      </c>
      <c r="M23" s="41">
        <f>L23+M24</f>
        <v>82.4</v>
      </c>
      <c r="N23" s="41">
        <f>M23+N24</f>
        <v>85.100000000000009</v>
      </c>
      <c r="O23" s="41">
        <f>N23</f>
        <v>85.100000000000009</v>
      </c>
      <c r="P23" s="41">
        <f t="shared" ref="P23:T23" si="12">O23+P24</f>
        <v>92.600000000000009</v>
      </c>
      <c r="Q23" s="41">
        <f t="shared" si="12"/>
        <v>100.10000000000001</v>
      </c>
      <c r="R23" s="41">
        <f t="shared" si="12"/>
        <v>107.60000000000001</v>
      </c>
      <c r="S23" s="41">
        <f t="shared" si="12"/>
        <v>115.10000000000001</v>
      </c>
      <c r="T23" s="41">
        <f t="shared" si="12"/>
        <v>122.60000000000001</v>
      </c>
    </row>
    <row r="24" spans="2:21" outlineLevel="1" x14ac:dyDescent="0.2">
      <c r="B24" s="11" t="s">
        <v>171</v>
      </c>
      <c r="F24" s="99">
        <v>0</v>
      </c>
      <c r="G24" s="100">
        <f>G23-F23</f>
        <v>12</v>
      </c>
      <c r="H24" s="100">
        <f t="shared" ref="H24" si="13">H23-G23</f>
        <v>9</v>
      </c>
      <c r="I24" s="100">
        <f t="shared" ref="I24" si="14">I23-H23</f>
        <v>3</v>
      </c>
      <c r="J24" s="100">
        <f t="shared" ref="J24" si="15">J23-I23</f>
        <v>5</v>
      </c>
      <c r="K24" s="100">
        <f>K23-J23</f>
        <v>2</v>
      </c>
      <c r="L24" s="100">
        <f>L23-K23</f>
        <v>0</v>
      </c>
      <c r="M24" s="100">
        <f>M$9*M13</f>
        <v>2.4</v>
      </c>
      <c r="N24" s="100">
        <f>N$9*N13</f>
        <v>2.6999999999999997</v>
      </c>
      <c r="O24" s="100">
        <f>SUM(K24:N24)</f>
        <v>7.1</v>
      </c>
      <c r="P24" s="100">
        <f>P$9*P13</f>
        <v>7.5</v>
      </c>
      <c r="Q24" s="100">
        <f>Q$9*Q13</f>
        <v>7.5</v>
      </c>
      <c r="R24" s="100">
        <f t="shared" ref="R24:T24" si="16">R$9*R13</f>
        <v>7.5</v>
      </c>
      <c r="S24" s="100">
        <f t="shared" si="16"/>
        <v>7.5</v>
      </c>
      <c r="T24" s="100">
        <f t="shared" si="16"/>
        <v>7.5</v>
      </c>
    </row>
    <row r="25" spans="2:21" outlineLevel="1" x14ac:dyDescent="0.2">
      <c r="B25" s="22" t="s">
        <v>172</v>
      </c>
      <c r="F25" s="41">
        <f t="shared" ref="F25:I25" si="17">F22/F23</f>
        <v>79.183673469387756</v>
      </c>
      <c r="G25" s="41">
        <f t="shared" si="17"/>
        <v>85.73770491803279</v>
      </c>
      <c r="H25" s="41">
        <f t="shared" si="17"/>
        <v>97.257142857142853</v>
      </c>
      <c r="I25" s="41">
        <f t="shared" si="17"/>
        <v>106.53424657534246</v>
      </c>
      <c r="J25" s="41">
        <f>J22/J23</f>
        <v>108.93589743589743</v>
      </c>
      <c r="K25" s="41">
        <f>K22/K23</f>
        <v>26.375</v>
      </c>
      <c r="L25" s="41">
        <f>L22/L23</f>
        <v>26.787500000000001</v>
      </c>
      <c r="M25" s="41">
        <f>L25*(1+M26)</f>
        <v>26.854468749999999</v>
      </c>
      <c r="N25" s="41">
        <f>M25*(1+N26)</f>
        <v>26.921604921874998</v>
      </c>
      <c r="O25" s="41">
        <f>SUM(K25:N25)</f>
        <v>106.93857367187501</v>
      </c>
      <c r="P25" s="41">
        <f>O25*(1+P26)</f>
        <v>108.00795940859376</v>
      </c>
      <c r="Q25" s="41">
        <f t="shared" ref="Q25:T25" si="18">P25*(1+Q26)</f>
        <v>109.08803900267971</v>
      </c>
      <c r="R25" s="41">
        <f t="shared" si="18"/>
        <v>110.1789193927065</v>
      </c>
      <c r="S25" s="41">
        <f t="shared" si="18"/>
        <v>111.28070858663357</v>
      </c>
      <c r="T25" s="41">
        <f t="shared" si="18"/>
        <v>112.3935156724999</v>
      </c>
    </row>
    <row r="26" spans="2:21" outlineLevel="1" x14ac:dyDescent="0.2">
      <c r="B26" s="11" t="s">
        <v>13</v>
      </c>
      <c r="F26" s="101">
        <f>IFERROR((F25-D25)/D25, 0)</f>
        <v>0</v>
      </c>
      <c r="G26" s="101">
        <f>IFERROR((G25-F25)/F25, 0)</f>
        <v>8.2769984789589343E-2</v>
      </c>
      <c r="H26" s="101">
        <f>IFERROR((H25-G25)/G25, 0)</f>
        <v>0.13435673313302368</v>
      </c>
      <c r="I26" s="101">
        <f>IFERROR((I25-H25)/H25, 0)</f>
        <v>9.5387376655988967E-2</v>
      </c>
      <c r="J26" s="101">
        <f>IFERROR((J25-I25)/I25, 0)</f>
        <v>2.2543463137522503E-2</v>
      </c>
      <c r="K26" s="101">
        <v>0</v>
      </c>
      <c r="L26" s="101">
        <f>IFERROR((L25-K25)/K25, 0)</f>
        <v>1.5639810426540338E-2</v>
      </c>
      <c r="M26" s="101">
        <f t="shared" ref="M26:T26" si="19">M$97</f>
        <v>2.5000000000000001E-3</v>
      </c>
      <c r="N26" s="101">
        <f t="shared" si="19"/>
        <v>2.5000000000000001E-3</v>
      </c>
      <c r="O26" s="101">
        <f t="shared" si="19"/>
        <v>2.5000000000000001E-3</v>
      </c>
      <c r="P26" s="101">
        <f t="shared" si="19"/>
        <v>0.01</v>
      </c>
      <c r="Q26" s="101">
        <f t="shared" si="19"/>
        <v>0.01</v>
      </c>
      <c r="R26" s="101">
        <f t="shared" si="19"/>
        <v>0.01</v>
      </c>
      <c r="S26" s="101">
        <f t="shared" si="19"/>
        <v>0.01</v>
      </c>
      <c r="T26" s="101">
        <f t="shared" si="19"/>
        <v>0.01</v>
      </c>
    </row>
    <row r="27" spans="2:21" outlineLevel="1" x14ac:dyDescent="0.2">
      <c r="B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1" outlineLevel="1" x14ac:dyDescent="0.2">
      <c r="B28" s="5" t="s">
        <v>209</v>
      </c>
      <c r="F28" s="98">
        <v>796</v>
      </c>
      <c r="G28" s="98">
        <v>994</v>
      </c>
      <c r="H28" s="98">
        <v>1117</v>
      </c>
      <c r="I28" s="98">
        <v>1184</v>
      </c>
      <c r="J28" s="98">
        <v>1267</v>
      </c>
      <c r="K28" s="98">
        <v>254</v>
      </c>
      <c r="L28" s="98">
        <v>277</v>
      </c>
      <c r="M28" s="98">
        <f t="shared" ref="M28:T28" si="20">M29*M31</f>
        <v>277.69249999999994</v>
      </c>
      <c r="N28" s="98">
        <f t="shared" si="20"/>
        <v>278.38673124999991</v>
      </c>
      <c r="O28" s="98">
        <f>SUM(K28:N28)</f>
        <v>1087.0792312499998</v>
      </c>
      <c r="P28" s="98">
        <f t="shared" si="20"/>
        <v>1097.9500235624998</v>
      </c>
      <c r="Q28" s="98">
        <f t="shared" si="20"/>
        <v>1108.9295237981248</v>
      </c>
      <c r="R28" s="98">
        <f t="shared" si="20"/>
        <v>1120.0188190361062</v>
      </c>
      <c r="S28" s="98">
        <f t="shared" si="20"/>
        <v>1131.2190072264671</v>
      </c>
      <c r="T28" s="98">
        <f t="shared" si="20"/>
        <v>1142.531197298732</v>
      </c>
      <c r="U28" s="77">
        <f>(T28/O28)^(1/5)-1</f>
        <v>1.0000000000000009E-2</v>
      </c>
    </row>
    <row r="29" spans="2:21" outlineLevel="1" x14ac:dyDescent="0.2">
      <c r="B29" s="22" t="s">
        <v>169</v>
      </c>
      <c r="F29" s="41">
        <v>77</v>
      </c>
      <c r="G29" s="41">
        <v>99</v>
      </c>
      <c r="H29" s="41">
        <v>104</v>
      </c>
      <c r="I29" s="41">
        <v>105</v>
      </c>
      <c r="J29" s="41">
        <v>104</v>
      </c>
      <c r="K29" s="41">
        <v>104</v>
      </c>
      <c r="L29" s="41">
        <v>104</v>
      </c>
      <c r="M29" s="41">
        <f>L29</f>
        <v>104</v>
      </c>
      <c r="N29" s="41">
        <f t="shared" ref="N29:T29" si="21">M29</f>
        <v>104</v>
      </c>
      <c r="O29" s="41">
        <f t="shared" si="21"/>
        <v>104</v>
      </c>
      <c r="P29" s="41">
        <f t="shared" si="21"/>
        <v>104</v>
      </c>
      <c r="Q29" s="41">
        <f t="shared" si="21"/>
        <v>104</v>
      </c>
      <c r="R29" s="41">
        <f t="shared" si="21"/>
        <v>104</v>
      </c>
      <c r="S29" s="41">
        <f t="shared" si="21"/>
        <v>104</v>
      </c>
      <c r="T29" s="41">
        <f t="shared" si="21"/>
        <v>104</v>
      </c>
    </row>
    <row r="30" spans="2:21" outlineLevel="1" x14ac:dyDescent="0.2">
      <c r="B30" s="11" t="s">
        <v>171</v>
      </c>
      <c r="F30" s="99">
        <v>0</v>
      </c>
      <c r="G30" s="100">
        <f>G29-F29</f>
        <v>22</v>
      </c>
      <c r="H30" s="100">
        <f t="shared" ref="H30" si="22">H29-G29</f>
        <v>5</v>
      </c>
      <c r="I30" s="100">
        <f t="shared" ref="I30" si="23">I29-H29</f>
        <v>1</v>
      </c>
      <c r="J30" s="100">
        <f t="shared" ref="J30" si="24">J29-I29</f>
        <v>-1</v>
      </c>
      <c r="K30" s="100">
        <f>K29-J29</f>
        <v>0</v>
      </c>
      <c r="L30" s="100">
        <f t="shared" ref="L30:T30" si="25">L29-K29</f>
        <v>0</v>
      </c>
      <c r="M30" s="100">
        <f t="shared" si="25"/>
        <v>0</v>
      </c>
      <c r="N30" s="100">
        <f>N29-M29</f>
        <v>0</v>
      </c>
      <c r="O30" s="100">
        <f>SUM(K30:N30)</f>
        <v>0</v>
      </c>
      <c r="P30" s="100">
        <f>P29-O29</f>
        <v>0</v>
      </c>
      <c r="Q30" s="100">
        <f>Q29-P29</f>
        <v>0</v>
      </c>
      <c r="R30" s="100">
        <f>R29-Q29</f>
        <v>0</v>
      </c>
      <c r="S30" s="100">
        <f t="shared" si="25"/>
        <v>0</v>
      </c>
      <c r="T30" s="100">
        <f t="shared" si="25"/>
        <v>0</v>
      </c>
    </row>
    <row r="31" spans="2:21" outlineLevel="1" x14ac:dyDescent="0.2">
      <c r="B31" s="22" t="s">
        <v>172</v>
      </c>
      <c r="F31" s="41">
        <f t="shared" ref="F31:L31" si="26">F28/F29</f>
        <v>10.337662337662337</v>
      </c>
      <c r="G31" s="41">
        <f t="shared" si="26"/>
        <v>10.04040404040404</v>
      </c>
      <c r="H31" s="41">
        <f t="shared" si="26"/>
        <v>10.740384615384615</v>
      </c>
      <c r="I31" s="41">
        <f t="shared" si="26"/>
        <v>11.276190476190477</v>
      </c>
      <c r="J31" s="41">
        <f t="shared" si="26"/>
        <v>12.182692307692308</v>
      </c>
      <c r="K31" s="41">
        <f t="shared" si="26"/>
        <v>2.4423076923076925</v>
      </c>
      <c r="L31" s="41">
        <f t="shared" si="26"/>
        <v>2.6634615384615383</v>
      </c>
      <c r="M31" s="41">
        <f>L31*(1+M32)</f>
        <v>2.6701201923076918</v>
      </c>
      <c r="N31" s="41">
        <f>M31*(1+N32)</f>
        <v>2.676795492788461</v>
      </c>
      <c r="O31" s="41">
        <f>SUM(K31:N31)</f>
        <v>10.452684915865383</v>
      </c>
      <c r="P31" s="41">
        <f>O31*(1+P32)</f>
        <v>10.557211765024038</v>
      </c>
      <c r="Q31" s="41">
        <f>P31*(1+Q32)</f>
        <v>10.662783882674278</v>
      </c>
      <c r="R31" s="41">
        <f>Q31*(1+R32)</f>
        <v>10.769411721501021</v>
      </c>
      <c r="S31" s="41">
        <f>R31*(1+S32)</f>
        <v>10.87710583871603</v>
      </c>
      <c r="T31" s="41">
        <f t="shared" ref="T31" si="27">S31*(1+T32)</f>
        <v>10.985876897103191</v>
      </c>
    </row>
    <row r="32" spans="2:21" outlineLevel="1" x14ac:dyDescent="0.2">
      <c r="B32" s="11" t="s">
        <v>13</v>
      </c>
      <c r="F32" s="101">
        <f>IFERROR((F31-D31)/D31, 0)</f>
        <v>0</v>
      </c>
      <c r="G32" s="101">
        <f>IFERROR((G31-F31)/F31, 0)</f>
        <v>-2.8754885538805147E-2</v>
      </c>
      <c r="H32" s="101">
        <f>IFERROR((H31-G31)/G31, 0)</f>
        <v>6.9716375174121673E-2</v>
      </c>
      <c r="I32" s="101">
        <f>IFERROR((I31-H31)/H31, 0)</f>
        <v>4.9887027326597722E-2</v>
      </c>
      <c r="J32" s="101">
        <f>IFERROR((J31-I31)/I31, 0)</f>
        <v>8.039078742203741E-2</v>
      </c>
      <c r="K32" s="101">
        <v>0</v>
      </c>
      <c r="L32" s="101">
        <f>IFERROR((L31-K31)/K31, 0)</f>
        <v>9.0551181102362058E-2</v>
      </c>
      <c r="M32" s="101">
        <f t="shared" ref="M32:T32" si="28">M$97</f>
        <v>2.5000000000000001E-3</v>
      </c>
      <c r="N32" s="101">
        <f t="shared" si="28"/>
        <v>2.5000000000000001E-3</v>
      </c>
      <c r="O32" s="101">
        <f t="shared" si="28"/>
        <v>2.5000000000000001E-3</v>
      </c>
      <c r="P32" s="101">
        <f t="shared" si="28"/>
        <v>0.01</v>
      </c>
      <c r="Q32" s="101">
        <f t="shared" si="28"/>
        <v>0.01</v>
      </c>
      <c r="R32" s="101">
        <f t="shared" si="28"/>
        <v>0.01</v>
      </c>
      <c r="S32" s="101">
        <f t="shared" si="28"/>
        <v>0.01</v>
      </c>
      <c r="T32" s="101">
        <f t="shared" si="28"/>
        <v>0.01</v>
      </c>
    </row>
    <row r="33" spans="2:28" outlineLevel="1" x14ac:dyDescent="0.2"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2:28" outlineLevel="1" x14ac:dyDescent="0.2">
      <c r="B34" s="5" t="s">
        <v>98</v>
      </c>
      <c r="F34" s="98">
        <v>2866</v>
      </c>
      <c r="G34" s="98">
        <v>3019</v>
      </c>
      <c r="H34" s="98">
        <v>4072</v>
      </c>
      <c r="I34" s="98">
        <v>4901</v>
      </c>
      <c r="J34" s="98">
        <v>6249</v>
      </c>
      <c r="K34" s="98">
        <v>1816</v>
      </c>
      <c r="L34" s="98">
        <v>1986</v>
      </c>
      <c r="M34" s="98">
        <f>M35*M37*1000</f>
        <v>1995.9424124999994</v>
      </c>
      <c r="N34" s="98">
        <f>N35*N37*1000</f>
        <v>2005.9345992025771</v>
      </c>
      <c r="O34" s="98">
        <f>SUM(K34:N34)</f>
        <v>7803.877011702577</v>
      </c>
      <c r="P34" s="98">
        <f>P35*P37*1000</f>
        <v>8295.9922647024869</v>
      </c>
      <c r="Q34" s="98">
        <f>Q35*Q37*1000</f>
        <v>8462.741709223008</v>
      </c>
      <c r="R34" s="98">
        <f>R35*R37*1000</f>
        <v>8632.842817578392</v>
      </c>
      <c r="S34" s="98">
        <f t="shared" ref="S34:T34" si="29">S35*S37*1000</f>
        <v>8806.3629582117173</v>
      </c>
      <c r="T34" s="98">
        <f t="shared" si="29"/>
        <v>8983.3708536717731</v>
      </c>
      <c r="U34" s="77">
        <f>(T34/O34)^(1/5)-1</f>
        <v>2.855088563734598E-2</v>
      </c>
    </row>
    <row r="35" spans="2:28" outlineLevel="1" x14ac:dyDescent="0.2">
      <c r="B35" s="22" t="s">
        <v>170</v>
      </c>
      <c r="F35" s="102">
        <v>2.09</v>
      </c>
      <c r="G35" s="102">
        <v>2.226</v>
      </c>
      <c r="H35" s="102">
        <v>2.87</v>
      </c>
      <c r="I35" s="102">
        <v>3.9089999999999998</v>
      </c>
      <c r="J35" s="102">
        <v>4.4429999999999996</v>
      </c>
      <c r="K35" s="102">
        <v>4.7750000000000004</v>
      </c>
      <c r="L35" s="102">
        <v>5.5720000000000001</v>
      </c>
      <c r="M35" s="102">
        <f>L35*(1+M36)</f>
        <v>5.5859299999999994</v>
      </c>
      <c r="N35" s="102">
        <f>M35*(1+N36)</f>
        <v>5.5998948249999989</v>
      </c>
      <c r="O35" s="102">
        <f>N35</f>
        <v>5.5998948249999989</v>
      </c>
      <c r="P35" s="102">
        <f>O35*(1+P36)</f>
        <v>5.655893773249999</v>
      </c>
      <c r="Q35" s="102">
        <f>P35*(1+Q36)</f>
        <v>5.7124527109824994</v>
      </c>
      <c r="R35" s="102">
        <f>Q35*(1+R36)</f>
        <v>5.7695772380923245</v>
      </c>
      <c r="S35" s="102">
        <f>R35*(1+S36)</f>
        <v>5.827273010473248</v>
      </c>
      <c r="T35" s="102">
        <f>S35*(1+T36)</f>
        <v>5.8855457405779807</v>
      </c>
    </row>
    <row r="36" spans="2:28" outlineLevel="1" x14ac:dyDescent="0.2">
      <c r="B36" s="11" t="s">
        <v>13</v>
      </c>
      <c r="F36" s="4">
        <f>IFERROR((F35-D35)/D35, 0)</f>
        <v>0</v>
      </c>
      <c r="G36" s="4">
        <f t="shared" ref="G36:L36" si="30">IFERROR((G35-F35)/F35, 0)</f>
        <v>6.5071770334928294E-2</v>
      </c>
      <c r="H36" s="4">
        <f t="shared" si="30"/>
        <v>0.28930817610062898</v>
      </c>
      <c r="I36" s="4">
        <f t="shared" si="30"/>
        <v>0.36202090592334485</v>
      </c>
      <c r="J36" s="4">
        <f t="shared" si="30"/>
        <v>0.13660782808902527</v>
      </c>
      <c r="K36" s="4">
        <f>IFERROR((K35-J35)/J35, 0)</f>
        <v>7.4724285392752818E-2</v>
      </c>
      <c r="L36" s="4">
        <f t="shared" si="30"/>
        <v>0.16691099476439783</v>
      </c>
      <c r="M36" s="4">
        <f t="shared" ref="M36:T36" si="31">M$97</f>
        <v>2.5000000000000001E-3</v>
      </c>
      <c r="N36" s="4">
        <f t="shared" si="31"/>
        <v>2.5000000000000001E-3</v>
      </c>
      <c r="O36" s="4">
        <f t="shared" si="31"/>
        <v>2.5000000000000001E-3</v>
      </c>
      <c r="P36" s="4">
        <f t="shared" si="31"/>
        <v>0.01</v>
      </c>
      <c r="Q36" s="4">
        <f t="shared" si="31"/>
        <v>0.01</v>
      </c>
      <c r="R36" s="4">
        <f t="shared" si="31"/>
        <v>0.01</v>
      </c>
      <c r="S36" s="4">
        <f t="shared" si="31"/>
        <v>0.01</v>
      </c>
      <c r="T36" s="4">
        <f t="shared" si="31"/>
        <v>0.01</v>
      </c>
    </row>
    <row r="37" spans="2:28" outlineLevel="1" x14ac:dyDescent="0.2">
      <c r="B37" s="1" t="s">
        <v>173</v>
      </c>
      <c r="F37" s="102">
        <f t="shared" ref="F37:L37" si="32">(F34/F35)/(1000)</f>
        <v>1.3712918660287081</v>
      </c>
      <c r="G37" s="102">
        <f t="shared" si="32"/>
        <v>1.3562443845462713</v>
      </c>
      <c r="H37" s="102">
        <f t="shared" si="32"/>
        <v>1.4188153310104528</v>
      </c>
      <c r="I37" s="102">
        <f t="shared" si="32"/>
        <v>1.2537733435661296</v>
      </c>
      <c r="J37" s="102">
        <f t="shared" si="32"/>
        <v>1.4064821066846724</v>
      </c>
      <c r="K37" s="102">
        <f t="shared" si="32"/>
        <v>0.38031413612565446</v>
      </c>
      <c r="L37" s="102">
        <f t="shared" si="32"/>
        <v>0.35642498205312273</v>
      </c>
      <c r="M37" s="102">
        <f>L37*(1+M38)</f>
        <v>0.35731604450825549</v>
      </c>
      <c r="N37" s="102">
        <f>M37*(1+N38)</f>
        <v>0.35820933461952609</v>
      </c>
      <c r="O37" s="102">
        <f>SUM(K37:N37)</f>
        <v>1.4522644973065588</v>
      </c>
      <c r="P37" s="102">
        <f>O37*(1+P38)</f>
        <v>1.4667871422796244</v>
      </c>
      <c r="Q37" s="102">
        <f>P37*(1+Q38)</f>
        <v>1.4814550137024207</v>
      </c>
      <c r="R37" s="102">
        <f>Q37*(1+R38)</f>
        <v>1.496269563839445</v>
      </c>
      <c r="S37" s="102">
        <f>R37*(1+S38)</f>
        <v>1.5112322594778393</v>
      </c>
      <c r="T37" s="102">
        <f>S37*(1+T38)</f>
        <v>1.5263445820726178</v>
      </c>
    </row>
    <row r="38" spans="2:28" outlineLevel="1" x14ac:dyDescent="0.2">
      <c r="B38" s="11" t="s">
        <v>13</v>
      </c>
      <c r="F38" s="101">
        <f>IFERROR((F37-D37)/D37, 0)</f>
        <v>0</v>
      </c>
      <c r="G38" s="101">
        <f>IFERROR((G37-F37)/F37, 0)</f>
        <v>-1.0973215735622122E-2</v>
      </c>
      <c r="H38" s="101">
        <f>IFERROR((H37-G37)/G37, 0)</f>
        <v>4.6135451086210005E-2</v>
      </c>
      <c r="I38" s="101">
        <f>IFERROR((I37-H37)/H37, 0)</f>
        <v>-0.11632379763389185</v>
      </c>
      <c r="J38" s="101">
        <f>IFERROR((J37-I37)/I37, 0)</f>
        <v>0.12179933789642604</v>
      </c>
      <c r="K38" s="101">
        <v>0</v>
      </c>
      <c r="L38" s="101">
        <f>IFERROR((L37-K37)/K37, 0)</f>
        <v>-6.2814268004591958E-2</v>
      </c>
      <c r="M38" s="101">
        <f t="shared" ref="M38:T38" si="33">M$97</f>
        <v>2.5000000000000001E-3</v>
      </c>
      <c r="N38" s="101">
        <f t="shared" si="33"/>
        <v>2.5000000000000001E-3</v>
      </c>
      <c r="O38" s="101">
        <f t="shared" si="33"/>
        <v>2.5000000000000001E-3</v>
      </c>
      <c r="P38" s="101">
        <f t="shared" si="33"/>
        <v>0.01</v>
      </c>
      <c r="Q38" s="101">
        <f t="shared" si="33"/>
        <v>0.01</v>
      </c>
      <c r="R38" s="101">
        <f t="shared" si="33"/>
        <v>0.01</v>
      </c>
      <c r="S38" s="101">
        <f t="shared" si="33"/>
        <v>0.01</v>
      </c>
      <c r="T38" s="101">
        <f t="shared" si="33"/>
        <v>0.01</v>
      </c>
    </row>
    <row r="39" spans="2:28" outlineLevel="1" x14ac:dyDescent="0.2">
      <c r="B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8" outlineLevel="1" x14ac:dyDescent="0.2">
      <c r="B40" s="5" t="s">
        <v>174</v>
      </c>
      <c r="F40" s="43">
        <f t="shared" ref="F40:T40" si="34">SUM(F34, F28, F22, F16)</f>
        <v>14354</v>
      </c>
      <c r="G40" s="43">
        <f t="shared" si="34"/>
        <v>17940</v>
      </c>
      <c r="H40" s="43">
        <f t="shared" si="34"/>
        <v>24529</v>
      </c>
      <c r="I40" s="43">
        <f t="shared" si="34"/>
        <v>30246</v>
      </c>
      <c r="J40" s="43">
        <f t="shared" si="34"/>
        <v>36385</v>
      </c>
      <c r="K40" s="43">
        <f t="shared" si="34"/>
        <v>9705</v>
      </c>
      <c r="L40" s="43">
        <f t="shared" si="34"/>
        <v>9947</v>
      </c>
      <c r="M40" s="43">
        <f t="shared" si="34"/>
        <v>10469.316507065218</v>
      </c>
      <c r="N40" s="43">
        <f t="shared" si="34"/>
        <v>10929.20853702153</v>
      </c>
      <c r="O40" s="43">
        <f t="shared" si="34"/>
        <v>41050.525044086746</v>
      </c>
      <c r="P40" s="43">
        <f t="shared" si="34"/>
        <v>49228.347193631198</v>
      </c>
      <c r="Q40" s="43">
        <f t="shared" si="34"/>
        <v>54827.492278194797</v>
      </c>
      <c r="R40" s="43">
        <f t="shared" si="34"/>
        <v>60534.543703901232</v>
      </c>
      <c r="S40" s="43">
        <f t="shared" si="34"/>
        <v>66351.116693175733</v>
      </c>
      <c r="T40" s="43">
        <f t="shared" si="34"/>
        <v>72278.848324161154</v>
      </c>
      <c r="U40" s="77">
        <f>(T40/O40)^(1/5)-1</f>
        <v>0.11979494214980235</v>
      </c>
    </row>
    <row r="41" spans="2:28" outlineLevel="1" x14ac:dyDescent="0.2">
      <c r="B41" s="1" t="s">
        <v>99</v>
      </c>
      <c r="F41" s="41">
        <f>-(F40-F44)</f>
        <v>-1957</v>
      </c>
      <c r="G41" s="41">
        <f t="shared" ref="G41:L41" si="35">-(G40-G44)</f>
        <v>-2063.1000000000004</v>
      </c>
      <c r="H41" s="41">
        <f t="shared" si="35"/>
        <v>-2760.5</v>
      </c>
      <c r="I41" s="41">
        <f t="shared" si="35"/>
        <v>-3472.4000000000015</v>
      </c>
      <c r="J41" s="41">
        <f t="shared" si="35"/>
        <v>-4299.5999999999985</v>
      </c>
      <c r="K41" s="41">
        <f t="shared" si="35"/>
        <v>-1373.7000000000007</v>
      </c>
      <c r="L41" s="41">
        <f t="shared" si="35"/>
        <v>-1167.3999999999996</v>
      </c>
      <c r="M41" s="41">
        <f>M40*M42</f>
        <v>-1237.1546861007996</v>
      </c>
      <c r="N41" s="41">
        <f>N40*N42</f>
        <v>-1291.499931998839</v>
      </c>
      <c r="O41" s="41">
        <f>SUM(K41:N41)</f>
        <v>-5069.7546180996387</v>
      </c>
      <c r="P41" s="41">
        <f>P40*P42</f>
        <v>-5817.2928842582551</v>
      </c>
      <c r="Q41" s="41">
        <f>Q40*Q42</f>
        <v>-6478.9414813611729</v>
      </c>
      <c r="R41" s="41">
        <f>R40*R42</f>
        <v>-7153.3413249771511</v>
      </c>
      <c r="S41" s="41">
        <f>S40*S42</f>
        <v>-7840.6832852543157</v>
      </c>
      <c r="T41" s="41">
        <f>T40*T42</f>
        <v>-8541.1608150216616</v>
      </c>
    </row>
    <row r="42" spans="2:28" outlineLevel="1" x14ac:dyDescent="0.2">
      <c r="B42" s="11" t="s">
        <v>12</v>
      </c>
      <c r="F42" s="4">
        <f t="shared" ref="F42:L42" si="36">F41/F40</f>
        <v>-0.13633830291208027</v>
      </c>
      <c r="G42" s="4">
        <f t="shared" si="36"/>
        <v>-0.11500000000000002</v>
      </c>
      <c r="H42" s="4">
        <f t="shared" si="36"/>
        <v>-0.11254025846956664</v>
      </c>
      <c r="I42" s="4">
        <f t="shared" si="36"/>
        <v>-0.11480526350591819</v>
      </c>
      <c r="J42" s="4">
        <f t="shared" si="36"/>
        <v>-0.11816957537446746</v>
      </c>
      <c r="K42" s="4">
        <f t="shared" si="36"/>
        <v>-0.14154559505409589</v>
      </c>
      <c r="L42" s="4">
        <f t="shared" si="36"/>
        <v>-0.11736201869910522</v>
      </c>
      <c r="M42" s="4">
        <f>$J$42</f>
        <v>-0.11816957537446746</v>
      </c>
      <c r="N42" s="4">
        <f>$J$42</f>
        <v>-0.11816957537446746</v>
      </c>
      <c r="O42" s="4">
        <f>$J$42</f>
        <v>-0.11816957537446746</v>
      </c>
      <c r="P42" s="4">
        <f>$J$42</f>
        <v>-0.11816957537446746</v>
      </c>
      <c r="Q42" s="4">
        <f t="shared" ref="Q42:T42" si="37">$J$42</f>
        <v>-0.11816957537446746</v>
      </c>
      <c r="R42" s="4">
        <f t="shared" si="37"/>
        <v>-0.11816957537446746</v>
      </c>
      <c r="S42" s="4">
        <f t="shared" si="37"/>
        <v>-0.11816957537446746</v>
      </c>
      <c r="T42" s="4">
        <f t="shared" si="37"/>
        <v>-0.11816957537446746</v>
      </c>
    </row>
    <row r="43" spans="2:28" outlineLevel="1" x14ac:dyDescent="0.2">
      <c r="B43" s="5"/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spans="2:28" x14ac:dyDescent="0.2">
      <c r="B44" s="5" t="s">
        <v>78</v>
      </c>
      <c r="C44" s="5"/>
      <c r="D44" s="5"/>
      <c r="E44" s="5"/>
      <c r="F44" s="43">
        <v>12397</v>
      </c>
      <c r="G44" s="43">
        <v>15876.9</v>
      </c>
      <c r="H44" s="43">
        <v>21768.5</v>
      </c>
      <c r="I44" s="43">
        <v>26773.599999999999</v>
      </c>
      <c r="J44" s="43">
        <v>32085.4</v>
      </c>
      <c r="K44" s="43">
        <v>8331.2999999999993</v>
      </c>
      <c r="L44" s="43">
        <v>8779.6</v>
      </c>
      <c r="M44" s="43">
        <f>SUM(M40, M41)</f>
        <v>9232.1618209644184</v>
      </c>
      <c r="N44" s="43">
        <f t="shared" ref="N44:T44" si="38">SUM(N40, N41)</f>
        <v>9637.7086050226917</v>
      </c>
      <c r="O44" s="43">
        <f t="shared" si="38"/>
        <v>35980.77042598711</v>
      </c>
      <c r="P44" s="43">
        <f t="shared" si="38"/>
        <v>43411.054309372943</v>
      </c>
      <c r="Q44" s="43">
        <f t="shared" si="38"/>
        <v>48348.550796833624</v>
      </c>
      <c r="R44" s="43">
        <f t="shared" si="38"/>
        <v>53381.202378924077</v>
      </c>
      <c r="S44" s="43">
        <f t="shared" si="38"/>
        <v>58510.433407921417</v>
      </c>
      <c r="T44" s="43">
        <f t="shared" si="38"/>
        <v>63737.68750913949</v>
      </c>
      <c r="U44" s="77">
        <f>(T44/O44)^(1/5)-1</f>
        <v>0.1211537370628073</v>
      </c>
    </row>
    <row r="45" spans="2:28" x14ac:dyDescent="0.2">
      <c r="B45" s="11" t="s">
        <v>13</v>
      </c>
      <c r="C45" s="12"/>
      <c r="D45" s="12"/>
      <c r="E45" s="12"/>
      <c r="F45" s="4">
        <f>IFERROR((F44-D44)/D44, 0)</f>
        <v>0</v>
      </c>
      <c r="G45" s="4">
        <f>IFERROR((G44-F44)/F44, 0)</f>
        <v>0.28070500927643782</v>
      </c>
      <c r="H45" s="4">
        <f t="shared" ref="H45:T45" si="39">IFERROR((H44-G44)/G44, 0)</f>
        <v>0.37107999672480146</v>
      </c>
      <c r="I45" s="4">
        <f t="shared" si="39"/>
        <v>0.22992397271286485</v>
      </c>
      <c r="J45" s="4">
        <f t="shared" si="39"/>
        <v>0.19839692831744715</v>
      </c>
      <c r="K45" s="4">
        <v>0</v>
      </c>
      <c r="L45" s="4">
        <f>IFERROR((L44-K44)/K44, 0)</f>
        <v>5.3809129427580468E-2</v>
      </c>
      <c r="M45" s="4">
        <f>IFERROR((M44-L44)/L44, 0)</f>
        <v>5.1546974915077912E-2</v>
      </c>
      <c r="N45" s="4">
        <f>IFERROR((N44-M44)/M44, 0)</f>
        <v>4.3927607847747699E-2</v>
      </c>
      <c r="O45" s="4">
        <f>IFERROR((O44-J44)/J44, 0)</f>
        <v>0.1214063226884224</v>
      </c>
      <c r="P45" s="4">
        <f>IFERROR((P44-O44)/O44, 0)</f>
        <v>0.20650708129416015</v>
      </c>
      <c r="Q45" s="4">
        <f>IFERROR((Q44-P44)/P44, 0)</f>
        <v>0.11373823018149133</v>
      </c>
      <c r="R45" s="4">
        <f>IFERROR((R44-Q44)/Q44, 0)</f>
        <v>0.10409105338520394</v>
      </c>
      <c r="S45" s="4">
        <f>IFERROR((S44-R44)/R44, 0)</f>
        <v>9.6086839569249904E-2</v>
      </c>
      <c r="T45" s="4">
        <f t="shared" si="39"/>
        <v>8.9338837481767547E-2</v>
      </c>
      <c r="U45" s="48"/>
    </row>
    <row r="46" spans="2:28" x14ac:dyDescent="0.2">
      <c r="B46" s="1" t="s">
        <v>5</v>
      </c>
      <c r="F46" s="42">
        <v>-9407.6</v>
      </c>
      <c r="G46" s="42">
        <v>-12174.4</v>
      </c>
      <c r="H46" s="42">
        <v>-17088.400000000001</v>
      </c>
      <c r="I46" s="42">
        <v>-21113</v>
      </c>
      <c r="J46" s="42">
        <v>-25019.3</v>
      </c>
      <c r="K46" s="42">
        <v>-6472.8</v>
      </c>
      <c r="L46" s="42">
        <v>-6818.6</v>
      </c>
      <c r="M46" s="42">
        <f>M44*-M99</f>
        <v>-7205.5044926479377</v>
      </c>
      <c r="N46" s="42">
        <f>N44*-N99</f>
        <v>-7512.3873597411375</v>
      </c>
      <c r="O46" s="42">
        <f>SUM(K46:N46)</f>
        <v>-28009.291852389077</v>
      </c>
      <c r="P46" s="42">
        <f>P44*-P99</f>
        <v>-33707.753544494386</v>
      </c>
      <c r="Q46" s="42">
        <f>Q44*-Q99</f>
        <v>-37396.568123648569</v>
      </c>
      <c r="R46" s="42">
        <f>R44*-R99</f>
        <v>-41129.072685493913</v>
      </c>
      <c r="S46" s="42">
        <f>S44*-S99</f>
        <v>-44905.503994033228</v>
      </c>
      <c r="T46" s="42">
        <f>T44*-T99</f>
        <v>-48917.30951739302</v>
      </c>
      <c r="U46" s="47"/>
      <c r="W46" s="41"/>
      <c r="X46" s="41"/>
      <c r="Y46" s="41"/>
      <c r="Z46" s="41"/>
      <c r="AA46" s="41"/>
      <c r="AB46" s="41"/>
    </row>
    <row r="47" spans="2:28" x14ac:dyDescent="0.2">
      <c r="B47" s="5" t="s">
        <v>6</v>
      </c>
      <c r="F47" s="6">
        <f t="shared" ref="F47:T47" si="40">SUM(F44, F46)</f>
        <v>2989.3999999999996</v>
      </c>
      <c r="G47" s="6">
        <f t="shared" si="40"/>
        <v>3702.5</v>
      </c>
      <c r="H47" s="6">
        <f t="shared" si="40"/>
        <v>4680.0999999999985</v>
      </c>
      <c r="I47" s="6">
        <f t="shared" si="40"/>
        <v>5660.5999999999985</v>
      </c>
      <c r="J47" s="6">
        <f t="shared" si="40"/>
        <v>7066.1000000000022</v>
      </c>
      <c r="K47" s="6">
        <f t="shared" si="40"/>
        <v>1858.4999999999991</v>
      </c>
      <c r="L47" s="6">
        <f t="shared" si="40"/>
        <v>1961</v>
      </c>
      <c r="M47" s="6">
        <f t="shared" si="40"/>
        <v>2026.6573283164807</v>
      </c>
      <c r="N47" s="6">
        <f t="shared" si="40"/>
        <v>2125.3212452815542</v>
      </c>
      <c r="O47" s="6">
        <f t="shared" si="40"/>
        <v>7971.4785735980331</v>
      </c>
      <c r="P47" s="6">
        <f t="shared" si="40"/>
        <v>9703.3007648785569</v>
      </c>
      <c r="Q47" s="6">
        <f t="shared" si="40"/>
        <v>10951.982673185055</v>
      </c>
      <c r="R47" s="6">
        <f t="shared" si="40"/>
        <v>12252.129693430164</v>
      </c>
      <c r="S47" s="6">
        <f t="shared" si="40"/>
        <v>13604.929413888189</v>
      </c>
      <c r="T47" s="6">
        <f t="shared" si="40"/>
        <v>14820.377991746471</v>
      </c>
      <c r="U47" s="77">
        <f>(T47/O47)^(1/5)-1</f>
        <v>0.13204601292432194</v>
      </c>
    </row>
    <row r="48" spans="2:28" x14ac:dyDescent="0.2">
      <c r="B48" s="11" t="s">
        <v>12</v>
      </c>
      <c r="C48" s="12"/>
      <c r="D48" s="12"/>
      <c r="E48" s="12"/>
      <c r="F48" s="4">
        <f>IFERROR(F47/F$44, 0)</f>
        <v>0.24113898523836408</v>
      </c>
      <c r="G48" s="4">
        <f>IFERROR(G47/G$44, 0)</f>
        <v>0.23320043585334668</v>
      </c>
      <c r="H48" s="4">
        <f t="shared" ref="H48:T48" si="41">IFERROR(H47/H$44, 0)</f>
        <v>0.21499414291292457</v>
      </c>
      <c r="I48" s="4">
        <f t="shared" si="41"/>
        <v>0.21142468700510947</v>
      </c>
      <c r="J48" s="4">
        <f>IFERROR(J47/J$44, 0)</f>
        <v>0.22022789181372218</v>
      </c>
      <c r="K48" s="4">
        <f>IFERROR(K47/K$44, 0)</f>
        <v>0.22307443016095918</v>
      </c>
      <c r="L48" s="4">
        <f t="shared" ref="L48:O48" si="42">IFERROR(L47/L$44, 0)</f>
        <v>0.22335869515695475</v>
      </c>
      <c r="M48" s="4">
        <f t="shared" si="42"/>
        <v>0.21952142603418645</v>
      </c>
      <c r="N48" s="4">
        <f t="shared" si="42"/>
        <v>0.22052142603418648</v>
      </c>
      <c r="O48" s="4">
        <f t="shared" si="42"/>
        <v>0.22154830147385152</v>
      </c>
      <c r="P48" s="4">
        <f t="shared" si="41"/>
        <v>0.22352142603418648</v>
      </c>
      <c r="Q48" s="4">
        <f t="shared" si="41"/>
        <v>0.22652142603418648</v>
      </c>
      <c r="R48" s="4">
        <f t="shared" si="41"/>
        <v>0.22952142603418652</v>
      </c>
      <c r="S48" s="4">
        <f t="shared" si="41"/>
        <v>0.23252142603418641</v>
      </c>
      <c r="T48" s="4">
        <f t="shared" si="41"/>
        <v>0.23252142603418649</v>
      </c>
      <c r="U48" s="77"/>
    </row>
    <row r="49" spans="2:25" x14ac:dyDescent="0.2">
      <c r="B49" s="1" t="s">
        <v>7</v>
      </c>
      <c r="F49" s="42">
        <v>-1924.6</v>
      </c>
      <c r="G49" s="42">
        <v>-2462</v>
      </c>
      <c r="H49" s="42">
        <v>-3163.1</v>
      </c>
      <c r="I49" s="42">
        <v>-3884.5</v>
      </c>
      <c r="J49" s="42">
        <v>-4590.6000000000004</v>
      </c>
      <c r="K49" s="42">
        <v>-1209.9000000000001</v>
      </c>
      <c r="L49" s="42">
        <v>-1253.4000000000001</v>
      </c>
      <c r="M49" s="42">
        <f>M44*-M100</f>
        <v>-1329.7719094885824</v>
      </c>
      <c r="N49" s="42">
        <f>N44*-N100</f>
        <v>-1383.366754153036</v>
      </c>
      <c r="O49" s="42">
        <f>SUM(K49:N49)</f>
        <v>-5176.4386636416184</v>
      </c>
      <c r="P49" s="42">
        <f>P44*-P100</f>
        <v>-6144.2657728950799</v>
      </c>
      <c r="Q49" s="42">
        <f>Q44*-Q100</f>
        <v>-6746.4065860752125</v>
      </c>
      <c r="R49" s="42">
        <f>R44*-R100</f>
        <v>-7341.8847494268102</v>
      </c>
      <c r="S49" s="42">
        <f>S44*-S100</f>
        <v>-7930.3223846650644</v>
      </c>
      <c r="T49" s="42">
        <f>T44*-T100</f>
        <v>-8638.8081673666802</v>
      </c>
      <c r="U49" s="48"/>
      <c r="V49" s="14"/>
    </row>
    <row r="50" spans="2:25" x14ac:dyDescent="0.2">
      <c r="B50" s="5" t="s">
        <v>8</v>
      </c>
      <c r="F50" s="43">
        <f t="shared" ref="F50:J50" si="43">SUM(F47, F49)</f>
        <v>1064.7999999999997</v>
      </c>
      <c r="G50" s="43">
        <f t="shared" si="43"/>
        <v>1240.5</v>
      </c>
      <c r="H50" s="43">
        <f t="shared" si="43"/>
        <v>1516.9999999999986</v>
      </c>
      <c r="I50" s="43">
        <f t="shared" si="43"/>
        <v>1776.0999999999985</v>
      </c>
      <c r="J50" s="43">
        <f t="shared" si="43"/>
        <v>2475.5000000000018</v>
      </c>
      <c r="K50" s="43">
        <f>SUM(K47, K49)</f>
        <v>648.599999999999</v>
      </c>
      <c r="L50" s="43">
        <f t="shared" ref="L50" si="44">SUM(L47, L49)</f>
        <v>707.59999999999991</v>
      </c>
      <c r="M50" s="43">
        <f t="shared" ref="M50" si="45">SUM(M47, M49)</f>
        <v>696.88541882789832</v>
      </c>
      <c r="N50" s="43">
        <f t="shared" ref="N50" si="46">SUM(N47, N49)</f>
        <v>741.95449112851816</v>
      </c>
      <c r="O50" s="43">
        <f>SUM(O47, O49)</f>
        <v>2795.0399099564147</v>
      </c>
      <c r="P50" s="43">
        <f>SUM(P47, P49)</f>
        <v>3559.0349919834771</v>
      </c>
      <c r="Q50" s="43">
        <f>SUM(Q47, Q49)</f>
        <v>4205.5760871098428</v>
      </c>
      <c r="R50" s="43">
        <f>SUM(R47, R49)</f>
        <v>4910.2449440033542</v>
      </c>
      <c r="S50" s="43">
        <f t="shared" ref="S50" si="47">SUM(S47, S49)</f>
        <v>5674.6070292231243</v>
      </c>
      <c r="T50" s="43">
        <f>SUM(T47, T49)</f>
        <v>6181.5698243797906</v>
      </c>
      <c r="U50" s="77">
        <f>(T50/O50)^(1/5)-1</f>
        <v>0.17203924267890303</v>
      </c>
    </row>
    <row r="51" spans="2:25" x14ac:dyDescent="0.2">
      <c r="B51" s="11" t="s">
        <v>12</v>
      </c>
      <c r="C51" s="12"/>
      <c r="D51" s="12"/>
      <c r="E51" s="12"/>
      <c r="F51" s="4">
        <f t="shared" ref="F51:L51" si="48">IFERROR(F50/F$44, 0)</f>
        <v>8.589174800354922E-2</v>
      </c>
      <c r="G51" s="4">
        <f t="shared" si="48"/>
        <v>7.813238100636774E-2</v>
      </c>
      <c r="H51" s="4">
        <f t="shared" si="48"/>
        <v>6.9687851712336574E-2</v>
      </c>
      <c r="I51" s="4">
        <f t="shared" si="48"/>
        <v>6.633773567992346E-2</v>
      </c>
      <c r="J51" s="4">
        <f t="shared" si="48"/>
        <v>7.7153471672474133E-2</v>
      </c>
      <c r="K51" s="4">
        <f t="shared" si="48"/>
        <v>7.7850995642936766E-2</v>
      </c>
      <c r="L51" s="4">
        <f t="shared" si="48"/>
        <v>8.0595926921499833E-2</v>
      </c>
      <c r="M51" s="4">
        <f t="shared" ref="M51:O51" si="49">IFERROR(M50/M$44, 0)</f>
        <v>7.548453247920861E-2</v>
      </c>
      <c r="N51" s="4">
        <f t="shared" si="49"/>
        <v>7.6984532479208653E-2</v>
      </c>
      <c r="O51" s="4">
        <f t="shared" si="49"/>
        <v>7.7681491442931891E-2</v>
      </c>
      <c r="P51" s="4">
        <f>IFERROR(P50/P$44, 0)</f>
        <v>8.1984532479208658E-2</v>
      </c>
      <c r="Q51" s="4">
        <f t="shared" ref="Q51:T51" si="50">IFERROR(Q50/Q$44, 0)</f>
        <v>8.6984532479208634E-2</v>
      </c>
      <c r="R51" s="4">
        <f t="shared" si="50"/>
        <v>9.1984532479208694E-2</v>
      </c>
      <c r="S51" s="4">
        <f t="shared" si="50"/>
        <v>9.698453247920856E-2</v>
      </c>
      <c r="T51" s="4">
        <f t="shared" si="50"/>
        <v>9.6984532479208657E-2</v>
      </c>
      <c r="U51" s="48"/>
    </row>
    <row r="52" spans="2:25" x14ac:dyDescent="0.2">
      <c r="B52" s="1" t="s">
        <v>10</v>
      </c>
      <c r="F52" s="42">
        <v>-214.8</v>
      </c>
      <c r="G52" s="42">
        <v>-176.2</v>
      </c>
      <c r="H52" s="42">
        <v>-329.2</v>
      </c>
      <c r="I52" s="42">
        <v>-353.4</v>
      </c>
      <c r="J52" s="42">
        <v>-376.7</v>
      </c>
      <c r="K52" s="42">
        <v>-105.3</v>
      </c>
      <c r="L52" s="42">
        <v>-113.1</v>
      </c>
      <c r="M52" s="42">
        <f>M44*-M101</f>
        <v>-116.46679556521697</v>
      </c>
      <c r="N52" s="42">
        <f>N44*-N101</f>
        <v>-121.58290328808917</v>
      </c>
      <c r="O52" s="42">
        <f>SUM(K52:N52)</f>
        <v>-456.44969885330613</v>
      </c>
      <c r="P52" s="42">
        <f>P44*-P101</f>
        <v>-547.64490544773537</v>
      </c>
      <c r="Q52" s="42">
        <f>Q44*-Q101</f>
        <v>-609.93306776127088</v>
      </c>
      <c r="R52" s="42">
        <f>R44*-R101</f>
        <v>-673.4216432790131</v>
      </c>
      <c r="S52" s="42">
        <f>S44*-S101</f>
        <v>-738.12860067922418</v>
      </c>
      <c r="T52" s="42">
        <f>T44*-T101</f>
        <v>-804.07215177594992</v>
      </c>
      <c r="U52" s="48"/>
      <c r="X52" s="41"/>
      <c r="Y52" s="41"/>
    </row>
    <row r="53" spans="2:25" x14ac:dyDescent="0.2">
      <c r="B53" s="5" t="s">
        <v>11</v>
      </c>
      <c r="F53" s="43">
        <f t="shared" ref="F53:K53" si="51">SUM(F50, F52)</f>
        <v>849.99999999999977</v>
      </c>
      <c r="G53" s="43">
        <f t="shared" si="51"/>
        <v>1064.3</v>
      </c>
      <c r="H53" s="43">
        <f t="shared" si="51"/>
        <v>1187.7999999999986</v>
      </c>
      <c r="I53" s="43">
        <f t="shared" si="51"/>
        <v>1422.6999999999985</v>
      </c>
      <c r="J53" s="43">
        <f t="shared" si="51"/>
        <v>2098.800000000002</v>
      </c>
      <c r="K53" s="43">
        <f t="shared" si="51"/>
        <v>543.29999999999905</v>
      </c>
      <c r="L53" s="43">
        <f t="shared" ref="L53" si="52">SUM(L50, L52)</f>
        <v>594.49999999999989</v>
      </c>
      <c r="M53" s="43">
        <f t="shared" ref="M53" si="53">SUM(M50, M52)</f>
        <v>580.41862326268131</v>
      </c>
      <c r="N53" s="43">
        <f t="shared" ref="N53" si="54">SUM(N50, N52)</f>
        <v>620.37158784042902</v>
      </c>
      <c r="O53" s="43">
        <f>SUM(O50, O52)</f>
        <v>2338.5902111031087</v>
      </c>
      <c r="P53" s="43">
        <f t="shared" ref="P53:T53" si="55">SUM(P50, P52)</f>
        <v>3011.3900865357418</v>
      </c>
      <c r="Q53" s="43">
        <f t="shared" si="55"/>
        <v>3595.6430193485721</v>
      </c>
      <c r="R53" s="43">
        <f t="shared" si="55"/>
        <v>4236.8233007243416</v>
      </c>
      <c r="S53" s="43">
        <f t="shared" si="55"/>
        <v>4936.4784285439</v>
      </c>
      <c r="T53" s="43">
        <f t="shared" si="55"/>
        <v>5377.4976726038403</v>
      </c>
      <c r="U53" s="77">
        <f>(T53/O53)^(1/5)-1</f>
        <v>0.18120484789031233</v>
      </c>
    </row>
    <row r="54" spans="2:25" x14ac:dyDescent="0.2">
      <c r="B54" s="11" t="s">
        <v>12</v>
      </c>
      <c r="C54" s="12"/>
      <c r="D54" s="12"/>
      <c r="E54" s="12"/>
      <c r="F54" s="4">
        <f t="shared" ref="F54:L54" si="56">IFERROR(F53/F$44, 0)</f>
        <v>6.856497539727352E-2</v>
      </c>
      <c r="G54" s="4">
        <f t="shared" si="56"/>
        <v>6.7034496658667619E-2</v>
      </c>
      <c r="H54" s="4">
        <f t="shared" si="56"/>
        <v>5.456508257344321E-2</v>
      </c>
      <c r="I54" s="4">
        <f t="shared" si="56"/>
        <v>5.313816595452231E-2</v>
      </c>
      <c r="J54" s="4">
        <f t="shared" si="56"/>
        <v>6.5412929245077259E-2</v>
      </c>
      <c r="K54" s="4">
        <f t="shared" si="56"/>
        <v>6.5211911706456266E-2</v>
      </c>
      <c r="L54" s="4">
        <f t="shared" si="56"/>
        <v>6.7713791061096165E-2</v>
      </c>
      <c r="M54" s="4">
        <f t="shared" ref="M54:O54" si="57">IFERROR(M53/M$44, 0)</f>
        <v>6.2869199491788055E-2</v>
      </c>
      <c r="N54" s="4">
        <f t="shared" si="57"/>
        <v>6.4369199491788154E-2</v>
      </c>
      <c r="O54" s="4">
        <f t="shared" si="57"/>
        <v>6.4995556888188866E-2</v>
      </c>
      <c r="P54" s="4">
        <f t="shared" ref="P54" si="58">IFERROR(P53/P$44, 0)</f>
        <v>6.9369199491788158E-2</v>
      </c>
      <c r="Q54" s="4">
        <f>IFERROR(Q53/Q$44, 0)</f>
        <v>7.4369199491788135E-2</v>
      </c>
      <c r="R54" s="4">
        <f>IFERROR(R53/R$44, 0)</f>
        <v>7.9369199491788153E-2</v>
      </c>
      <c r="S54" s="4">
        <f>IFERROR(S53/S$44, 0)</f>
        <v>8.4369199491788019E-2</v>
      </c>
      <c r="T54" s="4">
        <f>IFERROR(T53/T$44, 0)</f>
        <v>8.4369199491788102E-2</v>
      </c>
      <c r="U54" s="45"/>
    </row>
    <row r="55" spans="2:25" x14ac:dyDescent="0.2">
      <c r="B55" s="1" t="s">
        <v>14</v>
      </c>
      <c r="F55" s="42">
        <v>1.7</v>
      </c>
      <c r="G55" s="42">
        <v>-18.8</v>
      </c>
      <c r="H55" s="42">
        <v>-23.5</v>
      </c>
      <c r="I55" s="42">
        <v>-42.7</v>
      </c>
      <c r="J55" s="42">
        <v>-184</v>
      </c>
      <c r="K55" s="42">
        <v>-44.8</v>
      </c>
      <c r="L55" s="42">
        <v>-33.6</v>
      </c>
      <c r="M55" s="42">
        <f>M53*M103</f>
        <v>-197.34233190931167</v>
      </c>
      <c r="N55" s="42">
        <f>N53*N103</f>
        <v>-210.92633986574589</v>
      </c>
      <c r="O55" s="42">
        <f>SUM(K55:N55)</f>
        <v>-486.66867177505759</v>
      </c>
      <c r="P55" s="42">
        <f>P53*P103</f>
        <v>-1023.8726294221523</v>
      </c>
      <c r="Q55" s="42">
        <f>Q53*Q103</f>
        <v>-1222.5186265785146</v>
      </c>
      <c r="R55" s="42">
        <f>R53*R103</f>
        <v>-1440.5199222462763</v>
      </c>
      <c r="S55" s="42">
        <f>S53*S103</f>
        <v>-1678.4026657049262</v>
      </c>
      <c r="T55" s="42">
        <f>T53*T103</f>
        <v>-1828.3492086853059</v>
      </c>
      <c r="U55" s="46"/>
    </row>
    <row r="56" spans="2:25" x14ac:dyDescent="0.2">
      <c r="B56" s="5" t="s">
        <v>77</v>
      </c>
      <c r="F56" s="43">
        <f>SUM(F53, F55)</f>
        <v>851.69999999999982</v>
      </c>
      <c r="G56" s="43">
        <f t="shared" ref="G56:T56" si="59">SUM(G53, G55)</f>
        <v>1045.5</v>
      </c>
      <c r="H56" s="43">
        <f t="shared" si="59"/>
        <v>1164.2999999999986</v>
      </c>
      <c r="I56" s="43">
        <f t="shared" si="59"/>
        <v>1379.9999999999984</v>
      </c>
      <c r="J56" s="43">
        <f>SUM(J53, J55)</f>
        <v>1914.800000000002</v>
      </c>
      <c r="K56" s="43">
        <f t="shared" si="59"/>
        <v>498.49999999999903</v>
      </c>
      <c r="L56" s="43">
        <f t="shared" si="59"/>
        <v>560.89999999999986</v>
      </c>
      <c r="M56" s="43">
        <f t="shared" si="59"/>
        <v>383.07629135336964</v>
      </c>
      <c r="N56" s="43">
        <f>SUM(N53, N55)</f>
        <v>409.44524797468313</v>
      </c>
      <c r="O56" s="43">
        <f t="shared" si="59"/>
        <v>1851.921539328051</v>
      </c>
      <c r="P56" s="43">
        <f t="shared" si="59"/>
        <v>1987.5174571135894</v>
      </c>
      <c r="Q56" s="43">
        <f t="shared" si="59"/>
        <v>2373.1243927700575</v>
      </c>
      <c r="R56" s="43">
        <f t="shared" si="59"/>
        <v>2796.3033784780655</v>
      </c>
      <c r="S56" s="43">
        <f t="shared" si="59"/>
        <v>3258.0757628389738</v>
      </c>
      <c r="T56" s="43">
        <f t="shared" si="59"/>
        <v>3549.1484639185346</v>
      </c>
      <c r="U56" s="77">
        <f>(T56/O56)^(1/5)-1</f>
        <v>0.13893861254242501</v>
      </c>
    </row>
    <row r="57" spans="2:25" x14ac:dyDescent="0.2">
      <c r="B57" s="11"/>
      <c r="C57" s="12"/>
      <c r="D57" s="12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5"/>
    </row>
    <row r="58" spans="2:25" x14ac:dyDescent="0.2">
      <c r="B58" s="1" t="s">
        <v>16</v>
      </c>
      <c r="F58" s="41">
        <f>-F52</f>
        <v>214.8</v>
      </c>
      <c r="G58" s="41">
        <f t="shared" ref="G58:T58" si="60">-G52</f>
        <v>176.2</v>
      </c>
      <c r="H58" s="41">
        <f t="shared" si="60"/>
        <v>329.2</v>
      </c>
      <c r="I58" s="41">
        <f t="shared" si="60"/>
        <v>353.4</v>
      </c>
      <c r="J58" s="41">
        <f t="shared" si="60"/>
        <v>376.7</v>
      </c>
      <c r="K58" s="41">
        <f>-K52</f>
        <v>105.3</v>
      </c>
      <c r="L58" s="41">
        <f t="shared" ref="L58:N58" si="61">-L52</f>
        <v>113.1</v>
      </c>
      <c r="M58" s="41">
        <f t="shared" si="61"/>
        <v>116.46679556521697</v>
      </c>
      <c r="N58" s="41">
        <f t="shared" si="61"/>
        <v>121.58290328808917</v>
      </c>
      <c r="O58" s="41">
        <f>-O52</f>
        <v>456.44969885330613</v>
      </c>
      <c r="P58" s="41">
        <f t="shared" si="60"/>
        <v>547.64490544773537</v>
      </c>
      <c r="Q58" s="41">
        <f t="shared" si="60"/>
        <v>609.93306776127088</v>
      </c>
      <c r="R58" s="41">
        <f t="shared" si="60"/>
        <v>673.4216432790131</v>
      </c>
      <c r="S58" s="41">
        <f t="shared" si="60"/>
        <v>738.12860067922418</v>
      </c>
      <c r="T58" s="41">
        <f t="shared" si="60"/>
        <v>804.07215177594992</v>
      </c>
      <c r="U58" s="45"/>
    </row>
    <row r="59" spans="2:25" x14ac:dyDescent="0.2">
      <c r="B59" s="1" t="s">
        <v>17</v>
      </c>
      <c r="F59" s="41">
        <v>-641</v>
      </c>
      <c r="G59" s="41">
        <v>-1432.5</v>
      </c>
      <c r="H59" s="41">
        <v>-868.4</v>
      </c>
      <c r="I59" s="41">
        <v>-1180.3</v>
      </c>
      <c r="J59" s="41">
        <v>-1236.9000000000001</v>
      </c>
      <c r="K59" s="41">
        <v>-337.5</v>
      </c>
      <c r="L59" s="41">
        <v>-244.2</v>
      </c>
      <c r="M59" s="41">
        <f>M44*-M102</f>
        <v>-355.90209118012831</v>
      </c>
      <c r="N59" s="41">
        <f>N44*-N102</f>
        <v>-332.98518425359163</v>
      </c>
      <c r="O59" s="41">
        <f>SUM(K59:N59)</f>
        <v>-1270.5872754337199</v>
      </c>
      <c r="P59" s="41">
        <f>P44*-P102</f>
        <v>-1326.2183030213043</v>
      </c>
      <c r="Q59" s="41">
        <f>Q44*-Q102</f>
        <v>-1283.665822453914</v>
      </c>
      <c r="R59" s="41">
        <f>R44*-R102</f>
        <v>-1203.7591405920296</v>
      </c>
      <c r="S59" s="41">
        <f>S44*-S102</f>
        <v>-1085.3828183824285</v>
      </c>
      <c r="T59" s="41">
        <f>T44*-T102</f>
        <v>-1182.3496575993991</v>
      </c>
      <c r="U59" s="45"/>
    </row>
    <row r="60" spans="2:25" x14ac:dyDescent="0.2">
      <c r="B60" s="1" t="s">
        <v>18</v>
      </c>
      <c r="F60" s="42">
        <f>'Working Cap.'!E24</f>
        <v>0</v>
      </c>
      <c r="G60" s="42">
        <f>'Working Cap.'!F24</f>
        <v>1161.4999999999995</v>
      </c>
      <c r="H60" s="42">
        <f>'Working Cap.'!G24</f>
        <v>566.90000000000055</v>
      </c>
      <c r="I60" s="42">
        <f>'Working Cap.'!H24</f>
        <v>869.5</v>
      </c>
      <c r="J60" s="42">
        <f>'Working Cap.'!I24</f>
        <v>929.19999999999982</v>
      </c>
      <c r="K60" s="42">
        <f>'Working Cap.'!J24</f>
        <v>23.100000000000364</v>
      </c>
      <c r="L60" s="42">
        <f>'Working Cap.'!K24</f>
        <v>-108.10000000000218</v>
      </c>
      <c r="M60" s="42">
        <f>'Working Cap.'!L24</f>
        <v>339.33041194412817</v>
      </c>
      <c r="N60" s="42">
        <f>'Working Cap.'!M24</f>
        <v>285.31200962679941</v>
      </c>
      <c r="O60" s="42">
        <f>'Working Cap.'!N24</f>
        <v>539.64242157092576</v>
      </c>
      <c r="P60" s="42">
        <f>'Working Cap.'!O24</f>
        <v>1048.1412096986724</v>
      </c>
      <c r="Q60" s="42">
        <f>'Working Cap.'!P24</f>
        <v>415.34483573785656</v>
      </c>
      <c r="R60" s="42">
        <f>'Working Cap.'!Q24</f>
        <v>445.82268548867614</v>
      </c>
      <c r="S60" s="42">
        <f>'Working Cap.'!R24</f>
        <v>542.46229677250267</v>
      </c>
      <c r="T60" s="42">
        <f>'Working Cap.'!S24</f>
        <v>659.40011745816628</v>
      </c>
      <c r="U60" s="45"/>
    </row>
    <row r="61" spans="2:25" x14ac:dyDescent="0.2">
      <c r="B61" s="5" t="s">
        <v>15</v>
      </c>
      <c r="F61" s="43">
        <f t="shared" ref="F61:T61" si="62">SUM(F56, F58, F59, -F60)</f>
        <v>425.49999999999977</v>
      </c>
      <c r="G61" s="43">
        <f t="shared" si="62"/>
        <v>-1372.2999999999995</v>
      </c>
      <c r="H61" s="43">
        <f t="shared" si="62"/>
        <v>58.199999999998113</v>
      </c>
      <c r="I61" s="43">
        <f t="shared" si="62"/>
        <v>-316.40000000000168</v>
      </c>
      <c r="J61" s="43">
        <f t="shared" si="62"/>
        <v>125.40000000000191</v>
      </c>
      <c r="K61" s="43">
        <f t="shared" si="62"/>
        <v>243.19999999999868</v>
      </c>
      <c r="L61" s="43">
        <f t="shared" si="62"/>
        <v>537.90000000000214</v>
      </c>
      <c r="M61" s="43">
        <f t="shared" si="62"/>
        <v>-195.68941620566989</v>
      </c>
      <c r="N61" s="43">
        <f t="shared" si="62"/>
        <v>-87.269042617618709</v>
      </c>
      <c r="O61" s="43">
        <f>SUM(O56, O58, O59, -O60)</f>
        <v>498.14154117671137</v>
      </c>
      <c r="P61" s="43">
        <f t="shared" si="62"/>
        <v>160.80284984134801</v>
      </c>
      <c r="Q61" s="43">
        <f t="shared" si="62"/>
        <v>1284.0468023395581</v>
      </c>
      <c r="R61" s="43">
        <f t="shared" si="62"/>
        <v>1820.1431956763727</v>
      </c>
      <c r="S61" s="43">
        <f t="shared" si="62"/>
        <v>2368.3592483632669</v>
      </c>
      <c r="T61" s="43">
        <f t="shared" si="62"/>
        <v>2511.4708406369195</v>
      </c>
      <c r="U61" s="47"/>
    </row>
    <row r="63" spans="2:25" x14ac:dyDescent="0.2">
      <c r="B63" s="5" t="s">
        <v>49</v>
      </c>
      <c r="F63" s="25">
        <f>WACC!O16</f>
        <v>0.11712250931570749</v>
      </c>
      <c r="G63" s="14"/>
      <c r="H63" s="14"/>
      <c r="I63" s="14"/>
      <c r="J63" s="14"/>
    </row>
    <row r="64" spans="2:25" x14ac:dyDescent="0.2">
      <c r="B64" s="1" t="s">
        <v>50</v>
      </c>
      <c r="M64" s="1">
        <v>0.25</v>
      </c>
      <c r="N64" s="1">
        <v>0.5</v>
      </c>
      <c r="O64" s="1">
        <f>N64</f>
        <v>0.5</v>
      </c>
      <c r="P64" s="1">
        <v>1.5</v>
      </c>
      <c r="Q64" s="1">
        <f>P64+1</f>
        <v>2.5</v>
      </c>
      <c r="R64" s="1">
        <f t="shared" ref="R64:T64" si="63">Q64+1</f>
        <v>3.5</v>
      </c>
      <c r="S64" s="1">
        <f t="shared" si="63"/>
        <v>4.5</v>
      </c>
      <c r="T64" s="1">
        <f t="shared" si="63"/>
        <v>5.5</v>
      </c>
    </row>
    <row r="65" spans="1:23" x14ac:dyDescent="0.2">
      <c r="B65" s="1" t="s">
        <v>51</v>
      </c>
      <c r="M65" s="15">
        <f>1/(1+WACC)^M64</f>
        <v>0.97269078012642429</v>
      </c>
      <c r="N65" s="15">
        <f>1/(1+WACC)^N64</f>
        <v>0.94612735374295176</v>
      </c>
      <c r="O65" s="15">
        <f>N65</f>
        <v>0.94612735374295176</v>
      </c>
      <c r="P65" s="15">
        <f>1/(1+WACC)^P64</f>
        <v>0.84693249473820131</v>
      </c>
      <c r="Q65" s="15">
        <f>1/(1+WACC)^Q64</f>
        <v>0.75813752536146561</v>
      </c>
      <c r="R65" s="15">
        <f>1/(1+WACC)^R64</f>
        <v>0.67865208966728474</v>
      </c>
      <c r="S65" s="15">
        <f>1/(1+WACC)^S64</f>
        <v>0.60750014793184359</v>
      </c>
      <c r="T65" s="15">
        <f>1/(1+WACC)^T64</f>
        <v>0.54380799139386005</v>
      </c>
    </row>
    <row r="66" spans="1:23" x14ac:dyDescent="0.2">
      <c r="A66" s="125"/>
      <c r="B66" s="124" t="s">
        <v>52</v>
      </c>
      <c r="C66" s="125"/>
      <c r="D66" s="125"/>
      <c r="E66" s="125"/>
      <c r="F66" s="128"/>
      <c r="G66" s="128"/>
      <c r="H66" s="128"/>
      <c r="I66" s="128"/>
      <c r="J66" s="128"/>
      <c r="K66" s="128"/>
      <c r="L66" s="128"/>
      <c r="M66" s="128">
        <f>M61*M65</f>
        <v>-190.34529091157756</v>
      </c>
      <c r="N66" s="128">
        <f>N61*N65</f>
        <v>-82.567628355488466</v>
      </c>
      <c r="O66" s="128">
        <f>SUM(M66:N66)</f>
        <v>-272.91291926706606</v>
      </c>
      <c r="P66" s="128">
        <f>P61*P65</f>
        <v>136.18915877714525</v>
      </c>
      <c r="Q66" s="128">
        <f>Q61*Q65</f>
        <v>973.48406517401554</v>
      </c>
      <c r="R66" s="128">
        <f>R61*R65</f>
        <v>1235.2439832394598</v>
      </c>
      <c r="S66" s="128">
        <f>S61*S65</f>
        <v>1438.7785937364345</v>
      </c>
      <c r="T66" s="128">
        <f>T61*T65</f>
        <v>1365.7579132910123</v>
      </c>
      <c r="U66" s="47"/>
    </row>
    <row r="68" spans="1:23" x14ac:dyDescent="0.2">
      <c r="B68" s="121" t="s">
        <v>205</v>
      </c>
      <c r="C68" s="121"/>
      <c r="D68" s="121"/>
      <c r="E68" s="121"/>
      <c r="G68" s="121" t="s">
        <v>54</v>
      </c>
      <c r="H68" s="121"/>
      <c r="I68" s="121"/>
      <c r="J68" s="121"/>
      <c r="K68" s="129"/>
      <c r="L68" s="129"/>
      <c r="M68" s="129"/>
      <c r="N68" s="129"/>
      <c r="O68" s="129"/>
      <c r="P68" s="121" t="s">
        <v>59</v>
      </c>
      <c r="Q68" s="121"/>
      <c r="R68" s="121"/>
      <c r="S68" s="121"/>
    </row>
    <row r="69" spans="1:23" x14ac:dyDescent="0.2">
      <c r="B69" s="1" t="s">
        <v>55</v>
      </c>
      <c r="E69" s="41">
        <f>SUM(O66:T66)</f>
        <v>4876.5407949510009</v>
      </c>
      <c r="G69" s="1" t="s">
        <v>55</v>
      </c>
      <c r="J69" s="41">
        <f>SUM(O66:T66)</f>
        <v>4876.5407949510009</v>
      </c>
      <c r="L69" s="41"/>
      <c r="M69" s="41"/>
      <c r="N69" s="41"/>
      <c r="O69" s="41"/>
      <c r="P69" s="1" t="s">
        <v>54</v>
      </c>
      <c r="S69" s="41">
        <f>E76</f>
        <v>24332.272311202581</v>
      </c>
    </row>
    <row r="70" spans="1:23" x14ac:dyDescent="0.2">
      <c r="B70" s="37" t="s">
        <v>56</v>
      </c>
      <c r="C70" s="10"/>
      <c r="D70" s="10"/>
      <c r="E70" s="10"/>
      <c r="G70" s="37" t="s">
        <v>56</v>
      </c>
      <c r="H70" s="10"/>
      <c r="I70" s="10"/>
      <c r="J70" s="10"/>
      <c r="L70" s="89"/>
      <c r="M70" s="89"/>
      <c r="N70" s="89"/>
      <c r="O70" s="89"/>
      <c r="P70" s="1" t="s">
        <v>60</v>
      </c>
      <c r="S70" s="41">
        <v>-4940.8</v>
      </c>
    </row>
    <row r="71" spans="1:23" x14ac:dyDescent="0.2">
      <c r="B71" s="1" t="s">
        <v>57</v>
      </c>
      <c r="E71" s="41">
        <f>T50</f>
        <v>6181.5698243797906</v>
      </c>
      <c r="G71" s="1" t="s">
        <v>199</v>
      </c>
      <c r="J71" s="211">
        <v>0.04</v>
      </c>
      <c r="L71" s="43"/>
      <c r="M71" s="43"/>
      <c r="N71" s="43"/>
      <c r="O71" s="43"/>
      <c r="P71" s="1" t="s">
        <v>61</v>
      </c>
      <c r="S71" s="42">
        <v>1027.8</v>
      </c>
    </row>
    <row r="72" spans="1:23" x14ac:dyDescent="0.2">
      <c r="B72" s="1" t="s">
        <v>58</v>
      </c>
      <c r="E72" s="38">
        <v>5.7876625272359723</v>
      </c>
      <c r="G72" s="1" t="s">
        <v>200</v>
      </c>
      <c r="J72" s="42">
        <f>T61</f>
        <v>2511.4708406369195</v>
      </c>
      <c r="P72" s="5" t="s">
        <v>59</v>
      </c>
      <c r="S72" s="78">
        <f>SUM(S69:S71)</f>
        <v>20419.272311202581</v>
      </c>
    </row>
    <row r="73" spans="1:23" x14ac:dyDescent="0.2">
      <c r="B73" s="5" t="s">
        <v>179</v>
      </c>
      <c r="C73" s="5"/>
      <c r="D73" s="5"/>
      <c r="E73" s="43">
        <f>E71*E72</f>
        <v>35776.840032055567</v>
      </c>
      <c r="G73" s="5" t="s">
        <v>202</v>
      </c>
      <c r="J73" s="43">
        <f>J72*(1+J71)/(WACC-J71)</f>
        <v>33867.28073862641</v>
      </c>
      <c r="L73" s="88"/>
      <c r="M73" s="88"/>
      <c r="N73" s="88"/>
      <c r="O73" s="88"/>
      <c r="P73" s="1" t="s">
        <v>62</v>
      </c>
      <c r="S73" s="41">
        <v>2247.1</v>
      </c>
      <c r="W73" s="5"/>
    </row>
    <row r="74" spans="1:23" x14ac:dyDescent="0.2">
      <c r="B74" s="1" t="s">
        <v>51</v>
      </c>
      <c r="E74" s="39">
        <f>T65</f>
        <v>0.54380799139386005</v>
      </c>
      <c r="G74" s="1" t="s">
        <v>51</v>
      </c>
      <c r="J74" s="39">
        <f>T65</f>
        <v>0.54380799139386005</v>
      </c>
      <c r="L74" s="41"/>
      <c r="M74" s="41"/>
      <c r="N74" s="41"/>
      <c r="O74" s="41"/>
      <c r="P74" s="124" t="s">
        <v>63</v>
      </c>
      <c r="Q74" s="125"/>
      <c r="R74" s="125"/>
      <c r="S74" s="126">
        <f>S72/S73</f>
        <v>9.086944199725238</v>
      </c>
    </row>
    <row r="75" spans="1:23" x14ac:dyDescent="0.2">
      <c r="B75" s="5" t="s">
        <v>184</v>
      </c>
      <c r="C75" s="5"/>
      <c r="D75" s="5"/>
      <c r="E75" s="43">
        <f>E73*E74</f>
        <v>19455.731516251581</v>
      </c>
      <c r="G75" s="5" t="s">
        <v>184</v>
      </c>
      <c r="J75" s="43">
        <f>J73*J74</f>
        <v>18417.297912444392</v>
      </c>
      <c r="L75" s="41"/>
      <c r="M75" s="41"/>
      <c r="N75" s="41"/>
      <c r="O75" s="41"/>
      <c r="P75" s="1" t="s">
        <v>185</v>
      </c>
      <c r="S75" s="91">
        <f>Comps!C20</f>
        <v>6.78</v>
      </c>
    </row>
    <row r="76" spans="1:23" x14ac:dyDescent="0.2">
      <c r="B76" s="124" t="s">
        <v>54</v>
      </c>
      <c r="C76" s="125"/>
      <c r="D76" s="125"/>
      <c r="E76" s="127">
        <f>E69+E75</f>
        <v>24332.272311202581</v>
      </c>
      <c r="G76" s="124" t="s">
        <v>54</v>
      </c>
      <c r="H76" s="125"/>
      <c r="I76" s="125"/>
      <c r="J76" s="127">
        <f>J69+J75</f>
        <v>23293.838707395393</v>
      </c>
      <c r="L76" s="79"/>
      <c r="M76" s="79"/>
      <c r="N76" s="79"/>
      <c r="O76" s="79"/>
      <c r="P76" s="2" t="s">
        <v>186</v>
      </c>
      <c r="Q76" s="2"/>
      <c r="R76" s="2"/>
      <c r="S76" s="214">
        <f>S74/S75-1</f>
        <v>0.34025725659664263</v>
      </c>
    </row>
    <row r="77" spans="1:23" x14ac:dyDescent="0.2">
      <c r="B77" s="1" t="s">
        <v>201</v>
      </c>
      <c r="E77" s="14">
        <f>(TV*WACC-T61)/(TV+T61)</f>
        <v>4.3846343728404596E-2</v>
      </c>
      <c r="L77" s="79"/>
      <c r="M77" s="79"/>
      <c r="N77" s="79"/>
      <c r="O77" s="79"/>
      <c r="Q77" s="2"/>
      <c r="R77" s="2"/>
      <c r="S77" s="2"/>
      <c r="T77" s="92"/>
    </row>
    <row r="79" spans="1:23" x14ac:dyDescent="0.2">
      <c r="B79" s="37" t="s">
        <v>197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37"/>
      <c r="P79" s="10"/>
      <c r="Q79" s="10"/>
      <c r="R79" s="10"/>
      <c r="S79" s="10"/>
      <c r="T79" s="10"/>
    </row>
    <row r="80" spans="1:23" x14ac:dyDescent="0.2">
      <c r="B80" s="5"/>
      <c r="O80" s="5"/>
    </row>
    <row r="81" spans="2:20" x14ac:dyDescent="0.2">
      <c r="B81" s="121" t="s">
        <v>63</v>
      </c>
      <c r="C81" s="121"/>
      <c r="D81" s="121"/>
      <c r="E81" s="121"/>
      <c r="F81" s="121"/>
      <c r="P81" s="121" t="s">
        <v>59</v>
      </c>
      <c r="Q81" s="121"/>
      <c r="R81" s="121"/>
      <c r="S81" s="121"/>
      <c r="T81" s="121"/>
    </row>
    <row r="82" spans="2:20" x14ac:dyDescent="0.2">
      <c r="C82" s="171" t="s">
        <v>198</v>
      </c>
      <c r="D82" s="171"/>
      <c r="E82" s="171"/>
      <c r="F82" s="171"/>
      <c r="Q82" s="171" t="s">
        <v>203</v>
      </c>
      <c r="R82" s="171"/>
      <c r="S82" s="171"/>
      <c r="T82" s="171"/>
    </row>
    <row r="83" spans="2:20" x14ac:dyDescent="0.2">
      <c r="B83" s="199">
        <f>S74</f>
        <v>9.086944199725238</v>
      </c>
      <c r="C83" s="196">
        <v>4.7876625272359723</v>
      </c>
      <c r="D83" s="201">
        <v>5.7876625272359723</v>
      </c>
      <c r="E83" s="196">
        <v>6.7876625272359723</v>
      </c>
      <c r="F83" s="196">
        <v>7.7876625272359723</v>
      </c>
      <c r="P83" s="199">
        <f>S72</f>
        <v>20419.272311202581</v>
      </c>
      <c r="Q83" s="196">
        <v>4.7876625272359696</v>
      </c>
      <c r="R83" s="201">
        <v>5.7876625272359723</v>
      </c>
      <c r="S83" s="196">
        <v>6.7876625272359723</v>
      </c>
      <c r="T83" s="196">
        <v>7.7876625272359723</v>
      </c>
    </row>
    <row r="84" spans="2:20" x14ac:dyDescent="0.2">
      <c r="B84" s="198">
        <v>0.10212250931570749</v>
      </c>
      <c r="C84" s="202">
        <f t="dataTable" ref="C84:F86" dt2D="1" dtr="1" r1="E72" r2="F63" ca="1"/>
        <v>8.2730887983669739</v>
      </c>
      <c r="D84" s="203">
        <v>9.8845211617794089</v>
      </c>
      <c r="E84" s="197">
        <v>11.49595352519184</v>
      </c>
      <c r="F84" s="197">
        <v>13.107385888604274</v>
      </c>
      <c r="P84" s="205">
        <v>0.10212250931570749</v>
      </c>
      <c r="Q84" s="209">
        <f t="dataTable" ref="Q84:T86" dt2D="1" dtr="1" r1="E72" r2="F63" ca="1"/>
        <v>18590.457838810416</v>
      </c>
      <c r="R84" s="210">
        <v>22211.507502634508</v>
      </c>
      <c r="S84" s="209">
        <v>25832.557166458584</v>
      </c>
      <c r="T84" s="209">
        <v>29453.606830282661</v>
      </c>
    </row>
    <row r="85" spans="2:20" x14ac:dyDescent="0.2">
      <c r="B85" s="200">
        <v>0.11712250931570749</v>
      </c>
      <c r="C85" s="204">
        <v>7.5909773669822034</v>
      </c>
      <c r="D85" s="203">
        <v>9.086944199725238</v>
      </c>
      <c r="E85" s="203">
        <v>10.582911032468271</v>
      </c>
      <c r="F85" s="203">
        <v>12.078877865211304</v>
      </c>
      <c r="P85" s="206">
        <v>0.11712250931570749</v>
      </c>
      <c r="Q85" s="210">
        <v>17057.685241345702</v>
      </c>
      <c r="R85" s="210">
        <v>20419.272311202581</v>
      </c>
      <c r="S85" s="210">
        <v>23780.85938105945</v>
      </c>
      <c r="T85" s="210">
        <v>27142.446450916319</v>
      </c>
    </row>
    <row r="86" spans="2:20" x14ac:dyDescent="0.2">
      <c r="B86" s="198">
        <v>0.13212250931570749</v>
      </c>
      <c r="C86" s="202">
        <v>6.9641312597990508</v>
      </c>
      <c r="D86" s="203">
        <v>8.3542840647834939</v>
      </c>
      <c r="E86" s="197">
        <v>9.7444368697679362</v>
      </c>
      <c r="F86" s="197">
        <v>11.13458967475238</v>
      </c>
      <c r="P86" s="205">
        <v>0.13212250931570749</v>
      </c>
      <c r="Q86" s="209">
        <v>15649.099353894435</v>
      </c>
      <c r="R86" s="210">
        <v>18772.91172197499</v>
      </c>
      <c r="S86" s="209">
        <v>21896.72409005553</v>
      </c>
      <c r="T86" s="209">
        <v>25020.536458136074</v>
      </c>
    </row>
    <row r="87" spans="2:20" x14ac:dyDescent="0.2">
      <c r="B87" s="25"/>
    </row>
    <row r="88" spans="2:20" x14ac:dyDescent="0.2">
      <c r="B88" s="121" t="s">
        <v>205</v>
      </c>
      <c r="C88" s="121"/>
      <c r="D88" s="121"/>
      <c r="E88" s="121"/>
      <c r="F88" s="121"/>
      <c r="P88" s="121" t="s">
        <v>204</v>
      </c>
      <c r="Q88" s="121"/>
      <c r="R88" s="121"/>
      <c r="S88" s="121"/>
      <c r="T88" s="121"/>
    </row>
    <row r="89" spans="2:20" x14ac:dyDescent="0.2">
      <c r="C89" s="171" t="s">
        <v>198</v>
      </c>
      <c r="D89" s="171"/>
      <c r="E89" s="171"/>
      <c r="F89" s="171"/>
      <c r="Q89" s="171" t="s">
        <v>203</v>
      </c>
      <c r="R89" s="171"/>
      <c r="S89" s="171"/>
      <c r="T89" s="171"/>
    </row>
    <row r="90" spans="2:20" x14ac:dyDescent="0.2">
      <c r="B90" s="199">
        <f>EV</f>
        <v>24332.272311202581</v>
      </c>
      <c r="C90" s="220">
        <v>4.7876625272359723</v>
      </c>
      <c r="D90" s="221">
        <v>5.7876625272359723</v>
      </c>
      <c r="E90" s="220">
        <v>6.7876625272359723</v>
      </c>
      <c r="F90" s="220">
        <v>7.7876625272359723</v>
      </c>
      <c r="P90" s="199">
        <f>E77</f>
        <v>4.3846343728404596E-2</v>
      </c>
      <c r="Q90" s="207">
        <v>4.7876625272359696</v>
      </c>
      <c r="R90" s="208">
        <v>5.7876625272359723</v>
      </c>
      <c r="S90" s="207">
        <v>6.7876625272359723</v>
      </c>
      <c r="T90" s="207">
        <v>7.7876625272359723</v>
      </c>
    </row>
    <row r="91" spans="2:20" x14ac:dyDescent="0.2">
      <c r="B91" s="205">
        <v>0.10212250931570749</v>
      </c>
      <c r="C91" s="209">
        <f t="dataTable" ref="C91:F93" dt2D="1" dtr="1" r1="E72" r2="F63" ca="1"/>
        <v>22503.457838810427</v>
      </c>
      <c r="D91" s="210">
        <v>26124.507502634508</v>
      </c>
      <c r="E91" s="209">
        <v>29745.557166458584</v>
      </c>
      <c r="F91" s="209">
        <v>33366.606830282661</v>
      </c>
      <c r="P91" s="205">
        <v>0.10212250931570749</v>
      </c>
      <c r="Q91" s="212">
        <f t="dataTable" ref="Q91:T93" dt2D="1" dtr="1" r1="E72" r2="F63"/>
        <v>1.5911687083986256E-2</v>
      </c>
      <c r="R91" s="200">
        <v>2.9830248783260942E-2</v>
      </c>
      <c r="S91" s="198">
        <v>3.9879289824942765E-2</v>
      </c>
      <c r="T91" s="198">
        <v>4.7475534422388284E-2</v>
      </c>
    </row>
    <row r="92" spans="2:20" x14ac:dyDescent="0.2">
      <c r="B92" s="206">
        <v>0.11712250931570749</v>
      </c>
      <c r="C92" s="210">
        <v>20970.685241345709</v>
      </c>
      <c r="D92" s="210">
        <v>24332.272311202581</v>
      </c>
      <c r="E92" s="210">
        <v>27693.85938105945</v>
      </c>
      <c r="F92" s="210">
        <v>31055.446450916319</v>
      </c>
      <c r="P92" s="206">
        <v>0.11712250931570749</v>
      </c>
      <c r="Q92" s="213">
        <v>2.9738348981783149E-2</v>
      </c>
      <c r="R92" s="200">
        <v>4.3846343728404596E-2</v>
      </c>
      <c r="S92" s="200">
        <v>5.4032153245778661E-2</v>
      </c>
      <c r="T92" s="200">
        <v>6.1731783508609431E-2</v>
      </c>
    </row>
    <row r="93" spans="2:20" x14ac:dyDescent="0.2">
      <c r="B93" s="205">
        <v>0.13212250931570749</v>
      </c>
      <c r="C93" s="209">
        <v>19562.099353894446</v>
      </c>
      <c r="D93" s="210">
        <v>22685.91172197499</v>
      </c>
      <c r="E93" s="209">
        <v>25809.72409005553</v>
      </c>
      <c r="F93" s="209">
        <v>28933.536458136074</v>
      </c>
      <c r="P93" s="205">
        <v>0.13212250931570749</v>
      </c>
      <c r="Q93" s="212">
        <v>4.3565010879580042E-2</v>
      </c>
      <c r="R93" s="200">
        <v>5.7862438673548219E-2</v>
      </c>
      <c r="S93" s="198">
        <v>6.8185016666614556E-2</v>
      </c>
      <c r="T93" s="198">
        <v>7.5988032594830598E-2</v>
      </c>
    </row>
    <row r="95" spans="2:20" x14ac:dyDescent="0.2">
      <c r="B95" s="13" t="s">
        <v>31</v>
      </c>
    </row>
    <row r="96" spans="2:20" x14ac:dyDescent="0.2">
      <c r="B96" s="233" t="s">
        <v>167</v>
      </c>
      <c r="C96" s="233"/>
      <c r="D96" s="233"/>
      <c r="E96" s="233"/>
      <c r="F96" s="234">
        <f t="shared" ref="F96:L96" si="64">F9</f>
        <v>39</v>
      </c>
      <c r="G96" s="234">
        <f t="shared" si="64"/>
        <v>43</v>
      </c>
      <c r="H96" s="234">
        <f t="shared" si="64"/>
        <v>30</v>
      </c>
      <c r="I96" s="234">
        <f t="shared" si="64"/>
        <v>26</v>
      </c>
      <c r="J96" s="234">
        <f t="shared" si="64"/>
        <v>14</v>
      </c>
      <c r="K96" s="234">
        <f t="shared" si="64"/>
        <v>4</v>
      </c>
      <c r="L96" s="235">
        <f t="shared" si="64"/>
        <v>4</v>
      </c>
      <c r="M96" s="235">
        <f>'IS &amp; CF Assump'!E5</f>
        <v>8</v>
      </c>
      <c r="N96" s="235">
        <f>'IS &amp; CF Assump'!F5</f>
        <v>9</v>
      </c>
      <c r="O96" s="234">
        <f>O9</f>
        <v>25</v>
      </c>
      <c r="P96" s="235">
        <f>'IS &amp; CF Assump'!G5</f>
        <v>25</v>
      </c>
      <c r="Q96" s="235">
        <f>'IS &amp; CF Assump'!H5</f>
        <v>25</v>
      </c>
      <c r="R96" s="235">
        <f>'IS &amp; CF Assump'!I5</f>
        <v>25</v>
      </c>
      <c r="S96" s="235">
        <f>'IS &amp; CF Assump'!J5</f>
        <v>25</v>
      </c>
      <c r="T96" s="235">
        <f>'IS &amp; CF Assump'!K5</f>
        <v>25</v>
      </c>
    </row>
    <row r="97" spans="2:20" x14ac:dyDescent="0.2">
      <c r="B97" s="1" t="s">
        <v>175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2">
        <f>'IS &amp; CF Assump'!E10</f>
        <v>2.5000000000000001E-3</v>
      </c>
      <c r="N97" s="232">
        <f>'IS &amp; CF Assump'!F10</f>
        <v>2.5000000000000001E-3</v>
      </c>
      <c r="O97" s="232">
        <f>'IS &amp; CF Assump'!F10</f>
        <v>2.5000000000000001E-3</v>
      </c>
      <c r="P97" s="232">
        <f>'IS &amp; CF Assump'!G10</f>
        <v>0.01</v>
      </c>
      <c r="Q97" s="232">
        <f>'IS &amp; CF Assump'!H10</f>
        <v>0.01</v>
      </c>
      <c r="R97" s="232">
        <f>'IS &amp; CF Assump'!I10</f>
        <v>0.01</v>
      </c>
      <c r="S97" s="232">
        <f>'IS &amp; CF Assump'!J10</f>
        <v>0.01</v>
      </c>
      <c r="T97" s="232">
        <f>'IS &amp; CF Assump'!K10</f>
        <v>0.01</v>
      </c>
    </row>
    <row r="98" spans="2:20" x14ac:dyDescent="0.2">
      <c r="B98" s="1" t="s">
        <v>182</v>
      </c>
      <c r="F98" s="232">
        <f>IFERROR((F$44-E$44)/E$44, 0)</f>
        <v>0</v>
      </c>
      <c r="G98" s="232">
        <f>IFERROR((G$44-F$44)/F$44, 0)</f>
        <v>0.28070500927643782</v>
      </c>
      <c r="H98" s="232">
        <f>IFERROR((H$44-G$44)/G$44, 0)</f>
        <v>0.37107999672480146</v>
      </c>
      <c r="I98" s="232">
        <f>IFERROR((I$44-H$44)/H$44, 0)</f>
        <v>0.22992397271286485</v>
      </c>
      <c r="J98" s="232">
        <f>IFERROR((J$44-I$44)/I$44, 0)</f>
        <v>0.19839692831744715</v>
      </c>
      <c r="K98" s="232">
        <v>0</v>
      </c>
      <c r="L98" s="232">
        <f>IFERROR((L$44-K$44)/K$44, 0)</f>
        <v>5.3809129427580468E-2</v>
      </c>
      <c r="M98" s="232">
        <f>IFERROR((M$44-L$44)/L$44, 0)</f>
        <v>5.1546974915077912E-2</v>
      </c>
      <c r="N98" s="232">
        <f>IFERROR((N$44-M$44)/M$44, 0)</f>
        <v>4.3927607847747699E-2</v>
      </c>
      <c r="O98" s="232">
        <f>IFERROR((O$44-J$44)/J$44, 0)</f>
        <v>0.1214063226884224</v>
      </c>
      <c r="P98" s="232">
        <f>IFERROR((P$44-O$44)/O$44, 0)</f>
        <v>0.20650708129416015</v>
      </c>
      <c r="Q98" s="232">
        <f>IFERROR((Q$44-P$44)/P$44, 0)</f>
        <v>0.11373823018149133</v>
      </c>
      <c r="R98" s="232">
        <f>IFERROR((R$44-Q$44)/Q$44, 0)</f>
        <v>0.10409105338520394</v>
      </c>
      <c r="S98" s="232">
        <f>IFERROR((S$44-R$44)/R$44, 0)</f>
        <v>9.6086839569249904E-2</v>
      </c>
      <c r="T98" s="232">
        <f>IFERROR((T$44-S$44)/S$44, 0)</f>
        <v>8.9338837481767547E-2</v>
      </c>
    </row>
    <row r="99" spans="2:20" x14ac:dyDescent="0.2">
      <c r="B99" s="1" t="s">
        <v>46</v>
      </c>
      <c r="F99" s="232">
        <f t="shared" ref="F99:L99" si="65">IFERROR(-F46/F44, 0)</f>
        <v>0.75886101476163592</v>
      </c>
      <c r="G99" s="232">
        <f t="shared" si="65"/>
        <v>0.76679956414665329</v>
      </c>
      <c r="H99" s="232">
        <f t="shared" si="65"/>
        <v>0.78500585708707538</v>
      </c>
      <c r="I99" s="232">
        <f t="shared" si="65"/>
        <v>0.78857531299489059</v>
      </c>
      <c r="J99" s="232">
        <f t="shared" si="65"/>
        <v>0.77977210818627785</v>
      </c>
      <c r="K99" s="232">
        <f t="shared" si="65"/>
        <v>0.77692556983904082</v>
      </c>
      <c r="L99" s="232">
        <f t="shared" si="65"/>
        <v>0.77664130484304528</v>
      </c>
      <c r="M99" s="232">
        <f>'IS &amp; CF Assump'!E15</f>
        <v>0.78047857396581355</v>
      </c>
      <c r="N99" s="232">
        <f>'IS &amp; CF Assump'!F15</f>
        <v>0.77947857396581355</v>
      </c>
      <c r="O99" s="232">
        <f>IFERROR(-O46/O44, 0)</f>
        <v>0.77845169852614848</v>
      </c>
      <c r="P99" s="232">
        <f>'IS &amp; CF Assump'!G15</f>
        <v>0.77647857396581355</v>
      </c>
      <c r="Q99" s="232">
        <f>'IS &amp; CF Assump'!H15</f>
        <v>0.77347857396581354</v>
      </c>
      <c r="R99" s="232">
        <f>'IS &amp; CF Assump'!I15</f>
        <v>0.77047857396581354</v>
      </c>
      <c r="S99" s="232">
        <f>'IS &amp; CF Assump'!J15</f>
        <v>0.76747857396581354</v>
      </c>
      <c r="T99" s="232">
        <f>'IS &amp; CF Assump'!K15</f>
        <v>0.76747857396581354</v>
      </c>
    </row>
    <row r="100" spans="2:20" x14ac:dyDescent="0.2">
      <c r="B100" s="1" t="s">
        <v>39</v>
      </c>
      <c r="F100" s="232">
        <f t="shared" ref="F100:L100" si="66">IFERROR(-F49/F44, 0)</f>
        <v>0.15524723723481487</v>
      </c>
      <c r="G100" s="232">
        <f t="shared" si="66"/>
        <v>0.15506805484697894</v>
      </c>
      <c r="H100" s="232">
        <f t="shared" si="66"/>
        <v>0.14530629120058799</v>
      </c>
      <c r="I100" s="232">
        <f t="shared" si="66"/>
        <v>0.14508695132518601</v>
      </c>
      <c r="J100" s="232">
        <f t="shared" si="66"/>
        <v>0.14307442014124805</v>
      </c>
      <c r="K100" s="232">
        <f t="shared" si="66"/>
        <v>0.14522343451802242</v>
      </c>
      <c r="L100" s="232">
        <f t="shared" si="66"/>
        <v>0.14276276823545492</v>
      </c>
      <c r="M100" s="232">
        <f>'IS &amp; CF Assump'!E20</f>
        <v>0.14403689355497784</v>
      </c>
      <c r="N100" s="232">
        <f>'IS &amp; CF Assump'!F20</f>
        <v>0.14353689355497784</v>
      </c>
      <c r="O100" s="232">
        <f>IFERROR(-O49/O44, 0)</f>
        <v>0.14386681003091961</v>
      </c>
      <c r="P100" s="232">
        <f>'IS &amp; CF Assump'!G20</f>
        <v>0.14153689355497784</v>
      </c>
      <c r="Q100" s="232">
        <f>'IS &amp; CF Assump'!H20</f>
        <v>0.13953689355497784</v>
      </c>
      <c r="R100" s="232">
        <f>'IS &amp; CF Assump'!I20</f>
        <v>0.13753689355497783</v>
      </c>
      <c r="S100" s="232">
        <f>'IS &amp; CF Assump'!J20</f>
        <v>0.13553689355497783</v>
      </c>
      <c r="T100" s="232">
        <f>'IS &amp; CF Assump'!K20</f>
        <v>0.13553689355497783</v>
      </c>
    </row>
    <row r="101" spans="2:20" x14ac:dyDescent="0.2">
      <c r="B101" s="1" t="s">
        <v>102</v>
      </c>
      <c r="F101" s="232">
        <f t="shared" ref="F101:L101" si="67">IFERROR(-F52/F44, 0)</f>
        <v>1.7326772606275714E-2</v>
      </c>
      <c r="G101" s="232">
        <f t="shared" si="67"/>
        <v>1.1097884347700118E-2</v>
      </c>
      <c r="H101" s="232">
        <f t="shared" si="67"/>
        <v>1.5122769138893355E-2</v>
      </c>
      <c r="I101" s="232">
        <f t="shared" si="67"/>
        <v>1.3199569725401141E-2</v>
      </c>
      <c r="J101" s="232">
        <f t="shared" si="67"/>
        <v>1.1740542427396883E-2</v>
      </c>
      <c r="K101" s="232">
        <f t="shared" si="67"/>
        <v>1.2639083936480501E-2</v>
      </c>
      <c r="L101" s="232">
        <f t="shared" si="67"/>
        <v>1.2882135860403663E-2</v>
      </c>
      <c r="M101" s="232">
        <f>'IS &amp; CF Assump'!E25</f>
        <v>1.2615332987420546E-2</v>
      </c>
      <c r="N101" s="232">
        <f>'IS &amp; CF Assump'!F25</f>
        <v>1.2615332987420499E-2</v>
      </c>
      <c r="O101" s="232">
        <f>IFERROR(-O52/O44, 0)</f>
        <v>1.2685934554743034E-2</v>
      </c>
      <c r="P101" s="232">
        <f>'IS &amp; CF Assump'!G25</f>
        <v>1.2615332987420499E-2</v>
      </c>
      <c r="Q101" s="232">
        <f>'IS &amp; CF Assump'!H25</f>
        <v>1.2615332987420499E-2</v>
      </c>
      <c r="R101" s="232">
        <f>'IS &amp; CF Assump'!I25</f>
        <v>1.2615332987420546E-2</v>
      </c>
      <c r="S101" s="232">
        <f>'IS &amp; CF Assump'!J25</f>
        <v>1.2615332987420546E-2</v>
      </c>
      <c r="T101" s="232">
        <f>'IS &amp; CF Assump'!K25</f>
        <v>1.2615332987420546E-2</v>
      </c>
    </row>
    <row r="102" spans="2:20" x14ac:dyDescent="0.2">
      <c r="B102" s="1" t="s">
        <v>47</v>
      </c>
      <c r="F102" s="232">
        <f t="shared" ref="F102:L102" si="68">IFERROR(-F59/F44, 0)</f>
        <v>5.1706057917238042E-2</v>
      </c>
      <c r="G102" s="232">
        <f t="shared" si="68"/>
        <v>9.0225421839275927E-2</v>
      </c>
      <c r="H102" s="232">
        <f t="shared" si="68"/>
        <v>3.9892505225440432E-2</v>
      </c>
      <c r="I102" s="232">
        <f t="shared" si="68"/>
        <v>4.4084471270206475E-2</v>
      </c>
      <c r="J102" s="232">
        <f t="shared" si="68"/>
        <v>3.8550244036228316E-2</v>
      </c>
      <c r="K102" s="232">
        <f t="shared" si="68"/>
        <v>4.0509884411796482E-2</v>
      </c>
      <c r="L102" s="232">
        <f t="shared" si="68"/>
        <v>2.7814479019545306E-2</v>
      </c>
      <c r="M102" s="232">
        <f>'IS &amp; CF Assump'!E31</f>
        <v>3.8550244036228316E-2</v>
      </c>
      <c r="N102" s="232">
        <f>'IS &amp; CF Assump'!F31</f>
        <v>3.455024403622832E-2</v>
      </c>
      <c r="O102" s="232">
        <f>IFERROR(-O59/O44, 0)</f>
        <v>3.5312953569110857E-2</v>
      </c>
      <c r="P102" s="232">
        <f>'IS &amp; CF Assump'!G31</f>
        <v>3.055024403622832E-2</v>
      </c>
      <c r="Q102" s="232">
        <f>'IS &amp; CF Assump'!H31</f>
        <v>2.655024403622832E-2</v>
      </c>
      <c r="R102" s="232">
        <f>'IS &amp; CF Assump'!I31</f>
        <v>2.2550244036228319E-2</v>
      </c>
      <c r="S102" s="232">
        <f>'IS &amp; CF Assump'!J31</f>
        <v>1.8550244036228319E-2</v>
      </c>
      <c r="T102" s="232">
        <f>'IS &amp; CF Assump'!K31</f>
        <v>1.8550244036228319E-2</v>
      </c>
    </row>
    <row r="103" spans="2:20" x14ac:dyDescent="0.2">
      <c r="B103" s="1" t="s">
        <v>44</v>
      </c>
      <c r="F103" s="232">
        <f t="shared" ref="F103:L103" si="69">IFERROR(F55/F53, 0)</f>
        <v>2.0000000000000005E-3</v>
      </c>
      <c r="G103" s="232">
        <f t="shared" si="69"/>
        <v>-1.7664192426947292E-2</v>
      </c>
      <c r="H103" s="232">
        <f t="shared" si="69"/>
        <v>-1.9784475500926105E-2</v>
      </c>
      <c r="I103" s="232">
        <f t="shared" si="69"/>
        <v>-3.0013354888592147E-2</v>
      </c>
      <c r="J103" s="232">
        <f t="shared" si="69"/>
        <v>-8.7669144272917776E-2</v>
      </c>
      <c r="K103" s="232">
        <f t="shared" si="69"/>
        <v>-8.2459046567274208E-2</v>
      </c>
      <c r="L103" s="232">
        <f t="shared" si="69"/>
        <v>-5.6518082422203547E-2</v>
      </c>
      <c r="M103" s="232">
        <v>-0.34</v>
      </c>
      <c r="N103" s="232">
        <v>-0.34</v>
      </c>
      <c r="O103" s="232">
        <f>IFERROR(O55/O53, 0)</f>
        <v>-0.20810344175070197</v>
      </c>
      <c r="P103" s="232">
        <v>-0.34</v>
      </c>
      <c r="Q103" s="232">
        <v>-0.34</v>
      </c>
      <c r="R103" s="232">
        <v>-0.34</v>
      </c>
      <c r="S103" s="232">
        <v>-0.34</v>
      </c>
      <c r="T103" s="232">
        <v>-0.34</v>
      </c>
    </row>
    <row r="104" spans="2:20" ht="13.5" thickBot="1" x14ac:dyDescent="0.25">
      <c r="B104" s="236" t="s">
        <v>48</v>
      </c>
      <c r="C104" s="236"/>
      <c r="D104" s="236"/>
      <c r="E104" s="236"/>
      <c r="F104" s="237">
        <f>'Working Cap.'!E23</f>
        <v>0.22723239493425831</v>
      </c>
      <c r="G104" s="237">
        <f>'Working Cap.'!F23</f>
        <v>0.25058418205065219</v>
      </c>
      <c r="H104" s="237">
        <f>'Working Cap.'!G23</f>
        <v>0.2088063026850725</v>
      </c>
      <c r="I104" s="237">
        <f>'Working Cap.'!H23</f>
        <v>0.20224773657632894</v>
      </c>
      <c r="J104" s="237">
        <f>'Working Cap.'!I23</f>
        <v>0.19772544521807428</v>
      </c>
      <c r="K104" s="237">
        <f>'Working Cap.'!N23</f>
        <v>0.1913172603052197</v>
      </c>
      <c r="L104" s="237">
        <f>'Working Cap.'!O23</f>
        <v>0.1827157565615036</v>
      </c>
      <c r="M104" s="238">
        <f>'Working Cap.'!M23</f>
        <v>0.71425093906485859</v>
      </c>
      <c r="N104" s="238">
        <f>'Working Cap.'!N23</f>
        <v>0.1913172603052197</v>
      </c>
      <c r="O104" s="237">
        <f>'Working Cap.'!N23</f>
        <v>0.1913172603052197</v>
      </c>
      <c r="P104" s="238">
        <f>'Working Cap.'!O23</f>
        <v>0.1827157565615036</v>
      </c>
      <c r="Q104" s="238">
        <f>'Working Cap.'!P23</f>
        <v>0.17264692176780033</v>
      </c>
      <c r="R104" s="238">
        <f>'Working Cap.'!Q23</f>
        <v>0.16472186388907187</v>
      </c>
      <c r="S104" s="238">
        <f>'Working Cap.'!R23</f>
        <v>0.15955297039390495</v>
      </c>
      <c r="T104" s="238">
        <f>'Working Cap.'!S23</f>
        <v>0.15681324436650776</v>
      </c>
    </row>
  </sheetData>
  <dataValidations count="1">
    <dataValidation type="list" allowBlank="1" showInputMessage="1" showErrorMessage="1" sqref="D6" xr:uid="{4DE1AED6-8455-42DE-82EB-81EC8E2F9C70}">
      <formula1>"Bear, Base, Bull"</formula1>
    </dataValidation>
  </dataValidations>
  <pageMargins left="0.7" right="0.7" top="0.75" bottom="0.75" header="0.3" footer="0.3"/>
  <ignoredErrors>
    <ignoredError sqref="O16:T24 K35:N37 P42:T43 O46:T60 Q45:T45 O65:O66 O41:O45 O26:T40 P25:T25 F35:J37 P61:T61 E74 O9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0198-213B-420B-906A-27BBE62DE346}">
  <dimension ref="A1:AP33"/>
  <sheetViews>
    <sheetView showGridLines="0" zoomScaleNormal="100" workbookViewId="0">
      <selection activeCell="K29" sqref="K29"/>
    </sheetView>
  </sheetViews>
  <sheetFormatPr defaultRowHeight="11.25" outlineLevelCol="1" x14ac:dyDescent="0.2"/>
  <cols>
    <col min="1" max="1" width="2.7109375" style="12" customWidth="1"/>
    <col min="2" max="2" width="14.85546875" style="12" customWidth="1"/>
    <col min="3" max="5" width="9.28515625" style="12" customWidth="1"/>
    <col min="6" max="6" width="10.5703125" style="12" hidden="1" customWidth="1" outlineLevel="1"/>
    <col min="7" max="10" width="9.140625" style="12" hidden="1" customWidth="1" outlineLevel="1"/>
    <col min="11" max="11" width="9.7109375" style="12" customWidth="1" collapsed="1"/>
    <col min="12" max="12" width="9.140625" style="12"/>
    <col min="13" max="14" width="9.140625" style="12" hidden="1" customWidth="1" outlineLevel="1"/>
    <col min="15" max="21" width="8" style="12" hidden="1" customWidth="1" outlineLevel="1"/>
    <col min="22" max="22" width="7.42578125" style="12" customWidth="1" collapsed="1"/>
    <col min="23" max="24" width="7.42578125" style="12" customWidth="1"/>
    <col min="25" max="25" width="0.85546875" style="12" customWidth="1"/>
    <col min="26" max="28" width="7.42578125" style="12" customWidth="1"/>
    <col min="29" max="29" width="0.85546875" style="12" customWidth="1"/>
    <col min="30" max="32" width="7.42578125" style="12" customWidth="1"/>
    <col min="33" max="33" width="0.85546875" style="12" customWidth="1"/>
    <col min="34" max="34" width="7.42578125" style="12" customWidth="1"/>
    <col min="35" max="35" width="0.85546875" style="12" customWidth="1"/>
    <col min="36" max="38" width="7.42578125" style="12" customWidth="1"/>
    <col min="39" max="39" width="0.85546875" style="12" customWidth="1"/>
    <col min="40" max="42" width="7.42578125" style="12" customWidth="1"/>
    <col min="43" max="16384" width="9.140625" style="12"/>
  </cols>
  <sheetData>
    <row r="1" spans="1:42" x14ac:dyDescent="0.2">
      <c r="A1" s="106"/>
      <c r="B1" s="107" t="s">
        <v>94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</row>
    <row r="2" spans="1:42" x14ac:dyDescent="0.2">
      <c r="A2" s="106"/>
      <c r="B2" s="107" t="s">
        <v>67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</row>
    <row r="3" spans="1:42" x14ac:dyDescent="0.2">
      <c r="A3" s="106"/>
      <c r="B3" s="108" t="s">
        <v>125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</row>
    <row r="4" spans="1:42" x14ac:dyDescent="0.2">
      <c r="M4" s="51"/>
      <c r="N4" s="51"/>
      <c r="O4" s="69"/>
      <c r="P4" s="69"/>
      <c r="Q4" s="69"/>
      <c r="R4" s="69"/>
      <c r="S4" s="51"/>
      <c r="T4" s="69"/>
      <c r="U4" s="69"/>
      <c r="V4" s="70" t="s">
        <v>124</v>
      </c>
      <c r="W4" s="70"/>
      <c r="X4" s="70"/>
      <c r="Y4" s="70"/>
      <c r="Z4" s="70"/>
      <c r="AA4" s="70"/>
      <c r="AB4" s="70"/>
      <c r="AC4" s="51"/>
      <c r="AD4" s="70" t="s">
        <v>120</v>
      </c>
      <c r="AE4" s="71"/>
      <c r="AF4" s="71"/>
      <c r="AG4" s="51"/>
      <c r="AH4" s="50" t="s">
        <v>86</v>
      </c>
      <c r="AI4" s="51"/>
      <c r="AJ4" s="70" t="s">
        <v>87</v>
      </c>
      <c r="AK4" s="70"/>
      <c r="AL4" s="71"/>
      <c r="AM4" s="70"/>
      <c r="AN4" s="71"/>
      <c r="AO4" s="70"/>
      <c r="AP4" s="71"/>
    </row>
    <row r="5" spans="1:42" x14ac:dyDescent="0.2">
      <c r="B5" s="49"/>
      <c r="C5" s="50" t="s">
        <v>126</v>
      </c>
      <c r="D5" s="70" t="s">
        <v>93</v>
      </c>
      <c r="E5" s="70"/>
      <c r="F5" s="50" t="s">
        <v>111</v>
      </c>
      <c r="G5" s="51" t="s">
        <v>112</v>
      </c>
      <c r="H5" s="51" t="s">
        <v>122</v>
      </c>
      <c r="I5" s="51" t="s">
        <v>116</v>
      </c>
      <c r="J5" s="51" t="s">
        <v>113</v>
      </c>
      <c r="K5" s="51" t="s">
        <v>79</v>
      </c>
      <c r="L5" s="50" t="s">
        <v>74</v>
      </c>
      <c r="M5" s="70" t="s">
        <v>4</v>
      </c>
      <c r="N5" s="70"/>
      <c r="O5" s="71"/>
      <c r="P5" s="70" t="s">
        <v>8</v>
      </c>
      <c r="Q5" s="70"/>
      <c r="R5" s="71"/>
      <c r="S5" s="70" t="s">
        <v>92</v>
      </c>
      <c r="T5" s="70"/>
      <c r="U5" s="71"/>
      <c r="V5" s="70" t="s">
        <v>4</v>
      </c>
      <c r="W5" s="70"/>
      <c r="X5" s="71"/>
      <c r="Y5" s="69"/>
      <c r="Z5" s="70" t="s">
        <v>8</v>
      </c>
      <c r="AA5" s="70"/>
      <c r="AB5" s="71"/>
      <c r="AC5" s="69"/>
      <c r="AD5" s="70" t="s">
        <v>92</v>
      </c>
      <c r="AE5" s="70"/>
      <c r="AF5" s="71"/>
      <c r="AG5" s="69"/>
      <c r="AH5" s="73" t="s">
        <v>66</v>
      </c>
      <c r="AI5" s="69"/>
      <c r="AJ5" s="70" t="s">
        <v>8</v>
      </c>
      <c r="AK5" s="70"/>
      <c r="AL5" s="71"/>
      <c r="AM5" s="69"/>
      <c r="AN5" s="70" t="s">
        <v>92</v>
      </c>
      <c r="AO5" s="70"/>
      <c r="AP5" s="71"/>
    </row>
    <row r="6" spans="1:42" ht="12" thickBot="1" x14ac:dyDescent="0.25">
      <c r="B6" s="52" t="s">
        <v>68</v>
      </c>
      <c r="C6" s="55">
        <v>45891</v>
      </c>
      <c r="D6" s="52" t="s">
        <v>83</v>
      </c>
      <c r="E6" s="52" t="s">
        <v>84</v>
      </c>
      <c r="F6" s="52" t="s">
        <v>110</v>
      </c>
      <c r="G6" s="52" t="s">
        <v>79</v>
      </c>
      <c r="H6" s="52" t="s">
        <v>123</v>
      </c>
      <c r="I6" s="52" t="s">
        <v>115</v>
      </c>
      <c r="J6" s="52" t="s">
        <v>117</v>
      </c>
      <c r="K6" s="52" t="s">
        <v>75</v>
      </c>
      <c r="L6" s="52" t="s">
        <v>75</v>
      </c>
      <c r="M6" s="52" t="s">
        <v>114</v>
      </c>
      <c r="N6" s="52" t="s">
        <v>85</v>
      </c>
      <c r="O6" s="52" t="s">
        <v>119</v>
      </c>
      <c r="P6" s="52" t="s">
        <v>114</v>
      </c>
      <c r="Q6" s="52" t="s">
        <v>85</v>
      </c>
      <c r="R6" s="52" t="s">
        <v>119</v>
      </c>
      <c r="S6" s="52" t="s">
        <v>114</v>
      </c>
      <c r="T6" s="52" t="s">
        <v>85</v>
      </c>
      <c r="U6" s="52" t="s">
        <v>119</v>
      </c>
      <c r="V6" s="52" t="s">
        <v>114</v>
      </c>
      <c r="W6" s="52" t="s">
        <v>85</v>
      </c>
      <c r="X6" s="52" t="s">
        <v>119</v>
      </c>
      <c r="Y6" s="50"/>
      <c r="Z6" s="52" t="s">
        <v>114</v>
      </c>
      <c r="AA6" s="52" t="s">
        <v>85</v>
      </c>
      <c r="AB6" s="52" t="s">
        <v>119</v>
      </c>
      <c r="AC6" s="50"/>
      <c r="AD6" s="52" t="s">
        <v>114</v>
      </c>
      <c r="AE6" s="52" t="s">
        <v>85</v>
      </c>
      <c r="AF6" s="52" t="s">
        <v>119</v>
      </c>
      <c r="AG6" s="50"/>
      <c r="AH6" s="72" t="s">
        <v>121</v>
      </c>
      <c r="AI6" s="50"/>
      <c r="AJ6" s="52" t="s">
        <v>114</v>
      </c>
      <c r="AK6" s="52" t="s">
        <v>85</v>
      </c>
      <c r="AL6" s="52" t="s">
        <v>119</v>
      </c>
      <c r="AM6" s="50"/>
      <c r="AN6" s="52" t="s">
        <v>114</v>
      </c>
      <c r="AO6" s="52" t="s">
        <v>85</v>
      </c>
      <c r="AP6" s="52" t="s">
        <v>119</v>
      </c>
    </row>
    <row r="7" spans="1:42" ht="21" customHeight="1" x14ac:dyDescent="0.2">
      <c r="B7" s="53" t="s">
        <v>105</v>
      </c>
      <c r="C7" s="138">
        <v>16.829999999999998</v>
      </c>
      <c r="D7" s="64">
        <v>-0.11764705882352933</v>
      </c>
      <c r="E7" s="64">
        <v>0.1699346405228761</v>
      </c>
      <c r="F7" s="65">
        <v>17332</v>
      </c>
      <c r="G7" s="65">
        <v>0</v>
      </c>
      <c r="H7" s="65">
        <v>0</v>
      </c>
      <c r="I7" s="65">
        <v>23033.4</v>
      </c>
      <c r="J7" s="65">
        <v>9485.7999999999993</v>
      </c>
      <c r="K7" s="65">
        <f t="shared" ref="K7:K13" si="0">C7*F7</f>
        <v>291697.56</v>
      </c>
      <c r="L7" s="54">
        <f t="shared" ref="L7:L13" si="1">K7+G7+H7+I7-J7</f>
        <v>305245.16000000003</v>
      </c>
      <c r="M7" s="54">
        <v>289785.90000000002</v>
      </c>
      <c r="N7" s="54">
        <v>300032.94</v>
      </c>
      <c r="O7" s="54">
        <v>322916.46000000002</v>
      </c>
      <c r="P7" s="54">
        <v>27721.1</v>
      </c>
      <c r="Q7" s="54">
        <v>30608.83</v>
      </c>
      <c r="R7" s="54">
        <v>33143.9</v>
      </c>
      <c r="S7" s="54">
        <v>15109.2</v>
      </c>
      <c r="T7" s="54">
        <v>15881.68</v>
      </c>
      <c r="U7" s="54">
        <v>17273.16</v>
      </c>
      <c r="V7" s="158">
        <f>$L7/M7</f>
        <v>1.0533471780373027</v>
      </c>
      <c r="W7" s="158">
        <f t="shared" ref="W7:X7" si="2">$L7/N7</f>
        <v>1.0173721592035863</v>
      </c>
      <c r="X7" s="158">
        <f t="shared" si="2"/>
        <v>0.94527593917014952</v>
      </c>
      <c r="Y7" s="158"/>
      <c r="Z7" s="158">
        <f>$L7/P7</f>
        <v>11.011293202650689</v>
      </c>
      <c r="AA7" s="158">
        <f>$L7/Q7</f>
        <v>9.972454353858021</v>
      </c>
      <c r="AB7" s="158">
        <f>$L7/R7</f>
        <v>9.2096934880928316</v>
      </c>
      <c r="AC7" s="158"/>
      <c r="AD7" s="158">
        <f>$K7/S7</f>
        <v>19.305956635692159</v>
      </c>
      <c r="AE7" s="158">
        <f>$K7/T7</f>
        <v>18.36692087990691</v>
      </c>
      <c r="AF7" s="158">
        <f>$K7/U7</f>
        <v>16.887330401617305</v>
      </c>
      <c r="AG7" s="158"/>
      <c r="AH7" s="64">
        <f>(O7/M7)^(1/2)-1</f>
        <v>5.5617220273391554E-2</v>
      </c>
      <c r="AI7" s="158"/>
      <c r="AJ7" s="64">
        <f t="shared" ref="AJ7:AL13" si="3">P7/M7</f>
        <v>9.5660623929597663E-2</v>
      </c>
      <c r="AK7" s="64">
        <f t="shared" si="3"/>
        <v>0.10201823173148922</v>
      </c>
      <c r="AL7" s="64">
        <f t="shared" si="3"/>
        <v>0.10263923988266191</v>
      </c>
      <c r="AM7" s="158"/>
      <c r="AN7" s="64">
        <f t="shared" ref="AN7:AP13" si="4">S7/M7</f>
        <v>5.2139182755268632E-2</v>
      </c>
      <c r="AO7" s="64">
        <f t="shared" si="4"/>
        <v>5.2933121276617159E-2</v>
      </c>
      <c r="AP7" s="64">
        <f t="shared" si="4"/>
        <v>5.3491110363342885E-2</v>
      </c>
    </row>
    <row r="8" spans="1:42" ht="21" customHeight="1" x14ac:dyDescent="0.2">
      <c r="B8" s="53" t="s">
        <v>190</v>
      </c>
      <c r="C8" s="138">
        <v>7.45</v>
      </c>
      <c r="D8" s="64">
        <v>-9.7986577181208068E-2</v>
      </c>
      <c r="E8" s="64">
        <v>0.22684563758389276</v>
      </c>
      <c r="F8" s="65">
        <v>1800</v>
      </c>
      <c r="G8" s="65">
        <v>0</v>
      </c>
      <c r="H8" s="65">
        <v>36.159999999999997</v>
      </c>
      <c r="I8" s="65">
        <v>8816.4</v>
      </c>
      <c r="J8" s="65">
        <v>2204.5</v>
      </c>
      <c r="K8" s="65">
        <f t="shared" si="0"/>
        <v>13410</v>
      </c>
      <c r="L8" s="54">
        <f t="shared" si="1"/>
        <v>20058.059999999998</v>
      </c>
      <c r="M8" s="54">
        <v>51429.8</v>
      </c>
      <c r="N8" s="54">
        <v>53489.59</v>
      </c>
      <c r="O8" s="54">
        <v>55498.29</v>
      </c>
      <c r="P8" s="54">
        <v>3373.4</v>
      </c>
      <c r="Q8" s="54">
        <v>3804.38</v>
      </c>
      <c r="R8" s="54">
        <v>3837.42</v>
      </c>
      <c r="S8" s="54">
        <v>1114.9000000000001</v>
      </c>
      <c r="T8" s="54">
        <v>1197.0899999999999</v>
      </c>
      <c r="U8" s="54">
        <v>1202.1199999999999</v>
      </c>
      <c r="V8" s="158">
        <f t="shared" ref="V8:V9" si="5">$L8/M8</f>
        <v>0.39000851646321777</v>
      </c>
      <c r="W8" s="158">
        <f t="shared" ref="W8:W12" si="6">$L8/N8</f>
        <v>0.37498997468479378</v>
      </c>
      <c r="X8" s="158">
        <f t="shared" ref="X8:X12" si="7">$L8/O8</f>
        <v>0.36141762205646333</v>
      </c>
      <c r="Y8" s="158"/>
      <c r="Z8" s="158">
        <f t="shared" ref="Z8:Z12" si="8">$L8/P8</f>
        <v>5.9459477085433088</v>
      </c>
      <c r="AA8" s="158">
        <f t="shared" ref="AA8:AA12" si="9">$L8/Q8</f>
        <v>5.2723597537575104</v>
      </c>
      <c r="AB8" s="158">
        <f t="shared" ref="AB8:AB12" si="10">$L8/R8</f>
        <v>5.2269649921040688</v>
      </c>
      <c r="AC8" s="158"/>
      <c r="AD8" s="158">
        <f t="shared" ref="AD8:AD12" si="11">$K8/S8</f>
        <v>12.027984572607409</v>
      </c>
      <c r="AE8" s="158">
        <f t="shared" ref="AE8:AE12" si="12">$K8/T8</f>
        <v>11.202165250733028</v>
      </c>
      <c r="AF8" s="158">
        <f t="shared" ref="AF8:AF12" si="13">$K8/U8</f>
        <v>11.155292316906799</v>
      </c>
      <c r="AG8" s="158"/>
      <c r="AH8" s="64">
        <f t="shared" ref="AH8:AH13" si="14">(O8/M8)^(1/2)-1</f>
        <v>3.8801057943340655E-2</v>
      </c>
      <c r="AI8" s="158"/>
      <c r="AJ8" s="64">
        <f t="shared" si="3"/>
        <v>6.5592321961197589E-2</v>
      </c>
      <c r="AK8" s="64">
        <f t="shared" si="3"/>
        <v>7.1123745760623705E-2</v>
      </c>
      <c r="AL8" s="64">
        <f t="shared" si="3"/>
        <v>6.9144833111074236E-2</v>
      </c>
      <c r="AM8" s="158"/>
      <c r="AN8" s="64">
        <f t="shared" si="4"/>
        <v>2.1678093245550246E-2</v>
      </c>
      <c r="AO8" s="64">
        <f t="shared" si="4"/>
        <v>2.2379868680990078E-2</v>
      </c>
      <c r="AP8" s="64">
        <f t="shared" si="4"/>
        <v>2.1660487196992914E-2</v>
      </c>
    </row>
    <row r="9" spans="1:42" ht="21" customHeight="1" x14ac:dyDescent="0.2">
      <c r="B9" s="53" t="s">
        <v>106</v>
      </c>
      <c r="C9" s="138">
        <v>17.649999999999999</v>
      </c>
      <c r="D9" s="64">
        <v>-0.44419263456090641</v>
      </c>
      <c r="E9" s="64">
        <v>8.8951841359773409E-2</v>
      </c>
      <c r="F9" s="65">
        <v>2754</v>
      </c>
      <c r="G9" s="65">
        <v>0</v>
      </c>
      <c r="H9" s="65">
        <v>3634.54</v>
      </c>
      <c r="I9" s="65">
        <v>31427.4</v>
      </c>
      <c r="J9" s="65">
        <v>2518.8000000000002</v>
      </c>
      <c r="K9" s="65">
        <f t="shared" si="0"/>
        <v>48608.1</v>
      </c>
      <c r="L9" s="54">
        <f t="shared" si="1"/>
        <v>81151.240000000005</v>
      </c>
      <c r="M9" s="54">
        <v>95056.7</v>
      </c>
      <c r="N9" s="54">
        <v>96648.81</v>
      </c>
      <c r="O9" s="54">
        <v>100787.87</v>
      </c>
      <c r="P9" s="54">
        <v>6641.2</v>
      </c>
      <c r="Q9" s="54">
        <v>9622.84</v>
      </c>
      <c r="R9" s="54">
        <v>10646.03</v>
      </c>
      <c r="S9" s="54">
        <v>1618.8</v>
      </c>
      <c r="T9" s="54">
        <v>3714.93</v>
      </c>
      <c r="U9" s="54">
        <v>4018.73</v>
      </c>
      <c r="V9" s="158">
        <f t="shared" si="5"/>
        <v>0.85371404645858739</v>
      </c>
      <c r="W9" s="158">
        <f t="shared" si="6"/>
        <v>0.83965068995676206</v>
      </c>
      <c r="X9" s="158">
        <f t="shared" si="7"/>
        <v>0.80516871722757921</v>
      </c>
      <c r="Y9" s="158"/>
      <c r="Z9" s="158">
        <f t="shared" si="8"/>
        <v>12.219363970366802</v>
      </c>
      <c r="AA9" s="158">
        <f t="shared" si="9"/>
        <v>8.4331902016452531</v>
      </c>
      <c r="AB9" s="158">
        <f t="shared" si="10"/>
        <v>7.6226762464505544</v>
      </c>
      <c r="AC9" s="158"/>
      <c r="AD9" s="158">
        <f t="shared" si="11"/>
        <v>30.027242401779095</v>
      </c>
      <c r="AE9" s="158">
        <f t="shared" si="12"/>
        <v>13.084526491750854</v>
      </c>
      <c r="AF9" s="158">
        <f t="shared" si="13"/>
        <v>12.095388344078851</v>
      </c>
      <c r="AG9" s="158"/>
      <c r="AH9" s="64">
        <f t="shared" si="14"/>
        <v>2.9704870527033744E-2</v>
      </c>
      <c r="AI9" s="158"/>
      <c r="AJ9" s="64">
        <f t="shared" si="3"/>
        <v>6.9865669647694487E-2</v>
      </c>
      <c r="AK9" s="64">
        <f t="shared" si="3"/>
        <v>9.9565012750803664E-2</v>
      </c>
      <c r="AL9" s="64">
        <f t="shared" si="3"/>
        <v>0.10562808798320672</v>
      </c>
      <c r="AM9" s="158"/>
      <c r="AN9" s="64">
        <f t="shared" si="4"/>
        <v>1.7029835876902943E-2</v>
      </c>
      <c r="AO9" s="64">
        <f t="shared" si="4"/>
        <v>3.8437410662376492E-2</v>
      </c>
      <c r="AP9" s="64">
        <f t="shared" si="4"/>
        <v>3.9873151402048682E-2</v>
      </c>
    </row>
    <row r="10" spans="1:42" ht="21" customHeight="1" x14ac:dyDescent="0.2">
      <c r="B10" s="140" t="s">
        <v>107</v>
      </c>
      <c r="C10" s="141">
        <v>9.82</v>
      </c>
      <c r="D10" s="142">
        <v>-0.48574338085539714</v>
      </c>
      <c r="E10" s="142">
        <v>0.22606924643584514</v>
      </c>
      <c r="F10" s="143">
        <v>1352.4</v>
      </c>
      <c r="G10" s="143">
        <v>0</v>
      </c>
      <c r="H10" s="143">
        <v>0</v>
      </c>
      <c r="I10" s="143">
        <v>26415</v>
      </c>
      <c r="J10" s="143">
        <v>4459</v>
      </c>
      <c r="K10" s="143">
        <f t="shared" si="0"/>
        <v>13280.568000000001</v>
      </c>
      <c r="L10" s="144">
        <f t="shared" si="1"/>
        <v>35236.567999999999</v>
      </c>
      <c r="M10" s="144">
        <v>76280</v>
      </c>
      <c r="N10" s="144">
        <v>79887.009999999995</v>
      </c>
      <c r="O10" s="144">
        <v>86298.43</v>
      </c>
      <c r="P10" s="144">
        <v>5129</v>
      </c>
      <c r="Q10" s="144">
        <v>6120.57</v>
      </c>
      <c r="R10" s="144">
        <v>6660.26</v>
      </c>
      <c r="S10" s="144">
        <v>922</v>
      </c>
      <c r="T10" s="144">
        <v>834.93</v>
      </c>
      <c r="U10" s="144">
        <v>1232.24</v>
      </c>
      <c r="V10" s="159">
        <f>$L10/M10</f>
        <v>0.46193717881489249</v>
      </c>
      <c r="W10" s="159">
        <f>$L10/N10</f>
        <v>0.44108007046452236</v>
      </c>
      <c r="X10" s="159">
        <f>$L10/O10</f>
        <v>0.40831064945213952</v>
      </c>
      <c r="Y10" s="159"/>
      <c r="Z10" s="159">
        <f>$L10/P10</f>
        <v>6.8700658997855335</v>
      </c>
      <c r="AA10" s="159">
        <f>$L10/Q10</f>
        <v>5.7570729523557445</v>
      </c>
      <c r="AB10" s="159">
        <f>$L10/R10</f>
        <v>5.2905694372291769</v>
      </c>
      <c r="AC10" s="159"/>
      <c r="AD10" s="159">
        <f t="shared" ref="AD10:AF11" si="15">$K10/S10</f>
        <v>14.40408676789588</v>
      </c>
      <c r="AE10" s="159">
        <f t="shared" si="15"/>
        <v>15.906205310624845</v>
      </c>
      <c r="AF10" s="159">
        <f t="shared" si="15"/>
        <v>10.777582289164449</v>
      </c>
      <c r="AG10" s="159"/>
      <c r="AH10" s="142">
        <f>(O10/M10)^(1/2)-1</f>
        <v>6.3643536201287265E-2</v>
      </c>
      <c r="AI10" s="159"/>
      <c r="AJ10" s="142">
        <f t="shared" si="3"/>
        <v>6.7239119035133715E-2</v>
      </c>
      <c r="AK10" s="142">
        <f t="shared" si="3"/>
        <v>7.6615334583181927E-2</v>
      </c>
      <c r="AL10" s="142">
        <f t="shared" si="3"/>
        <v>7.717707031286665E-2</v>
      </c>
      <c r="AM10" s="159"/>
      <c r="AN10" s="142">
        <f t="shared" si="4"/>
        <v>1.2087047718930257E-2</v>
      </c>
      <c r="AO10" s="142">
        <f t="shared" si="4"/>
        <v>1.0451386276692544E-2</v>
      </c>
      <c r="AP10" s="145">
        <f t="shared" si="4"/>
        <v>1.4278822917172423E-2</v>
      </c>
    </row>
    <row r="11" spans="1:42" ht="21" customHeight="1" x14ac:dyDescent="0.2">
      <c r="B11" s="53" t="s">
        <v>206</v>
      </c>
      <c r="C11" s="215">
        <v>3.23</v>
      </c>
      <c r="D11" s="64">
        <v>-0.32507739938080493</v>
      </c>
      <c r="E11" s="64">
        <v>0.53250773993808065</v>
      </c>
      <c r="F11" s="216">
        <v>512.5</v>
      </c>
      <c r="G11" s="65">
        <v>0</v>
      </c>
      <c r="H11" s="216">
        <v>11</v>
      </c>
      <c r="I11" s="216">
        <v>8780</v>
      </c>
      <c r="J11" s="216">
        <v>1769</v>
      </c>
      <c r="K11" s="65">
        <f>C11*F11</f>
        <v>1655.375</v>
      </c>
      <c r="L11" s="54">
        <f>K11+G11+H11+I11-J11</f>
        <v>8677.375</v>
      </c>
      <c r="M11" s="54">
        <v>19158</v>
      </c>
      <c r="N11" s="54">
        <v>20010.75</v>
      </c>
      <c r="O11" s="54">
        <v>21333.56</v>
      </c>
      <c r="P11" s="54">
        <v>657</v>
      </c>
      <c r="Q11" s="54">
        <v>1830.14</v>
      </c>
      <c r="R11" s="54">
        <v>1966.31</v>
      </c>
      <c r="S11" s="54">
        <v>-1800</v>
      </c>
      <c r="T11" s="54">
        <v>-502.5</v>
      </c>
      <c r="U11" s="54">
        <v>-390.1</v>
      </c>
      <c r="V11" s="158">
        <f>$L11/M11</f>
        <v>0.45293741517903746</v>
      </c>
      <c r="W11" s="158">
        <f t="shared" ref="W11" si="16">$L11/N11</f>
        <v>0.4336356708269305</v>
      </c>
      <c r="X11" s="158">
        <f t="shared" ref="X11" si="17">$L11/O11</f>
        <v>0.40674763143141601</v>
      </c>
      <c r="Y11" s="158"/>
      <c r="Z11" s="158">
        <f>$L11/P11</f>
        <v>13.207572298325722</v>
      </c>
      <c r="AA11" s="158">
        <f t="shared" si="9"/>
        <v>4.7413722447463034</v>
      </c>
      <c r="AB11" s="158">
        <f>$L11/R11</f>
        <v>4.4130249045165817</v>
      </c>
      <c r="AC11" s="158"/>
      <c r="AD11" s="158">
        <f t="shared" si="15"/>
        <v>-0.91965277777777776</v>
      </c>
      <c r="AE11" s="158">
        <f t="shared" si="15"/>
        <v>-3.2942786069651739</v>
      </c>
      <c r="AF11" s="158">
        <f t="shared" si="15"/>
        <v>-4.2434632145603688</v>
      </c>
      <c r="AG11" s="158"/>
      <c r="AH11" s="64">
        <f>(O11/M11)^(1/2)-1</f>
        <v>5.5252968060196528E-2</v>
      </c>
      <c r="AI11" s="158"/>
      <c r="AJ11" s="64">
        <f t="shared" ref="AJ11" si="18">P11/M11</f>
        <v>3.4293767616661447E-2</v>
      </c>
      <c r="AK11" s="64">
        <f t="shared" ref="AK11" si="19">Q11/N11</f>
        <v>9.1457841410242005E-2</v>
      </c>
      <c r="AL11" s="64">
        <f t="shared" ref="AL11" si="20">R11/O11</f>
        <v>9.2169801945854321E-2</v>
      </c>
      <c r="AM11" s="158"/>
      <c r="AN11" s="64">
        <f t="shared" ref="AN11" si="21">S11/M11</f>
        <v>-9.3955527716880677E-2</v>
      </c>
      <c r="AO11" s="64">
        <f t="shared" ref="AO11" si="22">T11/N11</f>
        <v>-2.5111502567370037E-2</v>
      </c>
      <c r="AP11" s="64">
        <f>U11/O11</f>
        <v>-1.8285743213978353E-2</v>
      </c>
    </row>
    <row r="12" spans="1:42" ht="21" customHeight="1" x14ac:dyDescent="0.2">
      <c r="B12" s="53" t="s">
        <v>108</v>
      </c>
      <c r="C12" s="138">
        <v>4.3899999999999997</v>
      </c>
      <c r="D12" s="64">
        <v>-0.45785876993166286</v>
      </c>
      <c r="E12" s="64">
        <v>6.1503416856492077E-2</v>
      </c>
      <c r="F12" s="65">
        <v>1297.9000000000001</v>
      </c>
      <c r="G12" s="65">
        <v>0</v>
      </c>
      <c r="H12" s="65">
        <v>1794.84</v>
      </c>
      <c r="I12" s="65">
        <v>5856</v>
      </c>
      <c r="J12" s="65">
        <v>1785.3</v>
      </c>
      <c r="K12" s="65">
        <f t="shared" si="0"/>
        <v>5697.7809999999999</v>
      </c>
      <c r="L12" s="54">
        <f t="shared" si="1"/>
        <v>11563.321</v>
      </c>
      <c r="M12" s="54">
        <v>30065.4</v>
      </c>
      <c r="N12" s="54">
        <v>30550.61</v>
      </c>
      <c r="O12" s="54">
        <v>31705.18</v>
      </c>
      <c r="P12" s="54">
        <v>1895.8</v>
      </c>
      <c r="Q12" s="54">
        <v>2380.0300000000002</v>
      </c>
      <c r="R12" s="54">
        <v>2585.5500000000002</v>
      </c>
      <c r="S12" s="54">
        <v>477.1</v>
      </c>
      <c r="T12" s="54">
        <v>518.1</v>
      </c>
      <c r="U12" s="54">
        <v>594.07000000000005</v>
      </c>
      <c r="V12" s="158">
        <f>$L12/M12</f>
        <v>0.38460559314028747</v>
      </c>
      <c r="W12" s="158">
        <f t="shared" si="6"/>
        <v>0.378497221495741</v>
      </c>
      <c r="X12" s="158">
        <f t="shared" si="7"/>
        <v>0.36471393633469357</v>
      </c>
      <c r="Y12" s="158"/>
      <c r="Z12" s="158">
        <f t="shared" si="8"/>
        <v>6.0994413967718115</v>
      </c>
      <c r="AA12" s="158">
        <f t="shared" si="9"/>
        <v>4.8584769939874706</v>
      </c>
      <c r="AB12" s="158">
        <f t="shared" si="10"/>
        <v>4.4722867475005312</v>
      </c>
      <c r="AC12" s="158"/>
      <c r="AD12" s="158">
        <f t="shared" si="11"/>
        <v>11.94252986795221</v>
      </c>
      <c r="AE12" s="158">
        <f t="shared" si="12"/>
        <v>10.997454159428681</v>
      </c>
      <c r="AF12" s="158">
        <f t="shared" si="13"/>
        <v>9.591093642163381</v>
      </c>
      <c r="AG12" s="158"/>
      <c r="AH12" s="64">
        <f t="shared" si="14"/>
        <v>2.6908192188878521E-2</v>
      </c>
      <c r="AI12" s="158"/>
      <c r="AJ12" s="64">
        <f t="shared" si="3"/>
        <v>6.305587153339054E-2</v>
      </c>
      <c r="AK12" s="64">
        <f t="shared" si="3"/>
        <v>7.7904500106544525E-2</v>
      </c>
      <c r="AL12" s="64">
        <f t="shared" si="3"/>
        <v>8.1549765684976405E-2</v>
      </c>
      <c r="AM12" s="158"/>
      <c r="AN12" s="64">
        <f t="shared" si="4"/>
        <v>1.5868739481264178E-2</v>
      </c>
      <c r="AO12" s="64">
        <f t="shared" si="4"/>
        <v>1.6958744849939165E-2</v>
      </c>
      <c r="AP12" s="64">
        <f t="shared" si="4"/>
        <v>1.8737316741302211E-2</v>
      </c>
    </row>
    <row r="13" spans="1:42" ht="21" customHeight="1" x14ac:dyDescent="0.2">
      <c r="B13" s="53" t="s">
        <v>109</v>
      </c>
      <c r="C13" s="138">
        <v>145.94999999999999</v>
      </c>
      <c r="D13" s="64">
        <v>-2.2541966426858462E-2</v>
      </c>
      <c r="E13" s="64">
        <v>0.20678314491264138</v>
      </c>
      <c r="F13" s="65">
        <v>107</v>
      </c>
      <c r="G13" s="65">
        <v>0</v>
      </c>
      <c r="H13" s="65">
        <v>0</v>
      </c>
      <c r="I13" s="65">
        <v>14953.5</v>
      </c>
      <c r="J13" s="65">
        <v>1445.9</v>
      </c>
      <c r="K13" s="65">
        <f t="shared" si="0"/>
        <v>15616.65</v>
      </c>
      <c r="L13" s="54">
        <f t="shared" si="1"/>
        <v>29124.25</v>
      </c>
      <c r="M13" s="54">
        <v>34771.199999999997</v>
      </c>
      <c r="N13" s="54">
        <v>36238.269999999997</v>
      </c>
      <c r="O13" s="54">
        <v>38066.01</v>
      </c>
      <c r="P13" s="54">
        <v>3753.8</v>
      </c>
      <c r="Q13" s="54">
        <v>5005.67</v>
      </c>
      <c r="R13" s="54">
        <v>5165.8</v>
      </c>
      <c r="S13" s="54">
        <v>1536.4</v>
      </c>
      <c r="T13" s="54">
        <v>1703.05</v>
      </c>
      <c r="U13" s="54">
        <v>1784.74</v>
      </c>
      <c r="V13" s="158">
        <f>$L13/M13</f>
        <v>0.83759691928952706</v>
      </c>
      <c r="W13" s="158">
        <f>$L13/N13</f>
        <v>0.8036876484445864</v>
      </c>
      <c r="X13" s="158">
        <f>$L13/O13</f>
        <v>0.76509857481779675</v>
      </c>
      <c r="Y13" s="158"/>
      <c r="Z13" s="158">
        <f>$L13/P13</f>
        <v>7.7586046139911549</v>
      </c>
      <c r="AA13" s="158">
        <f>$L13/Q13</f>
        <v>5.8182521021162001</v>
      </c>
      <c r="AB13" s="158">
        <f>$L13/R13</f>
        <v>5.6378973247125321</v>
      </c>
      <c r="AC13" s="158"/>
      <c r="AD13" s="158">
        <f>$K13/S13</f>
        <v>10.164442853423587</v>
      </c>
      <c r="AE13" s="158">
        <f>$K13/T13</f>
        <v>9.1698129825900594</v>
      </c>
      <c r="AF13" s="158">
        <f>$K13/U13</f>
        <v>8.7500980534979877</v>
      </c>
      <c r="AG13" s="158"/>
      <c r="AH13" s="64">
        <f t="shared" si="14"/>
        <v>4.6306297291869969E-2</v>
      </c>
      <c r="AI13" s="158"/>
      <c r="AJ13" s="64">
        <f t="shared" si="3"/>
        <v>0.10795715994846311</v>
      </c>
      <c r="AK13" s="64">
        <f t="shared" si="3"/>
        <v>0.13813214593301504</v>
      </c>
      <c r="AL13" s="64">
        <f t="shared" si="3"/>
        <v>0.13570636901529737</v>
      </c>
      <c r="AM13" s="158"/>
      <c r="AN13" s="64">
        <f t="shared" si="4"/>
        <v>4.418599300570588E-2</v>
      </c>
      <c r="AO13" s="64">
        <f t="shared" si="4"/>
        <v>4.6995896879183256E-2</v>
      </c>
      <c r="AP13" s="64">
        <f t="shared" si="4"/>
        <v>4.6885397234961053E-2</v>
      </c>
    </row>
    <row r="14" spans="1:42" ht="3" customHeight="1" x14ac:dyDescent="0.2"/>
    <row r="15" spans="1:42" ht="21" customHeight="1" x14ac:dyDescent="0.2">
      <c r="K15" s="132" t="s">
        <v>88</v>
      </c>
      <c r="L15" s="133"/>
      <c r="M15" s="217">
        <f t="shared" ref="M15:X15" si="23">_xlfn.QUARTILE.INC(M7:M13, 1)</f>
        <v>32418.3</v>
      </c>
      <c r="N15" s="217">
        <f t="shared" si="23"/>
        <v>33394.44</v>
      </c>
      <c r="O15" s="217">
        <f t="shared" si="23"/>
        <v>34885.595000000001</v>
      </c>
      <c r="P15" s="217">
        <f t="shared" si="23"/>
        <v>2634.6</v>
      </c>
      <c r="Q15" s="217">
        <f t="shared" si="23"/>
        <v>3092.2049999999999</v>
      </c>
      <c r="R15" s="217">
        <f t="shared" si="23"/>
        <v>3211.4850000000001</v>
      </c>
      <c r="S15" s="217">
        <f t="shared" si="23"/>
        <v>699.55</v>
      </c>
      <c r="T15" s="217">
        <f t="shared" si="23"/>
        <v>676.51499999999999</v>
      </c>
      <c r="U15" s="217">
        <f t="shared" si="23"/>
        <v>898.09500000000003</v>
      </c>
      <c r="V15" s="146">
        <f t="shared" si="23"/>
        <v>0.42147296582112759</v>
      </c>
      <c r="W15" s="146">
        <f t="shared" si="23"/>
        <v>0.40606644616133575</v>
      </c>
      <c r="X15" s="146">
        <f t="shared" si="23"/>
        <v>0.38573078388305482</v>
      </c>
      <c r="Y15" s="146"/>
      <c r="Z15" s="146">
        <f>_xlfn.QUARTILE.INC(Z7:Z13, 1)</f>
        <v>6.484753648278673</v>
      </c>
      <c r="AA15" s="146">
        <f>_xlfn.QUARTILE.INC(AA7:AA13, 1)</f>
        <v>5.0654183738724905</v>
      </c>
      <c r="AB15" s="146">
        <f>_xlfn.QUARTILE.INC(AB7:AB13, 1)</f>
        <v>4.8496258698023</v>
      </c>
      <c r="AC15" s="146"/>
      <c r="AD15" s="146">
        <f>_xlfn.QUARTILE.INC(AD7:AD13, 1)</f>
        <v>11.053486360687899</v>
      </c>
      <c r="AE15" s="146">
        <f>_xlfn.QUARTILE.INC(AE7:AE13, 1)</f>
        <v>10.08363357100937</v>
      </c>
      <c r="AF15" s="146">
        <f>_xlfn.QUARTILE.INC(AF7:AF13, 1)</f>
        <v>9.1705958478306844</v>
      </c>
      <c r="AG15" s="146"/>
      <c r="AH15" s="147">
        <f>_xlfn.QUARTILE.INC(AH7:AH13, 1)</f>
        <v>3.42529642351872E-2</v>
      </c>
      <c r="AI15" s="146"/>
      <c r="AJ15" s="147">
        <f>_xlfn.QUARTILE.INC(AJ7:AJ13, 1)</f>
        <v>6.4324096747294057E-2</v>
      </c>
      <c r="AK15" s="147">
        <f>_xlfn.QUARTILE.INC(AK7:AK13, 1)</f>
        <v>7.7259917344863233E-2</v>
      </c>
      <c r="AL15" s="147">
        <f>_xlfn.QUARTILE.INC(AL7:AL13, 1)</f>
        <v>7.936341799892152E-2</v>
      </c>
      <c r="AM15" s="146"/>
      <c r="AN15" s="147">
        <f>_xlfn.QUARTILE.INC(AN7:AN13, 1)</f>
        <v>1.3977893600097217E-2</v>
      </c>
      <c r="AO15" s="147">
        <f>_xlfn.QUARTILE.INC(AO7:AO13, 1)</f>
        <v>1.3705065563315855E-2</v>
      </c>
      <c r="AP15" s="148">
        <f>_xlfn.QUARTILE.INC(AP7:AP13, 1)</f>
        <v>1.6508069829237318E-2</v>
      </c>
    </row>
    <row r="16" spans="1:42" ht="21" customHeight="1" x14ac:dyDescent="0.2">
      <c r="K16" s="134" t="s">
        <v>89</v>
      </c>
      <c r="L16" s="135"/>
      <c r="M16" s="218">
        <f t="shared" ref="M16:X16" si="24">AVERAGE(M7:M13)</f>
        <v>85221</v>
      </c>
      <c r="N16" s="218">
        <f t="shared" si="24"/>
        <v>88122.568571428565</v>
      </c>
      <c r="O16" s="218">
        <f t="shared" si="24"/>
        <v>93800.828571428588</v>
      </c>
      <c r="P16" s="218">
        <f t="shared" si="24"/>
        <v>7024.471428571429</v>
      </c>
      <c r="Q16" s="218">
        <f t="shared" si="24"/>
        <v>8481.7800000000007</v>
      </c>
      <c r="R16" s="218">
        <f t="shared" si="24"/>
        <v>9143.61</v>
      </c>
      <c r="S16" s="218">
        <f t="shared" si="24"/>
        <v>2711.2000000000003</v>
      </c>
      <c r="T16" s="218">
        <f t="shared" si="24"/>
        <v>3335.3257142857142</v>
      </c>
      <c r="U16" s="218">
        <f t="shared" si="24"/>
        <v>3673.5657142857149</v>
      </c>
      <c r="V16" s="149">
        <f t="shared" si="24"/>
        <v>0.63344954962612177</v>
      </c>
      <c r="W16" s="149">
        <f t="shared" si="24"/>
        <v>0.61270191929670315</v>
      </c>
      <c r="X16" s="149">
        <f t="shared" si="24"/>
        <v>0.57953329578431967</v>
      </c>
      <c r="Y16" s="149"/>
      <c r="Z16" s="149">
        <f>AVERAGE(Z7:Z13)</f>
        <v>9.0160412986335743</v>
      </c>
      <c r="AA16" s="149">
        <f>AVERAGE(AA7:AA13)</f>
        <v>6.4075969432095006</v>
      </c>
      <c r="AB16" s="149">
        <f>AVERAGE(AB7:AB13)</f>
        <v>5.9818733058008968</v>
      </c>
      <c r="AC16" s="149"/>
      <c r="AD16" s="149">
        <f>AVERAGE(AD7:AD13)</f>
        <v>13.850370045938936</v>
      </c>
      <c r="AE16" s="149">
        <f>AVERAGE(AE7:AE13)</f>
        <v>10.776115209724171</v>
      </c>
      <c r="AF16" s="149">
        <f>AVERAGE(AF7:AF13)</f>
        <v>9.2876174046954851</v>
      </c>
      <c r="AG16" s="149"/>
      <c r="AH16" s="150">
        <f>AVERAGE(AH7:AH13)</f>
        <v>4.5176306069428317E-2</v>
      </c>
      <c r="AI16" s="149"/>
      <c r="AJ16" s="150">
        <f>AVERAGE(AJ7:AJ13)</f>
        <v>7.1952076238876936E-2</v>
      </c>
      <c r="AK16" s="150">
        <f>AVERAGE(AK7:AK13)</f>
        <v>9.3830973182271432E-2</v>
      </c>
      <c r="AL16" s="150">
        <f>AVERAGE(AL7:AL13)</f>
        <v>9.485930970513394E-2</v>
      </c>
      <c r="AM16" s="149"/>
      <c r="AN16" s="150">
        <f>AVERAGE(AN7:AN13)</f>
        <v>9.8619091952487793E-3</v>
      </c>
      <c r="AO16" s="150">
        <f>AVERAGE(AO7:AO13)</f>
        <v>2.3292132294061237E-2</v>
      </c>
      <c r="AP16" s="151">
        <f>AVERAGE(AP7:AP13)</f>
        <v>2.5234363234548831E-2</v>
      </c>
    </row>
    <row r="17" spans="2:42" ht="21" customHeight="1" x14ac:dyDescent="0.2">
      <c r="K17" s="134" t="s">
        <v>90</v>
      </c>
      <c r="L17" s="135"/>
      <c r="M17" s="74">
        <f t="shared" ref="M17:X17" si="25">MEDIAN(M7:M13)</f>
        <v>51429.8</v>
      </c>
      <c r="N17" s="74">
        <f t="shared" si="25"/>
        <v>53489.59</v>
      </c>
      <c r="O17" s="74">
        <f t="shared" si="25"/>
        <v>55498.29</v>
      </c>
      <c r="P17" s="74">
        <f t="shared" si="25"/>
        <v>3753.8</v>
      </c>
      <c r="Q17" s="74">
        <f t="shared" si="25"/>
        <v>5005.67</v>
      </c>
      <c r="R17" s="74">
        <f t="shared" si="25"/>
        <v>5165.8</v>
      </c>
      <c r="S17" s="74">
        <f t="shared" si="25"/>
        <v>1114.9000000000001</v>
      </c>
      <c r="T17" s="74">
        <f t="shared" si="25"/>
        <v>1197.0899999999999</v>
      </c>
      <c r="U17" s="74">
        <f t="shared" si="25"/>
        <v>1232.24</v>
      </c>
      <c r="V17" s="152">
        <f t="shared" si="25"/>
        <v>0.46193717881489249</v>
      </c>
      <c r="W17" s="152">
        <f t="shared" si="25"/>
        <v>0.44108007046452236</v>
      </c>
      <c r="X17" s="152">
        <f t="shared" si="25"/>
        <v>0.40831064945213952</v>
      </c>
      <c r="Y17" s="152"/>
      <c r="Z17" s="152">
        <f>MEDIAN(Z7:Z13)</f>
        <v>7.7586046139911549</v>
      </c>
      <c r="AA17" s="152">
        <f>MEDIAN(AA7:AA13)</f>
        <v>5.7570729523557445</v>
      </c>
      <c r="AB17" s="152">
        <f>MEDIAN(AB7:AB13)</f>
        <v>5.2905694372291769</v>
      </c>
      <c r="AC17" s="152"/>
      <c r="AD17" s="152">
        <f>MEDIAN(AD7:AD13)</f>
        <v>12.027984572607409</v>
      </c>
      <c r="AE17" s="152">
        <f>MEDIAN(AE7:AE13)</f>
        <v>11.202165250733028</v>
      </c>
      <c r="AF17" s="152">
        <f>MEDIAN(AF7:AF13)</f>
        <v>10.777582289164449</v>
      </c>
      <c r="AG17" s="152"/>
      <c r="AH17" s="153">
        <f>MEDIAN(AH7:AH13)</f>
        <v>4.6306297291869969E-2</v>
      </c>
      <c r="AI17" s="152"/>
      <c r="AJ17" s="153">
        <f>MEDIAN(AJ7:AJ13)</f>
        <v>6.7239119035133715E-2</v>
      </c>
      <c r="AK17" s="153">
        <f>MEDIAN(AK7:AK13)</f>
        <v>9.1457841410242005E-2</v>
      </c>
      <c r="AL17" s="153">
        <f>MEDIAN(AL7:AL13)</f>
        <v>9.2169801945854321E-2</v>
      </c>
      <c r="AM17" s="152"/>
      <c r="AN17" s="153">
        <f>MEDIAN(AN7:AN13)</f>
        <v>1.7029835876902943E-2</v>
      </c>
      <c r="AO17" s="153">
        <f>MEDIAN(AO7:AO13)</f>
        <v>2.2379868680990078E-2</v>
      </c>
      <c r="AP17" s="154">
        <f>MEDIAN(AP7:AP13)</f>
        <v>2.1660487196992914E-2</v>
      </c>
    </row>
    <row r="18" spans="2:42" ht="21" customHeight="1" x14ac:dyDescent="0.2">
      <c r="K18" s="136" t="s">
        <v>91</v>
      </c>
      <c r="L18" s="137"/>
      <c r="M18" s="219">
        <f t="shared" ref="M18:X18" si="26">_xlfn.QUARTILE.INC(M7:M13, 3)</f>
        <v>85668.35</v>
      </c>
      <c r="N18" s="219">
        <f t="shared" si="26"/>
        <v>88267.91</v>
      </c>
      <c r="O18" s="219">
        <f t="shared" si="26"/>
        <v>93543.15</v>
      </c>
      <c r="P18" s="219">
        <f t="shared" si="26"/>
        <v>5885.1</v>
      </c>
      <c r="Q18" s="219">
        <f t="shared" si="26"/>
        <v>7871.7049999999999</v>
      </c>
      <c r="R18" s="219">
        <f t="shared" si="26"/>
        <v>8653.1450000000004</v>
      </c>
      <c r="S18" s="219">
        <f t="shared" si="26"/>
        <v>1577.6</v>
      </c>
      <c r="T18" s="219">
        <f t="shared" si="26"/>
        <v>2708.99</v>
      </c>
      <c r="U18" s="219">
        <f t="shared" si="26"/>
        <v>2901.7349999999997</v>
      </c>
      <c r="V18" s="155">
        <f t="shared" si="26"/>
        <v>0.84565548287405723</v>
      </c>
      <c r="W18" s="155">
        <f t="shared" si="26"/>
        <v>0.82166916920067423</v>
      </c>
      <c r="X18" s="155">
        <f t="shared" si="26"/>
        <v>0.78513364602268798</v>
      </c>
      <c r="Y18" s="155"/>
      <c r="Z18" s="155">
        <f>_xlfn.QUARTILE.INC(Z7:Z13, 3)</f>
        <v>11.615328586508745</v>
      </c>
      <c r="AA18" s="155">
        <f>_xlfn.QUARTILE.INC(AA7:AA13, 3)</f>
        <v>7.1257211518807271</v>
      </c>
      <c r="AB18" s="155">
        <f>_xlfn.QUARTILE.INC(AB7:AB13, 3)</f>
        <v>6.6302867855815428</v>
      </c>
      <c r="AC18" s="155"/>
      <c r="AD18" s="155">
        <f>_xlfn.QUARTILE.INC(AD7:AD13, 3)</f>
        <v>16.855021701794019</v>
      </c>
      <c r="AE18" s="155">
        <f>_xlfn.QUARTILE.INC(AE7:AE13, 3)</f>
        <v>14.495365901187849</v>
      </c>
      <c r="AF18" s="155">
        <f>_xlfn.QUARTILE.INC(AF7:AF13, 3)</f>
        <v>11.625340330492826</v>
      </c>
      <c r="AG18" s="155"/>
      <c r="AH18" s="156">
        <f>_xlfn.QUARTILE.INC(AH7:AH13, 3)</f>
        <v>5.5435094166794041E-2</v>
      </c>
      <c r="AI18" s="155"/>
      <c r="AJ18" s="156">
        <f>_xlfn.QUARTILE.INC(AJ7:AJ13, 3)</f>
        <v>8.2763146788646075E-2</v>
      </c>
      <c r="AK18" s="156">
        <f>_xlfn.QUARTILE.INC(AK7:AK13, 3)</f>
        <v>0.10079162224114643</v>
      </c>
      <c r="AL18" s="156">
        <f>_xlfn.QUARTILE.INC(AL7:AL13, 3)</f>
        <v>0.10413366393293431</v>
      </c>
      <c r="AM18" s="155"/>
      <c r="AN18" s="156">
        <f>_xlfn.QUARTILE.INC(AN7:AN13, 3)</f>
        <v>3.2932043125628065E-2</v>
      </c>
      <c r="AO18" s="156">
        <f>_xlfn.QUARTILE.INC(AO7:AO13, 3)</f>
        <v>4.2716653770779878E-2</v>
      </c>
      <c r="AP18" s="157">
        <f>_xlfn.QUARTILE.INC(AP7:AP13, 3)</f>
        <v>4.3379274318504871E-2</v>
      </c>
    </row>
    <row r="19" spans="2:42" ht="3" customHeight="1" x14ac:dyDescent="0.2">
      <c r="N19" s="57"/>
      <c r="O19" s="57"/>
      <c r="P19" s="57"/>
      <c r="Q19" s="57"/>
      <c r="R19" s="57"/>
      <c r="S19" s="57"/>
      <c r="T19" s="57"/>
      <c r="U19" s="57"/>
    </row>
    <row r="20" spans="2:42" ht="20.25" customHeight="1" x14ac:dyDescent="0.2">
      <c r="B20" s="131" t="s">
        <v>94</v>
      </c>
      <c r="C20" s="56">
        <v>6.78</v>
      </c>
      <c r="D20" s="139">
        <v>-0.15897435897435908</v>
      </c>
      <c r="E20" s="59">
        <v>0.19093078758949886</v>
      </c>
      <c r="F20" s="130">
        <v>2247.1</v>
      </c>
      <c r="G20" s="68">
        <v>0</v>
      </c>
      <c r="H20" s="68">
        <v>0</v>
      </c>
      <c r="I20" s="68">
        <v>4940.8</v>
      </c>
      <c r="J20" s="68">
        <v>1027.8</v>
      </c>
      <c r="K20" s="68">
        <f>C20*F20</f>
        <v>15235.338</v>
      </c>
      <c r="L20" s="130">
        <f>K20+G20+H20+I20-J20</f>
        <v>19148.338</v>
      </c>
      <c r="M20" s="57">
        <v>34175</v>
      </c>
      <c r="N20" s="57">
        <v>37545.56</v>
      </c>
      <c r="O20" s="57">
        <v>45567.07</v>
      </c>
      <c r="P20" s="57">
        <v>2565.1999999999998</v>
      </c>
      <c r="Q20" s="57">
        <v>3057.45</v>
      </c>
      <c r="R20" s="57">
        <v>3734.94</v>
      </c>
      <c r="S20" s="57">
        <v>1414.3</v>
      </c>
      <c r="T20" s="57">
        <v>1548.17</v>
      </c>
      <c r="U20" s="57">
        <v>1832.09</v>
      </c>
      <c r="V20" s="58">
        <f>$L20/M20</f>
        <v>0.56030250182882224</v>
      </c>
      <c r="W20" s="58">
        <f>$L20/N20</f>
        <v>0.51000272735311447</v>
      </c>
      <c r="X20" s="58">
        <f>$L20/O20</f>
        <v>0.42022315676649824</v>
      </c>
      <c r="Y20" s="58"/>
      <c r="Z20" s="58">
        <f>$L20/P20</f>
        <v>7.464656946826759</v>
      </c>
      <c r="AA20" s="58">
        <f>$L20/Q20</f>
        <v>6.2628458355819392</v>
      </c>
      <c r="AB20" s="58">
        <f>$L20/R20</f>
        <v>5.126812746657242</v>
      </c>
      <c r="AC20" s="58"/>
      <c r="AD20" s="58">
        <f>$K20/S20</f>
        <v>10.772352400480804</v>
      </c>
      <c r="AE20" s="58">
        <f>$K20/T20</f>
        <v>9.8408688968265761</v>
      </c>
      <c r="AF20" s="58">
        <f>$K20/U20</f>
        <v>8.3158240042792659</v>
      </c>
      <c r="AG20" s="58"/>
      <c r="AH20" s="75">
        <f>(O20/M20)^(1/2)-1</f>
        <v>0.15470564878363935</v>
      </c>
      <c r="AI20" s="58"/>
      <c r="AJ20" s="75">
        <f>P20/M20</f>
        <v>7.5060716898317476E-2</v>
      </c>
      <c r="AK20" s="75">
        <f>Q20/N20</f>
        <v>8.1433064255800158E-2</v>
      </c>
      <c r="AL20" s="75">
        <f>R20/O20</f>
        <v>8.1965770456603859E-2</v>
      </c>
      <c r="AM20" s="58"/>
      <c r="AN20" s="75">
        <f t="shared" ref="AN20" si="27">S20/M20</f>
        <v>4.1384052670080468E-2</v>
      </c>
      <c r="AO20" s="75">
        <f t="shared" ref="AO20" si="28">T20/N20</f>
        <v>4.1234436242261405E-2</v>
      </c>
      <c r="AP20" s="76">
        <f t="shared" ref="AP20" si="29">U20/O20</f>
        <v>4.0206447331373289E-2</v>
      </c>
    </row>
    <row r="23" spans="2:42" x14ac:dyDescent="0.2">
      <c r="D23" s="66"/>
      <c r="E23" s="66"/>
    </row>
    <row r="24" spans="2:42" x14ac:dyDescent="0.2">
      <c r="D24" s="67"/>
      <c r="E24" s="67"/>
    </row>
    <row r="27" spans="2:42" x14ac:dyDescent="0.2">
      <c r="B27" s="158"/>
    </row>
    <row r="28" spans="2:42" x14ac:dyDescent="0.2">
      <c r="B28" s="158"/>
    </row>
    <row r="29" spans="2:42" x14ac:dyDescent="0.2">
      <c r="B29" s="158"/>
    </row>
    <row r="30" spans="2:42" x14ac:dyDescent="0.2">
      <c r="B30" s="158"/>
    </row>
    <row r="31" spans="2:42" x14ac:dyDescent="0.2">
      <c r="B31" s="158"/>
    </row>
    <row r="32" spans="2:42" x14ac:dyDescent="0.2">
      <c r="B32" s="158"/>
    </row>
    <row r="33" spans="2:2" x14ac:dyDescent="0.2">
      <c r="B33" s="1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C6BA-4DF7-4B68-9BB3-9F42E62C7016}">
  <dimension ref="A1:K34"/>
  <sheetViews>
    <sheetView showGridLines="0" workbookViewId="0">
      <selection activeCell="J17" sqref="J17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1" spans="1:11" x14ac:dyDescent="0.2">
      <c r="A1" s="96"/>
      <c r="B1" s="104" t="s">
        <v>64</v>
      </c>
      <c r="C1" s="103"/>
      <c r="D1" s="103"/>
      <c r="E1" s="103"/>
      <c r="F1" s="103"/>
      <c r="G1" s="103"/>
      <c r="H1" s="103"/>
      <c r="I1" s="103"/>
      <c r="J1" s="103"/>
      <c r="K1" s="103"/>
    </row>
    <row r="2" spans="1:11" x14ac:dyDescent="0.2">
      <c r="E2" s="16" t="s">
        <v>9</v>
      </c>
      <c r="F2" s="17"/>
      <c r="G2" s="17"/>
      <c r="H2" s="17"/>
      <c r="I2" s="17"/>
      <c r="J2" s="17"/>
      <c r="K2" s="17"/>
    </row>
    <row r="3" spans="1:11" x14ac:dyDescent="0.2">
      <c r="E3" s="90">
        <v>45930</v>
      </c>
      <c r="F3" s="90">
        <v>46022</v>
      </c>
      <c r="G3" s="18">
        <f>EOMONTH(E3,12)</f>
        <v>46295</v>
      </c>
      <c r="H3" s="18">
        <f t="shared" ref="H3:K3" si="0">EOMONTH(G3,12)</f>
        <v>46660</v>
      </c>
      <c r="I3" s="18">
        <f t="shared" si="0"/>
        <v>47026</v>
      </c>
      <c r="J3" s="18">
        <f t="shared" si="0"/>
        <v>47391</v>
      </c>
      <c r="K3" s="18">
        <f t="shared" si="0"/>
        <v>47756</v>
      </c>
    </row>
    <row r="4" spans="1:11" x14ac:dyDescent="0.2">
      <c r="B4" s="5" t="s">
        <v>101</v>
      </c>
    </row>
    <row r="5" spans="1:11" x14ac:dyDescent="0.2">
      <c r="B5" s="23" t="s">
        <v>177</v>
      </c>
      <c r="E5" s="5">
        <f>_xlfn.XLOOKUP('DCF Analysis'!$D$6,'IS &amp; CF Assump'!$B6:$B8,'IS &amp; CF Assump'!E6:E8)</f>
        <v>8</v>
      </c>
      <c r="F5" s="5">
        <f>_xlfn.XLOOKUP('DCF Analysis'!$D$6,'IS &amp; CF Assump'!$B6:$B8,'IS &amp; CF Assump'!F6:F8)</f>
        <v>9</v>
      </c>
      <c r="G5" s="5">
        <f>_xlfn.XLOOKUP('DCF Analysis'!$D$6,'IS &amp; CF Assump'!$B6:$B8,'IS &amp; CF Assump'!G6:G8)</f>
        <v>25</v>
      </c>
      <c r="H5" s="5">
        <f>_xlfn.XLOOKUP('DCF Analysis'!$D$6,'IS &amp; CF Assump'!$B6:$B8,'IS &amp; CF Assump'!H6:H8)</f>
        <v>25</v>
      </c>
      <c r="I5" s="5">
        <f>_xlfn.XLOOKUP('DCF Analysis'!$D$6,'IS &amp; CF Assump'!$B6:$B8,'IS &amp; CF Assump'!I6:I8)</f>
        <v>25</v>
      </c>
      <c r="J5" s="5">
        <f>_xlfn.XLOOKUP('DCF Analysis'!$D$6,'IS &amp; CF Assump'!$B6:$B8,'IS &amp; CF Assump'!J6:J8)</f>
        <v>25</v>
      </c>
      <c r="K5" s="5">
        <f>_xlfn.XLOOKUP('DCF Analysis'!$D$6,'IS &amp; CF Assump'!$B6:$B8,'IS &amp; CF Assump'!K6:K8)</f>
        <v>25</v>
      </c>
    </row>
    <row r="6" spans="1:11" x14ac:dyDescent="0.2">
      <c r="B6" s="24" t="s">
        <v>128</v>
      </c>
      <c r="E6" s="85">
        <v>8</v>
      </c>
      <c r="F6" s="86">
        <v>9</v>
      </c>
      <c r="G6" s="86">
        <v>10</v>
      </c>
      <c r="H6" s="86">
        <v>10</v>
      </c>
      <c r="I6" s="86">
        <v>10</v>
      </c>
      <c r="J6" s="86">
        <v>10</v>
      </c>
      <c r="K6" s="87">
        <v>10</v>
      </c>
    </row>
    <row r="7" spans="1:11" x14ac:dyDescent="0.2">
      <c r="B7" s="24" t="s">
        <v>2</v>
      </c>
      <c r="E7" s="85">
        <v>8</v>
      </c>
      <c r="F7" s="86">
        <v>9</v>
      </c>
      <c r="G7" s="86">
        <v>25</v>
      </c>
      <c r="H7" s="86">
        <v>25</v>
      </c>
      <c r="I7" s="86">
        <v>25</v>
      </c>
      <c r="J7" s="86">
        <v>25</v>
      </c>
      <c r="K7" s="87">
        <v>25</v>
      </c>
    </row>
    <row r="8" spans="1:11" x14ac:dyDescent="0.2">
      <c r="B8" s="24" t="s">
        <v>129</v>
      </c>
      <c r="E8" s="85">
        <v>8</v>
      </c>
      <c r="F8" s="86">
        <v>9</v>
      </c>
      <c r="G8" s="86">
        <v>50</v>
      </c>
      <c r="H8" s="86">
        <v>50</v>
      </c>
      <c r="I8" s="86">
        <v>50</v>
      </c>
      <c r="J8" s="86">
        <v>50</v>
      </c>
      <c r="K8" s="87">
        <v>50</v>
      </c>
    </row>
    <row r="9" spans="1:11" x14ac:dyDescent="0.2">
      <c r="B9" s="5"/>
    </row>
    <row r="10" spans="1:11" x14ac:dyDescent="0.2">
      <c r="B10" s="23" t="s">
        <v>176</v>
      </c>
      <c r="C10" s="5"/>
      <c r="D10" s="5"/>
      <c r="E10" s="25">
        <f>_xlfn.XLOOKUP('DCF Analysis'!$D$6,'IS &amp; CF Assump'!$B11:$B13,'IS &amp; CF Assump'!E11:E13)</f>
        <v>2.5000000000000001E-3</v>
      </c>
      <c r="F10" s="25">
        <f>_xlfn.XLOOKUP('DCF Analysis'!$D$6,'IS &amp; CF Assump'!$B11:$B13,'IS &amp; CF Assump'!F11:F13)</f>
        <v>2.5000000000000001E-3</v>
      </c>
      <c r="G10" s="25">
        <f>_xlfn.XLOOKUP('DCF Analysis'!$D$6,'IS &amp; CF Assump'!$B11:$B13,'IS &amp; CF Assump'!G11:G13)</f>
        <v>0.01</v>
      </c>
      <c r="H10" s="25">
        <f>_xlfn.XLOOKUP('DCF Analysis'!$D$6,'IS &amp; CF Assump'!$B11:$B13,'IS &amp; CF Assump'!H11:H13)</f>
        <v>0.01</v>
      </c>
      <c r="I10" s="25">
        <f>_xlfn.XLOOKUP('DCF Analysis'!$D$6,'IS &amp; CF Assump'!$B11:$B13,'IS &amp; CF Assump'!I11:I13)</f>
        <v>0.01</v>
      </c>
      <c r="J10" s="25">
        <f>_xlfn.XLOOKUP('DCF Analysis'!$D$6,'IS &amp; CF Assump'!$B11:$B13,'IS &amp; CF Assump'!J11:J13)</f>
        <v>0.01</v>
      </c>
      <c r="K10" s="25">
        <f>_xlfn.XLOOKUP('DCF Analysis'!$D$6,'IS &amp; CF Assump'!$B11:$B13,'IS &amp; CF Assump'!K11:K13)</f>
        <v>0.01</v>
      </c>
    </row>
    <row r="11" spans="1:11" x14ac:dyDescent="0.2">
      <c r="B11" s="24" t="s">
        <v>128</v>
      </c>
      <c r="E11" s="19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1">
        <v>0</v>
      </c>
    </row>
    <row r="12" spans="1:11" x14ac:dyDescent="0.2">
      <c r="B12" s="24" t="s">
        <v>2</v>
      </c>
      <c r="E12" s="19">
        <v>2.5000000000000001E-3</v>
      </c>
      <c r="F12" s="20">
        <v>2.5000000000000001E-3</v>
      </c>
      <c r="G12" s="20">
        <v>0.01</v>
      </c>
      <c r="H12" s="20">
        <v>0.01</v>
      </c>
      <c r="I12" s="20">
        <v>0.01</v>
      </c>
      <c r="J12" s="20">
        <v>0.01</v>
      </c>
      <c r="K12" s="21">
        <v>0.01</v>
      </c>
    </row>
    <row r="13" spans="1:11" x14ac:dyDescent="0.2">
      <c r="B13" s="24" t="s">
        <v>129</v>
      </c>
      <c r="E13" s="19">
        <f>E12</f>
        <v>2.5000000000000001E-3</v>
      </c>
      <c r="F13" s="20">
        <f t="shared" ref="F13:K13" si="1">F12</f>
        <v>2.5000000000000001E-3</v>
      </c>
      <c r="G13" s="20">
        <f t="shared" si="1"/>
        <v>0.01</v>
      </c>
      <c r="H13" s="20">
        <f t="shared" si="1"/>
        <v>0.01</v>
      </c>
      <c r="I13" s="20">
        <f t="shared" si="1"/>
        <v>0.01</v>
      </c>
      <c r="J13" s="20">
        <f t="shared" si="1"/>
        <v>0.01</v>
      </c>
      <c r="K13" s="21">
        <f t="shared" si="1"/>
        <v>0.01</v>
      </c>
    </row>
    <row r="15" spans="1:11" x14ac:dyDescent="0.2">
      <c r="B15" s="23" t="s">
        <v>46</v>
      </c>
      <c r="E15" s="25">
        <f>_xlfn.XLOOKUP('DCF Analysis'!$D$6,'IS &amp; CF Assump'!$B16:$B18,'IS &amp; CF Assump'!E16:E18)</f>
        <v>0.78047857396581355</v>
      </c>
      <c r="F15" s="25">
        <f>_xlfn.XLOOKUP('DCF Analysis'!$D$6,'IS &amp; CF Assump'!$B16:$B18,'IS &amp; CF Assump'!F16:F18)</f>
        <v>0.77947857396581355</v>
      </c>
      <c r="G15" s="25">
        <f>_xlfn.XLOOKUP('DCF Analysis'!$D$6,'IS &amp; CF Assump'!$B16:$B18,'IS &amp; CF Assump'!G16:G18)</f>
        <v>0.77647857396581355</v>
      </c>
      <c r="H15" s="25">
        <f>_xlfn.XLOOKUP('DCF Analysis'!$D$6,'IS &amp; CF Assump'!$B16:$B18,'IS &amp; CF Assump'!H16:H18)</f>
        <v>0.77347857396581354</v>
      </c>
      <c r="I15" s="25">
        <f>_xlfn.XLOOKUP('DCF Analysis'!$D$6,'IS &amp; CF Assump'!$B16:$B18,'IS &amp; CF Assump'!I16:I18)</f>
        <v>0.77047857396581354</v>
      </c>
      <c r="J15" s="25">
        <f>_xlfn.XLOOKUP('DCF Analysis'!$D$6,'IS &amp; CF Assump'!$B16:$B18,'IS &amp; CF Assump'!J16:J18)</f>
        <v>0.76747857396581354</v>
      </c>
      <c r="K15" s="25">
        <f>_xlfn.XLOOKUP('DCF Analysis'!$D$6,'IS &amp; CF Assump'!$B16:$B18,'IS &amp; CF Assump'!K16:K18)</f>
        <v>0.76747857396581354</v>
      </c>
    </row>
    <row r="16" spans="1:11" x14ac:dyDescent="0.2">
      <c r="B16" s="24" t="s">
        <v>128</v>
      </c>
      <c r="E16" s="19">
        <f t="shared" ref="E16:J16" si="2">E17+0.004</f>
        <v>0.78447857396581355</v>
      </c>
      <c r="F16" s="20">
        <f t="shared" si="2"/>
        <v>0.78347857396581355</v>
      </c>
      <c r="G16" s="20">
        <f t="shared" si="2"/>
        <v>0.78047857396581355</v>
      </c>
      <c r="H16" s="20">
        <f t="shared" si="2"/>
        <v>0.77747857396581355</v>
      </c>
      <c r="I16" s="20">
        <f t="shared" si="2"/>
        <v>0.77447857396581354</v>
      </c>
      <c r="J16" s="20">
        <f t="shared" si="2"/>
        <v>0.77147857396581354</v>
      </c>
      <c r="K16" s="21">
        <f>J16</f>
        <v>0.77147857396581354</v>
      </c>
    </row>
    <row r="17" spans="2:11" x14ac:dyDescent="0.2">
      <c r="B17" s="24" t="s">
        <v>2</v>
      </c>
      <c r="E17" s="19">
        <f>AVERAGE('DCF Analysis'!I99:L99)</f>
        <v>0.78047857396581355</v>
      </c>
      <c r="F17" s="20">
        <f>E17-0.001</f>
        <v>0.77947857396581355</v>
      </c>
      <c r="G17" s="20">
        <f>F17-0.003</f>
        <v>0.77647857396581355</v>
      </c>
      <c r="H17" s="20">
        <f>G17-0.003</f>
        <v>0.77347857396581354</v>
      </c>
      <c r="I17" s="20">
        <f>H17-0.003</f>
        <v>0.77047857396581354</v>
      </c>
      <c r="J17" s="20">
        <f>I17-0.003</f>
        <v>0.76747857396581354</v>
      </c>
      <c r="K17" s="21">
        <f>J17</f>
        <v>0.76747857396581354</v>
      </c>
    </row>
    <row r="18" spans="2:11" x14ac:dyDescent="0.2">
      <c r="B18" s="24" t="s">
        <v>129</v>
      </c>
      <c r="E18" s="19">
        <f t="shared" ref="E18:K18" si="3">E17-0.004</f>
        <v>0.77647857396581355</v>
      </c>
      <c r="F18" s="20">
        <f t="shared" si="3"/>
        <v>0.77547857396581354</v>
      </c>
      <c r="G18" s="20">
        <f t="shared" si="3"/>
        <v>0.77247857396581354</v>
      </c>
      <c r="H18" s="20">
        <f t="shared" si="3"/>
        <v>0.76947857396581354</v>
      </c>
      <c r="I18" s="20">
        <f t="shared" si="3"/>
        <v>0.76647857396581354</v>
      </c>
      <c r="J18" s="20">
        <f t="shared" si="3"/>
        <v>0.76347857396581353</v>
      </c>
      <c r="K18" s="21">
        <f t="shared" si="3"/>
        <v>0.76347857396581353</v>
      </c>
    </row>
    <row r="20" spans="2:11" x14ac:dyDescent="0.2">
      <c r="B20" s="23" t="s">
        <v>39</v>
      </c>
      <c r="E20" s="25">
        <f>_xlfn.XLOOKUP('DCF Analysis'!$D$6,'IS &amp; CF Assump'!$B21:$B23,'IS &amp; CF Assump'!E21:E23)</f>
        <v>0.14403689355497784</v>
      </c>
      <c r="F20" s="25">
        <f>_xlfn.XLOOKUP('DCF Analysis'!$D$6,'IS &amp; CF Assump'!$B21:$B23,'IS &amp; CF Assump'!F21:F23)</f>
        <v>0.14353689355497784</v>
      </c>
      <c r="G20" s="25">
        <f>_xlfn.XLOOKUP('DCF Analysis'!$D$6,'IS &amp; CF Assump'!$B21:$B23,'IS &amp; CF Assump'!G21:G23)</f>
        <v>0.14153689355497784</v>
      </c>
      <c r="H20" s="25">
        <f>_xlfn.XLOOKUP('DCF Analysis'!$D$6,'IS &amp; CF Assump'!$B21:$B23,'IS &amp; CF Assump'!H21:H23)</f>
        <v>0.13953689355497784</v>
      </c>
      <c r="I20" s="25">
        <f>_xlfn.XLOOKUP('DCF Analysis'!$D$6,'IS &amp; CF Assump'!$B21:$B23,'IS &amp; CF Assump'!I21:I23)</f>
        <v>0.13753689355497783</v>
      </c>
      <c r="J20" s="25">
        <f>_xlfn.XLOOKUP('DCF Analysis'!$D$6,'IS &amp; CF Assump'!$B21:$B23,'IS &amp; CF Assump'!J21:J23)</f>
        <v>0.13553689355497783</v>
      </c>
      <c r="K20" s="25">
        <f>_xlfn.XLOOKUP('DCF Analysis'!$D$6,'IS &amp; CF Assump'!$B21:$B23,'IS &amp; CF Assump'!K21:K23)</f>
        <v>0.13553689355497783</v>
      </c>
    </row>
    <row r="21" spans="2:11" x14ac:dyDescent="0.2">
      <c r="B21" s="24" t="s">
        <v>128</v>
      </c>
      <c r="E21" s="19">
        <f>E22+0.005</f>
        <v>0.14903689355497785</v>
      </c>
      <c r="F21" s="20">
        <f>F22+0.002</f>
        <v>0.14553689355497784</v>
      </c>
      <c r="G21" s="20">
        <f t="shared" ref="G21:J21" si="4">G22+0.002</f>
        <v>0.14353689355497784</v>
      </c>
      <c r="H21" s="20">
        <f t="shared" si="4"/>
        <v>0.14153689355497784</v>
      </c>
      <c r="I21" s="20">
        <f t="shared" si="4"/>
        <v>0.13953689355497784</v>
      </c>
      <c r="J21" s="20">
        <f t="shared" si="4"/>
        <v>0.13753689355497783</v>
      </c>
      <c r="K21" s="21">
        <f>J21</f>
        <v>0.13753689355497783</v>
      </c>
    </row>
    <row r="22" spans="2:11" x14ac:dyDescent="0.2">
      <c r="B22" s="24" t="s">
        <v>2</v>
      </c>
      <c r="E22" s="19">
        <f>AVERAGE('DCF Analysis'!I100:L100)</f>
        <v>0.14403689355497784</v>
      </c>
      <c r="F22" s="20">
        <f>E22-0.0005</f>
        <v>0.14353689355497784</v>
      </c>
      <c r="G22" s="20">
        <f>F22-0.002</f>
        <v>0.14153689355497784</v>
      </c>
      <c r="H22" s="20">
        <f t="shared" ref="H22:I22" si="5">G22-0.002</f>
        <v>0.13953689355497784</v>
      </c>
      <c r="I22" s="20">
        <f t="shared" si="5"/>
        <v>0.13753689355497783</v>
      </c>
      <c r="J22" s="20">
        <f>I22-0.002</f>
        <v>0.13553689355497783</v>
      </c>
      <c r="K22" s="21">
        <f>J22</f>
        <v>0.13553689355497783</v>
      </c>
    </row>
    <row r="23" spans="2:11" x14ac:dyDescent="0.2">
      <c r="B23" s="24" t="s">
        <v>129</v>
      </c>
      <c r="E23" s="19">
        <f>E22-0.01</f>
        <v>0.13403689355497783</v>
      </c>
      <c r="F23" s="20">
        <f>F22-0.002</f>
        <v>0.14153689355497784</v>
      </c>
      <c r="G23" s="20">
        <f t="shared" ref="G23:J23" si="6">G22-0.002</f>
        <v>0.13953689355497784</v>
      </c>
      <c r="H23" s="20">
        <f t="shared" si="6"/>
        <v>0.13753689355497783</v>
      </c>
      <c r="I23" s="20">
        <f t="shared" si="6"/>
        <v>0.13553689355497783</v>
      </c>
      <c r="J23" s="20">
        <f t="shared" si="6"/>
        <v>0.13353689355497783</v>
      </c>
      <c r="K23" s="21">
        <f>J23</f>
        <v>0.13353689355497783</v>
      </c>
    </row>
    <row r="25" spans="2:11" x14ac:dyDescent="0.2">
      <c r="B25" s="23" t="s">
        <v>102</v>
      </c>
      <c r="E25" s="25">
        <f>_xlfn.XLOOKUP('DCF Analysis'!$D$6,'IS &amp; CF Assump'!$B26:$B28,'IS &amp; CF Assump'!E26:E28)</f>
        <v>1.2615332987420546E-2</v>
      </c>
      <c r="F25" s="25">
        <f>_xlfn.XLOOKUP('DCF Analysis'!$D$6,'IS &amp; CF Assump'!$B26:$B28,'IS &amp; CF Assump'!F26:F28)</f>
        <v>1.2615332987420499E-2</v>
      </c>
      <c r="G25" s="25">
        <f>_xlfn.XLOOKUP('DCF Analysis'!$D$6,'IS &amp; CF Assump'!$B26:$B28,'IS &amp; CF Assump'!G26:G28)</f>
        <v>1.2615332987420499E-2</v>
      </c>
      <c r="H25" s="25">
        <f>_xlfn.XLOOKUP('DCF Analysis'!$D$6,'IS &amp; CF Assump'!$B26:$B28,'IS &amp; CF Assump'!H26:H28)</f>
        <v>1.2615332987420499E-2</v>
      </c>
      <c r="I25" s="25">
        <f>_xlfn.XLOOKUP('DCF Analysis'!$D$6,'IS &amp; CF Assump'!$B26:$B28,'IS &amp; CF Assump'!I26:I28)</f>
        <v>1.2615332987420546E-2</v>
      </c>
      <c r="J25" s="25">
        <f>_xlfn.XLOOKUP('DCF Analysis'!$D$6,'IS &amp; CF Assump'!$B26:$B28,'IS &amp; CF Assump'!J26:J28)</f>
        <v>1.2615332987420546E-2</v>
      </c>
      <c r="K25" s="25">
        <f>_xlfn.XLOOKUP('DCF Analysis'!$D$6,'IS &amp; CF Assump'!$B26:$B28,'IS &amp; CF Assump'!K26:K28)</f>
        <v>1.2615332987420546E-2</v>
      </c>
    </row>
    <row r="26" spans="2:11" x14ac:dyDescent="0.2">
      <c r="B26" s="24" t="s">
        <v>128</v>
      </c>
      <c r="E26" s="19">
        <v>1.2615332987420546E-2</v>
      </c>
      <c r="F26" s="20">
        <v>1.2615332987420546E-2</v>
      </c>
      <c r="G26" s="20">
        <v>1.2615332987420546E-2</v>
      </c>
      <c r="H26" s="20">
        <v>1.2615332987420546E-2</v>
      </c>
      <c r="I26" s="20">
        <v>1.2615332987420546E-2</v>
      </c>
      <c r="J26" s="20">
        <v>1.2615332987420546E-2</v>
      </c>
      <c r="K26" s="21">
        <v>1.2615332987420546E-2</v>
      </c>
    </row>
    <row r="27" spans="2:11" x14ac:dyDescent="0.2">
      <c r="B27" s="24" t="s">
        <v>2</v>
      </c>
      <c r="E27" s="19">
        <f>AVERAGE('DCF Analysis'!I101:L101)</f>
        <v>1.2615332987420546E-2</v>
      </c>
      <c r="F27" s="20">
        <v>1.2615332987420499E-2</v>
      </c>
      <c r="G27" s="20">
        <v>1.2615332987420499E-2</v>
      </c>
      <c r="H27" s="20">
        <v>1.2615332987420499E-2</v>
      </c>
      <c r="I27" s="20">
        <v>1.2615332987420546E-2</v>
      </c>
      <c r="J27" s="20">
        <v>1.2615332987420546E-2</v>
      </c>
      <c r="K27" s="21">
        <v>1.2615332987420546E-2</v>
      </c>
    </row>
    <row r="28" spans="2:11" x14ac:dyDescent="0.2">
      <c r="B28" s="24" t="s">
        <v>129</v>
      </c>
      <c r="E28" s="19">
        <v>1.2615332987420546E-2</v>
      </c>
      <c r="F28" s="20">
        <v>1.2615332987420546E-2</v>
      </c>
      <c r="G28" s="20">
        <v>1.2615332987420546E-2</v>
      </c>
      <c r="H28" s="20">
        <v>1.2615332987420546E-2</v>
      </c>
      <c r="I28" s="20">
        <v>1.2615332987420546E-2</v>
      </c>
      <c r="J28" s="20">
        <v>1.2615332987420546E-2</v>
      </c>
      <c r="K28" s="21">
        <v>1.2615332987420546E-2</v>
      </c>
    </row>
    <row r="30" spans="2:11" x14ac:dyDescent="0.2">
      <c r="B30" s="5" t="s">
        <v>103</v>
      </c>
    </row>
    <row r="31" spans="2:11" x14ac:dyDescent="0.2">
      <c r="B31" s="23" t="s">
        <v>178</v>
      </c>
      <c r="E31" s="25">
        <f>_xlfn.XLOOKUP('DCF Analysis'!$D$6,'IS &amp; CF Assump'!$B32:$B34,'IS &amp; CF Assump'!E32:E34)</f>
        <v>3.8550244036228316E-2</v>
      </c>
      <c r="F31" s="25">
        <f>_xlfn.XLOOKUP('DCF Analysis'!$D$6,'IS &amp; CF Assump'!$B32:$B34,'IS &amp; CF Assump'!F32:F34)</f>
        <v>3.455024403622832E-2</v>
      </c>
      <c r="G31" s="25">
        <f>_xlfn.XLOOKUP('DCF Analysis'!$D$6,'IS &amp; CF Assump'!$B32:$B34,'IS &amp; CF Assump'!G32:G34)</f>
        <v>3.055024403622832E-2</v>
      </c>
      <c r="H31" s="25">
        <f>_xlfn.XLOOKUP('DCF Analysis'!$D$6,'IS &amp; CF Assump'!$B32:$B34,'IS &amp; CF Assump'!H32:H34)</f>
        <v>2.655024403622832E-2</v>
      </c>
      <c r="I31" s="25">
        <f>_xlfn.XLOOKUP('DCF Analysis'!$D$6,'IS &amp; CF Assump'!$B32:$B34,'IS &amp; CF Assump'!I32:I34)</f>
        <v>2.2550244036228319E-2</v>
      </c>
      <c r="J31" s="25">
        <f>_xlfn.XLOOKUP('DCF Analysis'!$D$6,'IS &amp; CF Assump'!$B32:$B34,'IS &amp; CF Assump'!J32:J34)</f>
        <v>1.8550244036228319E-2</v>
      </c>
      <c r="K31" s="25">
        <f>_xlfn.XLOOKUP('DCF Analysis'!$D$6,'IS &amp; CF Assump'!$B32:$B34,'IS &amp; CF Assump'!K32:K34)</f>
        <v>1.8550244036228319E-2</v>
      </c>
    </row>
    <row r="32" spans="2:11" x14ac:dyDescent="0.2">
      <c r="B32" s="24" t="s">
        <v>128</v>
      </c>
      <c r="E32" s="19">
        <f>E33</f>
        <v>3.8550244036228316E-2</v>
      </c>
      <c r="F32" s="20">
        <f>F33+0.001</f>
        <v>3.5550244036228321E-2</v>
      </c>
      <c r="G32" s="20">
        <f t="shared" ref="G32:K32" si="7">G33+0.001</f>
        <v>3.1550244036228317E-2</v>
      </c>
      <c r="H32" s="20">
        <f t="shared" si="7"/>
        <v>2.755024403622832E-2</v>
      </c>
      <c r="I32" s="20">
        <f t="shared" si="7"/>
        <v>2.355024403622832E-2</v>
      </c>
      <c r="J32" s="20">
        <f t="shared" si="7"/>
        <v>1.955024403622832E-2</v>
      </c>
      <c r="K32" s="21">
        <f t="shared" si="7"/>
        <v>1.955024403622832E-2</v>
      </c>
    </row>
    <row r="33" spans="2:11" x14ac:dyDescent="0.2">
      <c r="B33" s="24" t="s">
        <v>2</v>
      </c>
      <c r="E33" s="19">
        <f>'DCF Analysis'!J102</f>
        <v>3.8550244036228316E-2</v>
      </c>
      <c r="F33" s="20">
        <f>E33-0.004</f>
        <v>3.455024403622832E-2</v>
      </c>
      <c r="G33" s="20">
        <f>F33-0.004</f>
        <v>3.055024403622832E-2</v>
      </c>
      <c r="H33" s="20">
        <f>G33-0.004</f>
        <v>2.655024403622832E-2</v>
      </c>
      <c r="I33" s="20">
        <f>H33-0.004</f>
        <v>2.2550244036228319E-2</v>
      </c>
      <c r="J33" s="20">
        <f>I33-0.004</f>
        <v>1.8550244036228319E-2</v>
      </c>
      <c r="K33" s="21">
        <f>J33</f>
        <v>1.8550244036228319E-2</v>
      </c>
    </row>
    <row r="34" spans="2:11" x14ac:dyDescent="0.2">
      <c r="B34" s="24" t="s">
        <v>129</v>
      </c>
      <c r="E34" s="19">
        <f>E33</f>
        <v>3.8550244036228316E-2</v>
      </c>
      <c r="F34" s="20">
        <f>F33-0.001</f>
        <v>3.3550244036228319E-2</v>
      </c>
      <c r="G34" s="20">
        <f t="shared" ref="G34:K34" si="8">G33-0.001</f>
        <v>2.9550244036228319E-2</v>
      </c>
      <c r="H34" s="20">
        <f t="shared" si="8"/>
        <v>2.5550244036228319E-2</v>
      </c>
      <c r="I34" s="20">
        <f t="shared" si="8"/>
        <v>2.1550244036228319E-2</v>
      </c>
      <c r="J34" s="20">
        <f t="shared" si="8"/>
        <v>1.7550244036228319E-2</v>
      </c>
      <c r="K34" s="21">
        <f t="shared" si="8"/>
        <v>1.7550244036228319E-2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DA2F-9C80-4FC1-85F2-5AFA46A489D9}">
  <dimension ref="A1:L34"/>
  <sheetViews>
    <sheetView showGridLines="0" workbookViewId="0">
      <selection activeCell="F34" sqref="F34"/>
    </sheetView>
  </sheetViews>
  <sheetFormatPr defaultColWidth="9" defaultRowHeight="12.75" x14ac:dyDescent="0.2"/>
  <cols>
    <col min="1" max="1" width="0.85546875" style="1" customWidth="1"/>
    <col min="2" max="5" width="9" style="1"/>
    <col min="6" max="6" width="9.5703125" style="1" bestFit="1" customWidth="1"/>
    <col min="7" max="16384" width="9" style="1"/>
  </cols>
  <sheetData>
    <row r="1" spans="1:12" x14ac:dyDescent="0.2">
      <c r="A1" s="103"/>
      <c r="B1" s="104" t="s">
        <v>65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x14ac:dyDescent="0.2">
      <c r="F2" s="16" t="s">
        <v>9</v>
      </c>
      <c r="G2" s="17"/>
      <c r="H2" s="17"/>
      <c r="I2" s="17"/>
      <c r="J2" s="17"/>
      <c r="K2" s="17"/>
      <c r="L2" s="17"/>
    </row>
    <row r="3" spans="1:12" x14ac:dyDescent="0.2">
      <c r="F3" s="18">
        <v>45657</v>
      </c>
      <c r="G3" s="18">
        <f>EOMONTH(F3,12)</f>
        <v>46022</v>
      </c>
      <c r="H3" s="18">
        <f t="shared" ref="H3:L3" si="0">EOMONTH(G3,12)</f>
        <v>46387</v>
      </c>
      <c r="I3" s="18">
        <f t="shared" si="0"/>
        <v>46752</v>
      </c>
      <c r="J3" s="18">
        <f t="shared" si="0"/>
        <v>47118</v>
      </c>
      <c r="K3" s="18">
        <f t="shared" si="0"/>
        <v>47483</v>
      </c>
      <c r="L3" s="18">
        <f t="shared" si="0"/>
        <v>47848</v>
      </c>
    </row>
    <row r="4" spans="1:12" x14ac:dyDescent="0.2">
      <c r="B4" s="28" t="s">
        <v>21</v>
      </c>
    </row>
    <row r="5" spans="1:12" x14ac:dyDescent="0.2">
      <c r="B5" s="27" t="s">
        <v>41</v>
      </c>
      <c r="C5" s="5"/>
      <c r="D5" s="5"/>
      <c r="F5" s="63">
        <f>_xlfn.XLOOKUP('DCF Analysis'!$D$6,'BS Assumptions'!$B6:$B8,'BS Assumptions'!F6:F8)</f>
        <v>45.552478697476111</v>
      </c>
      <c r="G5" s="63">
        <f>_xlfn.XLOOKUP('DCF Analysis'!$D$6,'BS Assumptions'!$B6:$B8,'BS Assumptions'!G6:G8)</f>
        <v>47.939623999239167</v>
      </c>
      <c r="H5" s="63">
        <f>_xlfn.XLOOKUP('DCF Analysis'!$D$6,'BS Assumptions'!$B6:$B8,'BS Assumptions'!H6:H8)</f>
        <v>45.939623999239167</v>
      </c>
      <c r="I5" s="63">
        <f>_xlfn.XLOOKUP('DCF Analysis'!$D$6,'BS Assumptions'!$B6:$B8,'BS Assumptions'!I6:I8)</f>
        <v>43.939623999239167</v>
      </c>
      <c r="J5" s="63">
        <f>_xlfn.XLOOKUP('DCF Analysis'!$D$6,'BS Assumptions'!$B6:$B8,'BS Assumptions'!J6:J8)</f>
        <v>42.939623999239167</v>
      </c>
      <c r="K5" s="63">
        <f>_xlfn.XLOOKUP('DCF Analysis'!$D$6,'BS Assumptions'!$B6:$B8,'BS Assumptions'!K6:K8)</f>
        <v>41.939623999239167</v>
      </c>
      <c r="L5" s="63">
        <f>_xlfn.XLOOKUP('DCF Analysis'!$D$6,'BS Assumptions'!$B6:$B8,'BS Assumptions'!L6:L8)</f>
        <v>41.939623999239167</v>
      </c>
    </row>
    <row r="6" spans="1:12" x14ac:dyDescent="0.2">
      <c r="B6" s="24" t="s">
        <v>128</v>
      </c>
      <c r="F6" s="60">
        <f>F7</f>
        <v>45.552478697476111</v>
      </c>
      <c r="G6" s="61">
        <f t="shared" ref="G6" si="1">G7</f>
        <v>47.939623999239167</v>
      </c>
      <c r="H6" s="61">
        <f t="shared" ref="H6" si="2">H7</f>
        <v>45.939623999239167</v>
      </c>
      <c r="I6" s="61">
        <f t="shared" ref="I6" si="3">I7</f>
        <v>43.939623999239167</v>
      </c>
      <c r="J6" s="61">
        <f t="shared" ref="J6" si="4">J7</f>
        <v>42.939623999239167</v>
      </c>
      <c r="K6" s="61">
        <f t="shared" ref="K6" si="5">K7</f>
        <v>41.939623999239167</v>
      </c>
      <c r="L6" s="62">
        <f t="shared" ref="L6" si="6">L7</f>
        <v>41.939623999239167</v>
      </c>
    </row>
    <row r="7" spans="1:12" x14ac:dyDescent="0.2">
      <c r="B7" s="24" t="s">
        <v>2</v>
      </c>
      <c r="F7" s="60">
        <f>'Working Cap.'!I28</f>
        <v>45.552478697476111</v>
      </c>
      <c r="G7" s="61">
        <f>'Working Cap.'!N28</f>
        <v>47.939623999239167</v>
      </c>
      <c r="H7" s="61">
        <f>G7-2</f>
        <v>45.939623999239167</v>
      </c>
      <c r="I7" s="61">
        <f>H7-2</f>
        <v>43.939623999239167</v>
      </c>
      <c r="J7" s="61">
        <f>I7-1</f>
        <v>42.939623999239167</v>
      </c>
      <c r="K7" s="61">
        <f>J7-1</f>
        <v>41.939623999239167</v>
      </c>
      <c r="L7" s="62">
        <f t="shared" ref="L7" si="7">K7</f>
        <v>41.939623999239167</v>
      </c>
    </row>
    <row r="8" spans="1:12" x14ac:dyDescent="0.2">
      <c r="B8" s="24" t="s">
        <v>129</v>
      </c>
      <c r="F8" s="60">
        <f>F7</f>
        <v>45.552478697476111</v>
      </c>
      <c r="G8" s="61">
        <f t="shared" ref="G8" si="8">G7</f>
        <v>47.939623999239167</v>
      </c>
      <c r="H8" s="61">
        <f t="shared" ref="H8" si="9">H7</f>
        <v>45.939623999239167</v>
      </c>
      <c r="I8" s="61">
        <f t="shared" ref="I8" si="10">I7</f>
        <v>43.939623999239167</v>
      </c>
      <c r="J8" s="61">
        <f t="shared" ref="J8" si="11">J7</f>
        <v>42.939623999239167</v>
      </c>
      <c r="K8" s="61">
        <f t="shared" ref="K8" si="12">K7</f>
        <v>41.939623999239167</v>
      </c>
      <c r="L8" s="62">
        <f t="shared" ref="L8" si="13">L7</f>
        <v>41.939623999239167</v>
      </c>
    </row>
    <row r="9" spans="1:12" x14ac:dyDescent="0.2">
      <c r="B9" s="24"/>
      <c r="F9" s="34"/>
      <c r="G9" s="34"/>
      <c r="H9" s="34"/>
      <c r="I9" s="34"/>
      <c r="J9" s="34"/>
      <c r="K9" s="34"/>
      <c r="L9" s="34"/>
    </row>
    <row r="10" spans="1:12" x14ac:dyDescent="0.2">
      <c r="B10" s="27" t="s">
        <v>104</v>
      </c>
      <c r="C10" s="5"/>
      <c r="D10" s="5"/>
      <c r="F10" s="63">
        <f>_xlfn.XLOOKUP('DCF Analysis'!$D$6,'BS Assumptions'!$B11:$B13,'BS Assumptions'!F11:F13)</f>
        <v>88.222472251421905</v>
      </c>
      <c r="G10" s="63">
        <f>_xlfn.XLOOKUP('DCF Analysis'!$D$6,'BS Assumptions'!$B11:$B13,'BS Assumptions'!G11:G13)</f>
        <v>88</v>
      </c>
      <c r="H10" s="63">
        <f>_xlfn.XLOOKUP('DCF Analysis'!$D$6,'BS Assumptions'!$B11:$B13,'BS Assumptions'!H11:H13)</f>
        <v>86</v>
      </c>
      <c r="I10" s="63">
        <f>_xlfn.XLOOKUP('DCF Analysis'!$D$6,'BS Assumptions'!$B11:$B13,'BS Assumptions'!I11:I13)</f>
        <v>84</v>
      </c>
      <c r="J10" s="63">
        <f>_xlfn.XLOOKUP('DCF Analysis'!$D$6,'BS Assumptions'!$B11:$B13,'BS Assumptions'!J11:J13)</f>
        <v>83</v>
      </c>
      <c r="K10" s="63">
        <f>_xlfn.XLOOKUP('DCF Analysis'!$D$6,'BS Assumptions'!$B11:$B13,'BS Assumptions'!K11:K13)</f>
        <v>82</v>
      </c>
      <c r="L10" s="63">
        <f>_xlfn.XLOOKUP('DCF Analysis'!$D$6,'BS Assumptions'!$B11:$B13,'BS Assumptions'!L11:L13)</f>
        <v>82</v>
      </c>
    </row>
    <row r="11" spans="1:12" x14ac:dyDescent="0.2">
      <c r="B11" s="24" t="s">
        <v>128</v>
      </c>
      <c r="F11" s="60">
        <f t="shared" ref="F11:K11" si="14">F12</f>
        <v>88.222472251421905</v>
      </c>
      <c r="G11" s="61">
        <f t="shared" si="14"/>
        <v>88</v>
      </c>
      <c r="H11" s="61">
        <f t="shared" si="14"/>
        <v>86</v>
      </c>
      <c r="I11" s="61">
        <f t="shared" si="14"/>
        <v>84</v>
      </c>
      <c r="J11" s="61">
        <f t="shared" si="14"/>
        <v>83</v>
      </c>
      <c r="K11" s="61">
        <f t="shared" si="14"/>
        <v>82</v>
      </c>
      <c r="L11" s="62">
        <f t="shared" ref="L11" si="15">L12</f>
        <v>82</v>
      </c>
    </row>
    <row r="12" spans="1:12" x14ac:dyDescent="0.2">
      <c r="B12" s="24" t="s">
        <v>2</v>
      </c>
      <c r="F12" s="60">
        <f>'Working Cap.'!I29</f>
        <v>88.222472251421905</v>
      </c>
      <c r="G12" s="61">
        <v>88</v>
      </c>
      <c r="H12" s="61">
        <f>G12-2</f>
        <v>86</v>
      </c>
      <c r="I12" s="61">
        <f>H12-2</f>
        <v>84</v>
      </c>
      <c r="J12" s="61">
        <f>I12-1</f>
        <v>83</v>
      </c>
      <c r="K12" s="61">
        <f>J12-1</f>
        <v>82</v>
      </c>
      <c r="L12" s="62">
        <f>K12</f>
        <v>82</v>
      </c>
    </row>
    <row r="13" spans="1:12" x14ac:dyDescent="0.2">
      <c r="B13" s="24" t="s">
        <v>129</v>
      </c>
      <c r="F13" s="60">
        <f>F12</f>
        <v>88.222472251421905</v>
      </c>
      <c r="G13" s="61">
        <f>G12</f>
        <v>88</v>
      </c>
      <c r="H13" s="61">
        <f t="shared" ref="H13:L13" si="16">H12</f>
        <v>86</v>
      </c>
      <c r="I13" s="61">
        <f t="shared" si="16"/>
        <v>84</v>
      </c>
      <c r="J13" s="61">
        <f t="shared" si="16"/>
        <v>83</v>
      </c>
      <c r="K13" s="61">
        <f t="shared" si="16"/>
        <v>82</v>
      </c>
      <c r="L13" s="62">
        <f t="shared" si="16"/>
        <v>82</v>
      </c>
    </row>
    <row r="14" spans="1:12" x14ac:dyDescent="0.2">
      <c r="B14" s="24"/>
      <c r="F14" s="29"/>
      <c r="G14" s="29"/>
      <c r="H14" s="29"/>
      <c r="I14" s="29"/>
      <c r="J14" s="29"/>
      <c r="K14" s="29"/>
      <c r="L14" s="29"/>
    </row>
    <row r="15" spans="1:12" x14ac:dyDescent="0.2">
      <c r="B15" s="27" t="s">
        <v>43</v>
      </c>
      <c r="F15" s="30">
        <f>_xlfn.XLOOKUP('DCF Analysis'!$D$6,'BS Assumptions'!$B16:$B18,'BS Assumptions'!F16:F18)</f>
        <v>1.0132177958615948E-2</v>
      </c>
      <c r="G15" s="30">
        <f>_xlfn.XLOOKUP('DCF Analysis'!$D$6,'BS Assumptions'!$B16:$B18,'BS Assumptions'!G16:G18)</f>
        <v>1.0132177958615948E-2</v>
      </c>
      <c r="H15" s="30">
        <f>_xlfn.XLOOKUP('DCF Analysis'!$D$6,'BS Assumptions'!$B16:$B18,'BS Assumptions'!H16:H18)</f>
        <v>1.0132177958615948E-2</v>
      </c>
      <c r="I15" s="30">
        <f>_xlfn.XLOOKUP('DCF Analysis'!$D$6,'BS Assumptions'!$B16:$B18,'BS Assumptions'!I16:I18)</f>
        <v>1.0132177958615948E-2</v>
      </c>
      <c r="J15" s="30">
        <f>_xlfn.XLOOKUP('DCF Analysis'!$D$6,'BS Assumptions'!$B16:$B18,'BS Assumptions'!J16:J18)</f>
        <v>1.0132177958615948E-2</v>
      </c>
      <c r="K15" s="30">
        <f>_xlfn.XLOOKUP('DCF Analysis'!$D$6,'BS Assumptions'!$B16:$B18,'BS Assumptions'!K16:K18)</f>
        <v>1.0132177958615948E-2</v>
      </c>
      <c r="L15" s="30">
        <f>_xlfn.XLOOKUP('DCF Analysis'!$D$6,'BS Assumptions'!$B16:$B18,'BS Assumptions'!L16:L18)</f>
        <v>1.0132177958615948E-2</v>
      </c>
    </row>
    <row r="16" spans="1:12" x14ac:dyDescent="0.2">
      <c r="B16" s="24" t="s">
        <v>128</v>
      </c>
      <c r="F16" s="31">
        <f>F17</f>
        <v>1.0132177958615948E-2</v>
      </c>
      <c r="G16" s="32">
        <v>1.0132177958615948E-2</v>
      </c>
      <c r="H16" s="32">
        <v>1.0132177958615948E-2</v>
      </c>
      <c r="I16" s="32">
        <v>1.0132177958615948E-2</v>
      </c>
      <c r="J16" s="32">
        <v>1.0132177958615948E-2</v>
      </c>
      <c r="K16" s="32">
        <v>1.0132177958615948E-2</v>
      </c>
      <c r="L16" s="33">
        <v>1.0132177958615948E-2</v>
      </c>
    </row>
    <row r="17" spans="2:12" x14ac:dyDescent="0.2">
      <c r="B17" s="24" t="s">
        <v>2</v>
      </c>
      <c r="F17" s="31">
        <f>'Working Cap.'!I30</f>
        <v>1.0132177958615948E-2</v>
      </c>
      <c r="G17" s="32">
        <v>1.0132177958615948E-2</v>
      </c>
      <c r="H17" s="32">
        <v>1.0132177958615948E-2</v>
      </c>
      <c r="I17" s="32">
        <v>1.0132177958615948E-2</v>
      </c>
      <c r="J17" s="32">
        <v>1.0132177958615948E-2</v>
      </c>
      <c r="K17" s="32">
        <v>1.0132177958615948E-2</v>
      </c>
      <c r="L17" s="33">
        <v>1.0132177958615948E-2</v>
      </c>
    </row>
    <row r="18" spans="2:12" x14ac:dyDescent="0.2">
      <c r="B18" s="24" t="s">
        <v>129</v>
      </c>
      <c r="F18" s="31">
        <f>F17</f>
        <v>1.0132177958615948E-2</v>
      </c>
      <c r="G18" s="32">
        <v>1.0132177958615948E-2</v>
      </c>
      <c r="H18" s="32">
        <v>1.0132177958615948E-2</v>
      </c>
      <c r="I18" s="32">
        <v>1.0132177958615948E-2</v>
      </c>
      <c r="J18" s="32">
        <v>1.0132177958615948E-2</v>
      </c>
      <c r="K18" s="32">
        <v>1.0132177958615948E-2</v>
      </c>
      <c r="L18" s="33">
        <v>1.0132177958615948E-2</v>
      </c>
    </row>
    <row r="19" spans="2:12" x14ac:dyDescent="0.2">
      <c r="B19" s="24"/>
      <c r="F19" s="34"/>
      <c r="G19" s="34"/>
      <c r="H19" s="34"/>
      <c r="I19" s="34"/>
      <c r="J19" s="34"/>
      <c r="K19" s="34"/>
      <c r="L19" s="34"/>
    </row>
    <row r="20" spans="2:12" x14ac:dyDescent="0.2">
      <c r="B20" s="26" t="s">
        <v>22</v>
      </c>
      <c r="F20" s="29"/>
      <c r="G20" s="29"/>
      <c r="H20" s="29"/>
      <c r="I20" s="29"/>
      <c r="J20" s="29"/>
      <c r="K20" s="29"/>
      <c r="L20" s="29"/>
    </row>
    <row r="21" spans="2:12" x14ac:dyDescent="0.2">
      <c r="B21" s="27" t="s">
        <v>42</v>
      </c>
      <c r="F21" s="63">
        <f>_xlfn.XLOOKUP('DCF Analysis'!$D$6,'BS Assumptions'!$B22:$B24,'BS Assumptions'!F22:F24)</f>
        <v>42.362775936976661</v>
      </c>
      <c r="G21" s="63">
        <f>_xlfn.XLOOKUP('DCF Analysis'!$D$6,'BS Assumptions'!$B22:$B24,'BS Assumptions'!G22:G24)</f>
        <v>46.975727698200728</v>
      </c>
      <c r="H21" s="63">
        <f>_xlfn.XLOOKUP('DCF Analysis'!$D$6,'BS Assumptions'!$B22:$B24,'BS Assumptions'!H22:H24)</f>
        <v>46.975727698200728</v>
      </c>
      <c r="I21" s="63">
        <f>_xlfn.XLOOKUP('DCF Analysis'!$D$6,'BS Assumptions'!$B22:$B24,'BS Assumptions'!I22:I24)</f>
        <v>46.975727698200728</v>
      </c>
      <c r="J21" s="63">
        <f>_xlfn.XLOOKUP('DCF Analysis'!$D$6,'BS Assumptions'!$B22:$B24,'BS Assumptions'!J22:J24)</f>
        <v>46.975727698200728</v>
      </c>
      <c r="K21" s="63">
        <f>_xlfn.XLOOKUP('DCF Analysis'!$D$6,'BS Assumptions'!$B22:$B24,'BS Assumptions'!K22:K24)</f>
        <v>46.975727698200728</v>
      </c>
      <c r="L21" s="63">
        <f>_xlfn.XLOOKUP('DCF Analysis'!$D$6,'BS Assumptions'!$B22:$B24,'BS Assumptions'!L22:L24)</f>
        <v>46.975727698200728</v>
      </c>
    </row>
    <row r="22" spans="2:12" x14ac:dyDescent="0.2">
      <c r="B22" s="24" t="s">
        <v>128</v>
      </c>
      <c r="F22" s="60">
        <f>F23</f>
        <v>42.362775936976661</v>
      </c>
      <c r="G22" s="61">
        <f>G23</f>
        <v>46.975727698200728</v>
      </c>
      <c r="H22" s="61">
        <f t="shared" ref="H22:L22" si="17">H23</f>
        <v>46.975727698200728</v>
      </c>
      <c r="I22" s="61">
        <f t="shared" si="17"/>
        <v>46.975727698200728</v>
      </c>
      <c r="J22" s="61">
        <f t="shared" si="17"/>
        <v>46.975727698200728</v>
      </c>
      <c r="K22" s="61">
        <f t="shared" si="17"/>
        <v>46.975727698200728</v>
      </c>
      <c r="L22" s="62">
        <f t="shared" si="17"/>
        <v>46.975727698200728</v>
      </c>
    </row>
    <row r="23" spans="2:12" x14ac:dyDescent="0.2">
      <c r="B23" s="24" t="s">
        <v>2</v>
      </c>
      <c r="F23" s="60">
        <f>'Working Cap.'!I33</f>
        <v>42.362775936976661</v>
      </c>
      <c r="G23" s="61">
        <f>'Working Cap.'!N33</f>
        <v>46.975727698200728</v>
      </c>
      <c r="H23" s="61">
        <f t="shared" ref="H23:L23" si="18">G23</f>
        <v>46.975727698200728</v>
      </c>
      <c r="I23" s="61">
        <f t="shared" si="18"/>
        <v>46.975727698200728</v>
      </c>
      <c r="J23" s="61">
        <f t="shared" si="18"/>
        <v>46.975727698200728</v>
      </c>
      <c r="K23" s="61">
        <f t="shared" si="18"/>
        <v>46.975727698200728</v>
      </c>
      <c r="L23" s="62">
        <f t="shared" si="18"/>
        <v>46.975727698200728</v>
      </c>
    </row>
    <row r="24" spans="2:12" x14ac:dyDescent="0.2">
      <c r="B24" s="24" t="s">
        <v>129</v>
      </c>
      <c r="F24" s="60">
        <f>F23</f>
        <v>42.362775936976661</v>
      </c>
      <c r="G24" s="61">
        <f>G23</f>
        <v>46.975727698200728</v>
      </c>
      <c r="H24" s="61">
        <f t="shared" ref="H24:L24" si="19">H23</f>
        <v>46.975727698200728</v>
      </c>
      <c r="I24" s="61">
        <f t="shared" si="19"/>
        <v>46.975727698200728</v>
      </c>
      <c r="J24" s="61">
        <f t="shared" si="19"/>
        <v>46.975727698200728</v>
      </c>
      <c r="K24" s="61">
        <f t="shared" si="19"/>
        <v>46.975727698200728</v>
      </c>
      <c r="L24" s="62">
        <f t="shared" si="19"/>
        <v>46.975727698200728</v>
      </c>
    </row>
    <row r="25" spans="2:12" x14ac:dyDescent="0.2">
      <c r="F25" s="29"/>
      <c r="G25" s="29"/>
      <c r="H25" s="29"/>
      <c r="I25" s="29"/>
      <c r="J25" s="29"/>
      <c r="K25" s="29"/>
      <c r="L25" s="29"/>
    </row>
    <row r="26" spans="2:12" x14ac:dyDescent="0.2">
      <c r="B26" s="5" t="s">
        <v>100</v>
      </c>
      <c r="F26" s="30">
        <f>_xlfn.XLOOKUP('DCF Analysis'!$D$6,'BS Assumptions'!$B27:$B29,'BS Assumptions'!F27:F29)</f>
        <v>2.4222855255038117E-2</v>
      </c>
      <c r="G26" s="30">
        <f>_xlfn.XLOOKUP('DCF Analysis'!$D$6,'BS Assumptions'!$B27:$B29,'BS Assumptions'!G27:G29)</f>
        <v>2.4222855255038117E-2</v>
      </c>
      <c r="H26" s="30">
        <f>_xlfn.XLOOKUP('DCF Analysis'!$D$6,'BS Assumptions'!$B27:$B29,'BS Assumptions'!H27:H29)</f>
        <v>2.4222855255038117E-2</v>
      </c>
      <c r="I26" s="30">
        <f>_xlfn.XLOOKUP('DCF Analysis'!$D$6,'BS Assumptions'!$B27:$B29,'BS Assumptions'!I27:I29)</f>
        <v>2.4222855255038117E-2</v>
      </c>
      <c r="J26" s="30">
        <f>_xlfn.XLOOKUP('DCF Analysis'!$D$6,'BS Assumptions'!$B27:$B29,'BS Assumptions'!J27:J29)</f>
        <v>2.4222855255038117E-2</v>
      </c>
      <c r="K26" s="30">
        <f>_xlfn.XLOOKUP('DCF Analysis'!$D$6,'BS Assumptions'!$B27:$B29,'BS Assumptions'!K27:K29)</f>
        <v>2.4222855255038117E-2</v>
      </c>
      <c r="L26" s="30">
        <f>_xlfn.XLOOKUP('DCF Analysis'!$D$6,'BS Assumptions'!$B27:$B29,'BS Assumptions'!L27:L29)</f>
        <v>2.4222855255038117E-2</v>
      </c>
    </row>
    <row r="27" spans="2:12" x14ac:dyDescent="0.2">
      <c r="B27" s="24" t="s">
        <v>128</v>
      </c>
      <c r="F27" s="31">
        <f>F28</f>
        <v>2.4222855255038117E-2</v>
      </c>
      <c r="G27" s="32">
        <f>G28</f>
        <v>2.4222855255038117E-2</v>
      </c>
      <c r="H27" s="32">
        <f t="shared" ref="H27:L27" si="20">H28</f>
        <v>2.4222855255038117E-2</v>
      </c>
      <c r="I27" s="32">
        <f t="shared" si="20"/>
        <v>2.4222855255038117E-2</v>
      </c>
      <c r="J27" s="32">
        <f t="shared" si="20"/>
        <v>2.4222855255038117E-2</v>
      </c>
      <c r="K27" s="32">
        <f t="shared" si="20"/>
        <v>2.4222855255038117E-2</v>
      </c>
      <c r="L27" s="33">
        <f t="shared" si="20"/>
        <v>2.4222855255038117E-2</v>
      </c>
    </row>
    <row r="28" spans="2:12" x14ac:dyDescent="0.2">
      <c r="B28" s="24" t="s">
        <v>2</v>
      </c>
      <c r="F28" s="31">
        <f>'Working Cap.'!I34</f>
        <v>2.4222855255038117E-2</v>
      </c>
      <c r="G28" s="32">
        <f>F28</f>
        <v>2.4222855255038117E-2</v>
      </c>
      <c r="H28" s="32">
        <f t="shared" ref="H28:L28" si="21">G28</f>
        <v>2.4222855255038117E-2</v>
      </c>
      <c r="I28" s="32">
        <f t="shared" si="21"/>
        <v>2.4222855255038117E-2</v>
      </c>
      <c r="J28" s="32">
        <f t="shared" si="21"/>
        <v>2.4222855255038117E-2</v>
      </c>
      <c r="K28" s="32">
        <f t="shared" si="21"/>
        <v>2.4222855255038117E-2</v>
      </c>
      <c r="L28" s="33">
        <f t="shared" si="21"/>
        <v>2.4222855255038117E-2</v>
      </c>
    </row>
    <row r="29" spans="2:12" x14ac:dyDescent="0.2">
      <c r="B29" s="24" t="s">
        <v>129</v>
      </c>
      <c r="F29" s="31">
        <f>F28</f>
        <v>2.4222855255038117E-2</v>
      </c>
      <c r="G29" s="32">
        <f>G28</f>
        <v>2.4222855255038117E-2</v>
      </c>
      <c r="H29" s="32">
        <f t="shared" ref="H29:L29" si="22">H28</f>
        <v>2.4222855255038117E-2</v>
      </c>
      <c r="I29" s="32">
        <f t="shared" si="22"/>
        <v>2.4222855255038117E-2</v>
      </c>
      <c r="J29" s="32">
        <f t="shared" si="22"/>
        <v>2.4222855255038117E-2</v>
      </c>
      <c r="K29" s="32">
        <f t="shared" si="22"/>
        <v>2.4222855255038117E-2</v>
      </c>
      <c r="L29" s="33">
        <f t="shared" si="22"/>
        <v>2.4222855255038117E-2</v>
      </c>
    </row>
    <row r="30" spans="2:12" x14ac:dyDescent="0.2">
      <c r="B30" s="24"/>
      <c r="F30" s="29"/>
      <c r="G30" s="29"/>
      <c r="H30" s="29"/>
      <c r="I30" s="29"/>
      <c r="J30" s="29"/>
      <c r="K30" s="29"/>
      <c r="L30" s="29"/>
    </row>
    <row r="31" spans="2:12" x14ac:dyDescent="0.2">
      <c r="B31" s="27" t="s">
        <v>127</v>
      </c>
      <c r="F31" s="30">
        <f>_xlfn.XLOOKUP('DCF Analysis'!$D$6,'BS Assumptions'!$B32:$B34,'BS Assumptions'!F32:F34)</f>
        <v>8.7267105911099756E-3</v>
      </c>
      <c r="G31" s="30">
        <f>_xlfn.XLOOKUP('DCF Analysis'!$D$6,'BS Assumptions'!$B32:$B34,'BS Assumptions'!G32:G34)</f>
        <v>1.5288082087422238E-2</v>
      </c>
      <c r="H31" s="30">
        <f>_xlfn.XLOOKUP('DCF Analysis'!$D$6,'BS Assumptions'!$B32:$B34,'BS Assumptions'!H32:H34)</f>
        <v>1.5288082087422238E-2</v>
      </c>
      <c r="I31" s="30">
        <f>_xlfn.XLOOKUP('DCF Analysis'!$D$6,'BS Assumptions'!$B32:$B34,'BS Assumptions'!I32:I34)</f>
        <v>1.5288082087422238E-2</v>
      </c>
      <c r="J31" s="30">
        <f>_xlfn.XLOOKUP('DCF Analysis'!$D$6,'BS Assumptions'!$B32:$B34,'BS Assumptions'!J32:J34)</f>
        <v>1.5288082087422238E-2</v>
      </c>
      <c r="K31" s="30">
        <f>_xlfn.XLOOKUP('DCF Analysis'!$D$6,'BS Assumptions'!$B32:$B34,'BS Assumptions'!K32:K34)</f>
        <v>1.5288082087422238E-2</v>
      </c>
      <c r="L31" s="30">
        <f>_xlfn.XLOOKUP('DCF Analysis'!$D$6,'BS Assumptions'!$B32:$B34,'BS Assumptions'!L32:L34)</f>
        <v>1.5288082087422238E-2</v>
      </c>
    </row>
    <row r="32" spans="2:12" x14ac:dyDescent="0.2">
      <c r="B32" s="24" t="s">
        <v>128</v>
      </c>
      <c r="F32" s="31">
        <f>F33</f>
        <v>8.7267105911099756E-3</v>
      </c>
      <c r="G32" s="32">
        <f>G33</f>
        <v>1.5288082087422238E-2</v>
      </c>
      <c r="H32" s="32">
        <f t="shared" ref="H32:L32" si="23">H33</f>
        <v>1.5288082087422238E-2</v>
      </c>
      <c r="I32" s="32">
        <f t="shared" si="23"/>
        <v>1.5288082087422238E-2</v>
      </c>
      <c r="J32" s="32">
        <f t="shared" si="23"/>
        <v>1.5288082087422238E-2</v>
      </c>
      <c r="K32" s="32">
        <f t="shared" si="23"/>
        <v>1.5288082087422238E-2</v>
      </c>
      <c r="L32" s="33">
        <f t="shared" si="23"/>
        <v>1.5288082087422238E-2</v>
      </c>
    </row>
    <row r="33" spans="2:12" x14ac:dyDescent="0.2">
      <c r="B33" s="24" t="s">
        <v>2</v>
      </c>
      <c r="F33" s="31">
        <f>'Working Cap.'!I35</f>
        <v>8.7267105911099756E-3</v>
      </c>
      <c r="G33" s="32">
        <f>'Working Cap.'!N35</f>
        <v>1.5288082087422238E-2</v>
      </c>
      <c r="H33" s="32">
        <f t="shared" ref="H33:L33" si="24">G33</f>
        <v>1.5288082087422238E-2</v>
      </c>
      <c r="I33" s="32">
        <f t="shared" si="24"/>
        <v>1.5288082087422238E-2</v>
      </c>
      <c r="J33" s="32">
        <f t="shared" si="24"/>
        <v>1.5288082087422238E-2</v>
      </c>
      <c r="K33" s="32">
        <f t="shared" si="24"/>
        <v>1.5288082087422238E-2</v>
      </c>
      <c r="L33" s="33">
        <f t="shared" si="24"/>
        <v>1.5288082087422238E-2</v>
      </c>
    </row>
    <row r="34" spans="2:12" x14ac:dyDescent="0.2">
      <c r="B34" s="24" t="s">
        <v>129</v>
      </c>
      <c r="F34" s="31">
        <f>F33</f>
        <v>8.7267105911099756E-3</v>
      </c>
      <c r="G34" s="32">
        <f>G33</f>
        <v>1.5288082087422238E-2</v>
      </c>
      <c r="H34" s="32">
        <f t="shared" ref="H34:L34" si="25">H33</f>
        <v>1.5288082087422238E-2</v>
      </c>
      <c r="I34" s="32">
        <f t="shared" si="25"/>
        <v>1.5288082087422238E-2</v>
      </c>
      <c r="J34" s="32">
        <f t="shared" si="25"/>
        <v>1.5288082087422238E-2</v>
      </c>
      <c r="K34" s="32">
        <f t="shared" si="25"/>
        <v>1.5288082087422238E-2</v>
      </c>
      <c r="L34" s="33">
        <f t="shared" si="25"/>
        <v>1.5288082087422238E-2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E26F-A1B0-42DA-B3BE-035BFAE0B778}">
  <dimension ref="A1:S35"/>
  <sheetViews>
    <sheetView showGridLines="0" workbookViewId="0">
      <selection activeCell="N24" sqref="N24"/>
    </sheetView>
  </sheetViews>
  <sheetFormatPr defaultColWidth="9" defaultRowHeight="12.75" outlineLevelCol="1" x14ac:dyDescent="0.2"/>
  <cols>
    <col min="1" max="1" width="0.85546875" style="1" customWidth="1"/>
    <col min="2" max="9" width="9" style="1"/>
    <col min="10" max="13" width="9" style="1" hidden="1" customWidth="1" outlineLevel="1"/>
    <col min="14" max="14" width="9" style="1" collapsed="1"/>
    <col min="15" max="16384" width="9" style="1"/>
  </cols>
  <sheetData>
    <row r="1" spans="1:19" x14ac:dyDescent="0.2">
      <c r="A1" s="103"/>
      <c r="B1" s="104" t="s">
        <v>94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</row>
    <row r="2" spans="1:19" x14ac:dyDescent="0.2">
      <c r="A2" s="103"/>
      <c r="B2" s="104" t="s">
        <v>20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spans="1:19" x14ac:dyDescent="0.2">
      <c r="A3" s="103"/>
      <c r="B3" s="105" t="s">
        <v>125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5" spans="1:19" x14ac:dyDescent="0.2">
      <c r="E5" s="122" t="s">
        <v>3</v>
      </c>
      <c r="F5" s="122"/>
      <c r="G5" s="122"/>
      <c r="H5" s="122"/>
      <c r="I5" s="122"/>
      <c r="J5" s="122"/>
      <c r="K5" s="122"/>
      <c r="L5" s="97"/>
      <c r="M5" s="97"/>
      <c r="N5" s="97" t="s">
        <v>9</v>
      </c>
      <c r="O5" s="97"/>
      <c r="P5" s="97"/>
      <c r="Q5" s="97"/>
      <c r="R5" s="97"/>
      <c r="S5" s="97"/>
    </row>
    <row r="6" spans="1:19" x14ac:dyDescent="0.2">
      <c r="E6" s="7">
        <v>44196</v>
      </c>
      <c r="F6" s="7">
        <f>EOMONTH(E6,12)</f>
        <v>44561</v>
      </c>
      <c r="G6" s="7">
        <f t="shared" ref="G6:S6" si="0">EOMONTH(F6,12)</f>
        <v>44926</v>
      </c>
      <c r="H6" s="7">
        <f t="shared" si="0"/>
        <v>45291</v>
      </c>
      <c r="I6" s="7">
        <f t="shared" si="0"/>
        <v>45657</v>
      </c>
      <c r="J6" s="120">
        <f>EOMONTH(I6,3)</f>
        <v>45747</v>
      </c>
      <c r="K6" s="120">
        <f>EOMONTH(J6,3)</f>
        <v>45838</v>
      </c>
      <c r="L6" s="83">
        <f>EOMONTH(K6,3)</f>
        <v>45930</v>
      </c>
      <c r="M6" s="83">
        <f>EOMONTH(L6,3)</f>
        <v>46022</v>
      </c>
      <c r="N6" s="7">
        <f>EOMONTH(I6,12)</f>
        <v>46022</v>
      </c>
      <c r="O6" s="8">
        <f t="shared" si="0"/>
        <v>46387</v>
      </c>
      <c r="P6" s="8">
        <f t="shared" si="0"/>
        <v>46752</v>
      </c>
      <c r="Q6" s="8">
        <f t="shared" si="0"/>
        <v>47118</v>
      </c>
      <c r="R6" s="8">
        <f t="shared" si="0"/>
        <v>47483</v>
      </c>
      <c r="S6" s="8">
        <f t="shared" si="0"/>
        <v>47848</v>
      </c>
    </row>
    <row r="7" spans="1:19" x14ac:dyDescent="0.2">
      <c r="B7" s="1" t="s">
        <v>4</v>
      </c>
      <c r="E7" s="3">
        <f>'DCF Analysis'!F44</f>
        <v>12397</v>
      </c>
      <c r="F7" s="3">
        <f>'DCF Analysis'!G44</f>
        <v>15876.9</v>
      </c>
      <c r="G7" s="3">
        <f>'DCF Analysis'!H44</f>
        <v>21768.5</v>
      </c>
      <c r="H7" s="3">
        <f>'DCF Analysis'!I44</f>
        <v>26773.599999999999</v>
      </c>
      <c r="I7" s="3">
        <f>'DCF Analysis'!J44</f>
        <v>32085.4</v>
      </c>
      <c r="J7" s="3">
        <f>'DCF Analysis'!K44</f>
        <v>8331.2999999999993</v>
      </c>
      <c r="K7" s="3">
        <f>'DCF Analysis'!L44</f>
        <v>8779.6</v>
      </c>
      <c r="L7" s="3">
        <f>'DCF Analysis'!M44</f>
        <v>9232.1618209644184</v>
      </c>
      <c r="M7" s="3">
        <f>'DCF Analysis'!N44</f>
        <v>9637.7086050226917</v>
      </c>
      <c r="N7" s="3">
        <f>SUM(J7:M7)</f>
        <v>35980.77042598711</v>
      </c>
      <c r="O7" s="3">
        <f>'DCF Analysis'!P44</f>
        <v>43411.054309372943</v>
      </c>
      <c r="P7" s="3">
        <f>'DCF Analysis'!Q44</f>
        <v>48348.550796833624</v>
      </c>
      <c r="Q7" s="3">
        <f>'DCF Analysis'!R44</f>
        <v>53381.202378924077</v>
      </c>
      <c r="R7" s="3">
        <f>'DCF Analysis'!S44</f>
        <v>58510.433407921417</v>
      </c>
      <c r="S7" s="3">
        <f>'DCF Analysis'!T44</f>
        <v>63737.68750913949</v>
      </c>
    </row>
    <row r="8" spans="1:19" x14ac:dyDescent="0.2">
      <c r="B8" s="1" t="s">
        <v>5</v>
      </c>
      <c r="E8" s="3">
        <f>-'DCF Analysis'!F46</f>
        <v>9407.6</v>
      </c>
      <c r="F8" s="3">
        <f>-'DCF Analysis'!G46</f>
        <v>12174.4</v>
      </c>
      <c r="G8" s="3">
        <f>-'DCF Analysis'!H46</f>
        <v>17088.400000000001</v>
      </c>
      <c r="H8" s="3">
        <f>-'DCF Analysis'!I46</f>
        <v>21113</v>
      </c>
      <c r="I8" s="3">
        <f>-'DCF Analysis'!J46</f>
        <v>25019.3</v>
      </c>
      <c r="J8" s="3">
        <f>-'DCF Analysis'!K46</f>
        <v>6472.8</v>
      </c>
      <c r="K8" s="3">
        <f>-'DCF Analysis'!L46</f>
        <v>6818.6</v>
      </c>
      <c r="L8" s="3">
        <f>-'DCF Analysis'!M46</f>
        <v>7205.5044926479377</v>
      </c>
      <c r="M8" s="3">
        <f>-'DCF Analysis'!N46</f>
        <v>7512.3873597411375</v>
      </c>
      <c r="N8" s="3">
        <f>SUM(J8:M8)</f>
        <v>28009.291852389077</v>
      </c>
      <c r="O8" s="3">
        <f>-'DCF Analysis'!P46</f>
        <v>33707.753544494386</v>
      </c>
      <c r="P8" s="3">
        <f>-'DCF Analysis'!Q46</f>
        <v>37396.568123648569</v>
      </c>
      <c r="Q8" s="3">
        <f>-'DCF Analysis'!R46</f>
        <v>41129.072685493913</v>
      </c>
      <c r="R8" s="3">
        <f>-'DCF Analysis'!S46</f>
        <v>44905.503994033228</v>
      </c>
      <c r="S8" s="3">
        <f>-'DCF Analysis'!T46</f>
        <v>48917.30951739302</v>
      </c>
    </row>
    <row r="9" spans="1:19" x14ac:dyDescent="0.2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B10" s="1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B11" s="1" t="s">
        <v>24</v>
      </c>
      <c r="E11" s="3">
        <v>1327.3</v>
      </c>
      <c r="F11" s="3">
        <v>1883.6</v>
      </c>
      <c r="G11" s="3">
        <v>2927.9</v>
      </c>
      <c r="H11" s="3">
        <v>3877.3</v>
      </c>
      <c r="I11" s="3">
        <v>4004.3</v>
      </c>
      <c r="J11" s="3">
        <v>4335.5</v>
      </c>
      <c r="K11" s="3">
        <v>4305</v>
      </c>
      <c r="L11" s="3">
        <f>L7/365*L28</f>
        <v>4526.9097270094107</v>
      </c>
      <c r="M11" s="3">
        <f>M7/365*M28</f>
        <v>4725.7660422596346</v>
      </c>
      <c r="N11" s="3">
        <f>M11</f>
        <v>4725.7660422596346</v>
      </c>
      <c r="O11" s="3">
        <f>O7/365*O28</f>
        <v>5701.6701945257255</v>
      </c>
      <c r="P11" s="3">
        <f>P7/365*P28</f>
        <v>6085.244505519594</v>
      </c>
      <c r="Q11" s="3">
        <f>Q7/365*Q28</f>
        <v>6426.1642771430561</v>
      </c>
      <c r="R11" s="3">
        <f>R7/365*R28</f>
        <v>6883.3315358045684</v>
      </c>
      <c r="S11" s="3">
        <f t="shared" ref="S11" si="1">S7/365*S28</f>
        <v>7323.6565718200363</v>
      </c>
    </row>
    <row r="12" spans="1:19" x14ac:dyDescent="0.2">
      <c r="B12" s="1" t="s">
        <v>25</v>
      </c>
      <c r="E12" s="3">
        <v>2617.5</v>
      </c>
      <c r="F12" s="3">
        <v>3498.6</v>
      </c>
      <c r="G12" s="3">
        <v>3985.4</v>
      </c>
      <c r="H12" s="3">
        <v>5087.7</v>
      </c>
      <c r="I12" s="3">
        <v>6047.3</v>
      </c>
      <c r="J12" s="3">
        <v>6414.7</v>
      </c>
      <c r="K12" s="3">
        <v>6121.3</v>
      </c>
      <c r="L12" s="3">
        <f>L8/365*L29</f>
        <v>6468.637938997128</v>
      </c>
      <c r="M12" s="3">
        <f>M8/365*M29</f>
        <v>6744.1376155198168</v>
      </c>
      <c r="N12" s="3">
        <f>M12</f>
        <v>6744.1376155198168</v>
      </c>
      <c r="O12" s="3">
        <f>O8/365*O29</f>
        <v>7942.1008351411429</v>
      </c>
      <c r="P12" s="3">
        <f t="shared" ref="P12:R12" si="2">P8/365*P29</f>
        <v>8606.3334859903553</v>
      </c>
      <c r="Q12" s="3">
        <f t="shared" si="2"/>
        <v>9352.638446290397</v>
      </c>
      <c r="R12" s="3">
        <f t="shared" si="2"/>
        <v>10088.359801399247</v>
      </c>
      <c r="S12" s="3">
        <f t="shared" ref="S12" si="3">S8/365*S29</f>
        <v>10989.642138154049</v>
      </c>
    </row>
    <row r="13" spans="1:19" x14ac:dyDescent="0.2">
      <c r="B13" s="10" t="s">
        <v>26</v>
      </c>
      <c r="C13" s="10"/>
      <c r="D13" s="10"/>
      <c r="E13" s="9">
        <v>8.8000000000000007</v>
      </c>
      <c r="F13" s="9">
        <v>12.7</v>
      </c>
      <c r="G13" s="9">
        <v>91.3</v>
      </c>
      <c r="H13" s="9">
        <v>116.5</v>
      </c>
      <c r="I13" s="9">
        <v>253.5</v>
      </c>
      <c r="J13" s="9">
        <v>312.5</v>
      </c>
      <c r="K13" s="9">
        <v>363.5</v>
      </c>
      <c r="L13" s="9">
        <f>L8*L30</f>
        <v>384.12590312931178</v>
      </c>
      <c r="M13" s="9">
        <f>M8*M30</f>
        <v>400.48584830696967</v>
      </c>
      <c r="N13" s="9">
        <f>M13</f>
        <v>400.48584830696967</v>
      </c>
      <c r="O13" s="9">
        <f>O8*O30</f>
        <v>341.53295749798463</v>
      </c>
      <c r="P13" s="9">
        <f>P8*P30</f>
        <v>378.90868327031177</v>
      </c>
      <c r="Q13" s="9">
        <f>Q8*Q30</f>
        <v>416.72708372227464</v>
      </c>
      <c r="R13" s="9">
        <f t="shared" ref="R13" si="4">R8*R30</f>
        <v>454.9905577888839</v>
      </c>
      <c r="S13" s="9">
        <f t="shared" ref="S13" si="5">S8*S30</f>
        <v>495.63888528692371</v>
      </c>
    </row>
    <row r="14" spans="1:19" x14ac:dyDescent="0.2">
      <c r="B14" s="5" t="s">
        <v>23</v>
      </c>
      <c r="E14" s="6">
        <f t="shared" ref="E14:O14" si="6">SUM(E11:E13)</f>
        <v>3953.6000000000004</v>
      </c>
      <c r="F14" s="6">
        <f t="shared" si="6"/>
        <v>5394.9</v>
      </c>
      <c r="G14" s="6">
        <f t="shared" si="6"/>
        <v>7004.6</v>
      </c>
      <c r="H14" s="6">
        <f t="shared" si="6"/>
        <v>9081.5</v>
      </c>
      <c r="I14" s="6">
        <f t="shared" si="6"/>
        <v>10305.1</v>
      </c>
      <c r="J14" s="6">
        <f t="shared" si="6"/>
        <v>11062.7</v>
      </c>
      <c r="K14" s="6">
        <f t="shared" si="6"/>
        <v>10789.8</v>
      </c>
      <c r="L14" s="6">
        <f t="shared" ref="L14" si="7">SUM(L11:L13)</f>
        <v>11379.673569135852</v>
      </c>
      <c r="M14" s="6">
        <f t="shared" ref="M14" si="8">SUM(M11:M13)</f>
        <v>11870.38950608642</v>
      </c>
      <c r="N14" s="6">
        <f>SUM(N11:N13)</f>
        <v>11870.38950608642</v>
      </c>
      <c r="O14" s="6">
        <f t="shared" si="6"/>
        <v>13985.303987164853</v>
      </c>
      <c r="P14" s="6">
        <f t="shared" ref="P14:S14" si="9">SUM(P11:P13)</f>
        <v>15070.486674780261</v>
      </c>
      <c r="Q14" s="6">
        <f t="shared" si="9"/>
        <v>16195.529807155728</v>
      </c>
      <c r="R14" s="6">
        <f t="shared" si="9"/>
        <v>17426.681894992696</v>
      </c>
      <c r="S14" s="6">
        <f t="shared" si="9"/>
        <v>18808.93759526101</v>
      </c>
    </row>
    <row r="15" spans="1:19" x14ac:dyDescent="0.2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B16" s="13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x14ac:dyDescent="0.2">
      <c r="B17" s="1" t="s">
        <v>28</v>
      </c>
      <c r="E17" s="3">
        <v>944.6</v>
      </c>
      <c r="F17" s="3">
        <v>1056.5999999999999</v>
      </c>
      <c r="G17" s="3">
        <v>1996.1</v>
      </c>
      <c r="H17" s="3">
        <v>2920.7</v>
      </c>
      <c r="I17" s="3">
        <v>2903.8</v>
      </c>
      <c r="J17" s="3">
        <v>3550.2</v>
      </c>
      <c r="K17" s="3">
        <v>3271.9</v>
      </c>
      <c r="L17" s="3">
        <f>L8/365*L33</f>
        <v>3457.5558251686248</v>
      </c>
      <c r="M17" s="3">
        <f>M8/365*M33</f>
        <v>3604.8133344582507</v>
      </c>
      <c r="N17" s="3">
        <f>M17</f>
        <v>3604.8133344582507</v>
      </c>
      <c r="O17" s="3">
        <f>O8/365*O33</f>
        <v>4338.2089091074758</v>
      </c>
      <c r="P17" s="3">
        <f>P8/365*P33</f>
        <v>4812.9616466403522</v>
      </c>
      <c r="Q17" s="3">
        <f t="shared" ref="Q17:R17" si="10">Q8/365*Q33</f>
        <v>5293.3373122007324</v>
      </c>
      <c r="R17" s="3">
        <f t="shared" si="10"/>
        <v>5779.3663774634797</v>
      </c>
      <c r="S17" s="3">
        <f t="shared" ref="S17" si="11">S8/365*S33</f>
        <v>6295.688251007281</v>
      </c>
    </row>
    <row r="18" spans="2:19" x14ac:dyDescent="0.2">
      <c r="B18" s="1" t="s">
        <v>100</v>
      </c>
      <c r="E18" s="3">
        <v>185.2</v>
      </c>
      <c r="F18" s="3">
        <v>353.3</v>
      </c>
      <c r="G18" s="3">
        <v>411.9</v>
      </c>
      <c r="H18" s="3">
        <v>563.20000000000005</v>
      </c>
      <c r="I18" s="3">
        <v>777.2</v>
      </c>
      <c r="J18" s="3">
        <v>810.8</v>
      </c>
      <c r="K18" s="3">
        <v>757.7</v>
      </c>
      <c r="L18" s="3">
        <f t="shared" ref="L18" si="12">L7*L34</f>
        <v>796.75714289315465</v>
      </c>
      <c r="M18" s="3">
        <f t="shared" ref="M18" si="13">M7*M34</f>
        <v>831.756778216057</v>
      </c>
      <c r="N18" s="3">
        <f>M18</f>
        <v>831.756778216057</v>
      </c>
      <c r="O18" s="3">
        <f t="shared" ref="O18:R18" si="14">O7*O34</f>
        <v>1051.5396850045395</v>
      </c>
      <c r="P18" s="3">
        <f t="shared" si="14"/>
        <v>1171.1399477425587</v>
      </c>
      <c r="Q18" s="3">
        <f t="shared" si="14"/>
        <v>1293.0451385645742</v>
      </c>
      <c r="R18" s="3">
        <f t="shared" si="14"/>
        <v>1417.289759349627</v>
      </c>
      <c r="S18" s="3">
        <f t="shared" ref="S18" si="15">S7*S34</f>
        <v>1543.9087788247368</v>
      </c>
    </row>
    <row r="19" spans="2:19" x14ac:dyDescent="0.2">
      <c r="B19" s="10" t="s">
        <v>29</v>
      </c>
      <c r="C19" s="10"/>
      <c r="D19" s="10"/>
      <c r="E19" s="9">
        <v>6.8</v>
      </c>
      <c r="F19" s="9">
        <v>6.5</v>
      </c>
      <c r="G19" s="9">
        <v>51.2</v>
      </c>
      <c r="H19" s="9">
        <v>182.7</v>
      </c>
      <c r="I19" s="9">
        <v>280</v>
      </c>
      <c r="J19" s="9">
        <v>334.5</v>
      </c>
      <c r="K19" s="9">
        <v>501.1</v>
      </c>
      <c r="L19" s="9">
        <f>L7*L35</f>
        <v>526.93018912994557</v>
      </c>
      <c r="M19" s="9">
        <f>M7*M35</f>
        <v>550.07697184118535</v>
      </c>
      <c r="N19" s="9">
        <f>M19</f>
        <v>550.07697184118535</v>
      </c>
      <c r="O19" s="9">
        <f>O7*O35</f>
        <v>663.67176178323837</v>
      </c>
      <c r="P19" s="9">
        <f t="shared" ref="P19:R19" si="16">P7*P35</f>
        <v>739.15661338989628</v>
      </c>
      <c r="Q19" s="9">
        <f t="shared" si="16"/>
        <v>816.09620389429051</v>
      </c>
      <c r="R19" s="9">
        <f t="shared" si="16"/>
        <v>894.51230891095508</v>
      </c>
      <c r="S19" s="9">
        <f t="shared" ref="S19" si="17">S7*S35</f>
        <v>974.42699870219155</v>
      </c>
    </row>
    <row r="20" spans="2:19" x14ac:dyDescent="0.2">
      <c r="B20" s="5" t="s">
        <v>27</v>
      </c>
      <c r="E20" s="6">
        <f t="shared" ref="E20:I20" si="18">SUM(E17:E19)</f>
        <v>1136.5999999999999</v>
      </c>
      <c r="F20" s="6">
        <f t="shared" si="18"/>
        <v>1416.3999999999999</v>
      </c>
      <c r="G20" s="6">
        <f t="shared" si="18"/>
        <v>2459.1999999999998</v>
      </c>
      <c r="H20" s="6">
        <f t="shared" si="18"/>
        <v>3666.5999999999995</v>
      </c>
      <c r="I20" s="6">
        <f t="shared" si="18"/>
        <v>3961</v>
      </c>
      <c r="J20" s="6">
        <f>SUM(J17:J19)</f>
        <v>4695.5</v>
      </c>
      <c r="K20" s="6">
        <f>SUM(K17:K19)</f>
        <v>4530.7000000000007</v>
      </c>
      <c r="L20" s="6">
        <f>SUM(L17:L19)</f>
        <v>4781.243157191725</v>
      </c>
      <c r="M20" s="6">
        <f>SUM(M17:M19)</f>
        <v>4986.6470845154936</v>
      </c>
      <c r="N20" s="6">
        <f>M20</f>
        <v>4986.6470845154936</v>
      </c>
      <c r="O20" s="6">
        <f>SUM(O17:O19)</f>
        <v>6053.420355895254</v>
      </c>
      <c r="P20" s="6">
        <f>SUM(P17:P19)</f>
        <v>6723.2582077728066</v>
      </c>
      <c r="Q20" s="6">
        <f>SUM(Q17:Q19)</f>
        <v>7402.4786546595969</v>
      </c>
      <c r="R20" s="6">
        <f>SUM(R17:R19)</f>
        <v>8091.1684457240617</v>
      </c>
      <c r="S20" s="6">
        <f>SUM(S17:S19)</f>
        <v>8814.0240285342097</v>
      </c>
    </row>
    <row r="21" spans="2:19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x14ac:dyDescent="0.2">
      <c r="B22" s="5" t="s">
        <v>19</v>
      </c>
      <c r="E22" s="6">
        <f t="shared" ref="E22:O22" si="19">SUM(E14, -E20)</f>
        <v>2817.0000000000005</v>
      </c>
      <c r="F22" s="6">
        <f t="shared" si="19"/>
        <v>3978.5</v>
      </c>
      <c r="G22" s="6">
        <f t="shared" si="19"/>
        <v>4545.4000000000005</v>
      </c>
      <c r="H22" s="6">
        <f t="shared" si="19"/>
        <v>5414.9000000000005</v>
      </c>
      <c r="I22" s="6">
        <f t="shared" si="19"/>
        <v>6344.1</v>
      </c>
      <c r="J22" s="6">
        <f>SUM(J14, -J20)</f>
        <v>6367.2000000000007</v>
      </c>
      <c r="K22" s="6">
        <f>SUM(K14, -K20)</f>
        <v>6259.0999999999985</v>
      </c>
      <c r="L22" s="6">
        <f>SUM(L14, -L20)</f>
        <v>6598.4304119441267</v>
      </c>
      <c r="M22" s="6">
        <f>SUM(M14, -M20)</f>
        <v>6883.7424215709261</v>
      </c>
      <c r="N22" s="6">
        <f>SUM(N14, -N20)</f>
        <v>6883.7424215709261</v>
      </c>
      <c r="O22" s="6">
        <f t="shared" si="19"/>
        <v>7931.8836312695985</v>
      </c>
      <c r="P22" s="6">
        <f>SUM(P14, -P20)</f>
        <v>8347.228467007455</v>
      </c>
      <c r="Q22" s="6">
        <f>SUM(Q14, -Q20)</f>
        <v>8793.0511524961312</v>
      </c>
      <c r="R22" s="6">
        <f>SUM(R14, -R20)</f>
        <v>9335.5134492686338</v>
      </c>
      <c r="S22" s="6">
        <f>SUM(S14, -S20)</f>
        <v>9994.9135667268001</v>
      </c>
    </row>
    <row r="23" spans="2:19" x14ac:dyDescent="0.2">
      <c r="B23" s="2" t="s">
        <v>45</v>
      </c>
      <c r="E23" s="35">
        <f>IFERROR(E22/E7, 0)</f>
        <v>0.22723239493425831</v>
      </c>
      <c r="F23" s="35">
        <f t="shared" ref="F23:R23" si="20">IFERROR(F22/F7, 0)</f>
        <v>0.25058418205065219</v>
      </c>
      <c r="G23" s="35">
        <f t="shared" si="20"/>
        <v>0.2088063026850725</v>
      </c>
      <c r="H23" s="35">
        <f>IFERROR(H22/H7, 0)</f>
        <v>0.20224773657632894</v>
      </c>
      <c r="I23" s="35">
        <f>IFERROR(I22/I7, 0)</f>
        <v>0.19772544521807428</v>
      </c>
      <c r="J23" s="35">
        <f>IFERROR(J22/J7, 0)</f>
        <v>0.76425047711641658</v>
      </c>
      <c r="K23" s="35">
        <f t="shared" si="20"/>
        <v>0.71291402797393943</v>
      </c>
      <c r="L23" s="35">
        <f>IFERROR(L22/L7, 0)</f>
        <v>0.71472213549814445</v>
      </c>
      <c r="M23" s="35">
        <f>IFERROR(M22/M7, 0)</f>
        <v>0.71425093906485859</v>
      </c>
      <c r="N23" s="35">
        <f>IFERROR(N22/N7, 0)</f>
        <v>0.1913172603052197</v>
      </c>
      <c r="O23" s="35">
        <f>IFERROR(O22/O7, 0)</f>
        <v>0.1827157565615036</v>
      </c>
      <c r="P23" s="35">
        <f t="shared" si="20"/>
        <v>0.17264692176780033</v>
      </c>
      <c r="Q23" s="35">
        <f t="shared" si="20"/>
        <v>0.16472186388907187</v>
      </c>
      <c r="R23" s="35">
        <f t="shared" si="20"/>
        <v>0.15955297039390495</v>
      </c>
      <c r="S23" s="35">
        <f t="shared" ref="S23" si="21">IFERROR(S22/S7, 0)</f>
        <v>0.15681324436650776</v>
      </c>
    </row>
    <row r="24" spans="2:19" x14ac:dyDescent="0.2">
      <c r="B24" s="5" t="s">
        <v>30</v>
      </c>
      <c r="E24" s="6">
        <v>0</v>
      </c>
      <c r="F24" s="6">
        <f t="shared" ref="F24:M24" si="22">IFERROR(F22-E22,0)</f>
        <v>1161.4999999999995</v>
      </c>
      <c r="G24" s="6">
        <f t="shared" si="22"/>
        <v>566.90000000000055</v>
      </c>
      <c r="H24" s="6">
        <f t="shared" si="22"/>
        <v>869.5</v>
      </c>
      <c r="I24" s="6">
        <f t="shared" si="22"/>
        <v>929.19999999999982</v>
      </c>
      <c r="J24" s="6">
        <f t="shared" si="22"/>
        <v>23.100000000000364</v>
      </c>
      <c r="K24" s="6">
        <f t="shared" si="22"/>
        <v>-108.10000000000218</v>
      </c>
      <c r="L24" s="6">
        <f t="shared" si="22"/>
        <v>339.33041194412817</v>
      </c>
      <c r="M24" s="6">
        <f t="shared" si="22"/>
        <v>285.31200962679941</v>
      </c>
      <c r="N24" s="6">
        <f>IFERROR(N22-I22,0)</f>
        <v>539.64242157092576</v>
      </c>
      <c r="O24" s="6">
        <f>IFERROR(O22-N22,0)</f>
        <v>1048.1412096986724</v>
      </c>
      <c r="P24" s="6">
        <f>IFERROR(P22-O22,0)</f>
        <v>415.34483573785656</v>
      </c>
      <c r="Q24" s="6">
        <f>IFERROR(Q22-P22,0)</f>
        <v>445.82268548867614</v>
      </c>
      <c r="R24" s="6">
        <f>IFERROR(R22-Q22,0)</f>
        <v>542.46229677250267</v>
      </c>
      <c r="S24" s="6">
        <f t="shared" ref="S24" si="23">IFERROR(S22-R22,0)</f>
        <v>659.40011745816628</v>
      </c>
    </row>
    <row r="25" spans="2:19" x14ac:dyDescent="0.2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x14ac:dyDescent="0.2">
      <c r="B26" s="13" t="s">
        <v>31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 x14ac:dyDescent="0.2">
      <c r="B27" s="109" t="s">
        <v>32</v>
      </c>
      <c r="C27" s="110"/>
      <c r="D27" s="110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</row>
    <row r="28" spans="2:19" x14ac:dyDescent="0.2">
      <c r="B28" s="112" t="s">
        <v>33</v>
      </c>
      <c r="C28" s="112"/>
      <c r="D28" s="112"/>
      <c r="E28" s="113">
        <f>E11/E7*365</f>
        <v>39.079172380414612</v>
      </c>
      <c r="F28" s="113">
        <f t="shared" ref="F28:G28" si="24">F11/F7*365</f>
        <v>43.302785808312706</v>
      </c>
      <c r="G28" s="113">
        <f t="shared" si="24"/>
        <v>49.093116200013782</v>
      </c>
      <c r="H28" s="113">
        <f>H11/H7*365</f>
        <v>52.858580840828282</v>
      </c>
      <c r="I28" s="113">
        <f>I11/I7*365</f>
        <v>45.552478697476111</v>
      </c>
      <c r="J28" s="113">
        <f t="shared" ref="J28:K28" si="25">J11/J7*365</f>
        <v>189.94124566394203</v>
      </c>
      <c r="K28" s="113">
        <f t="shared" si="25"/>
        <v>178.97455464941456</v>
      </c>
      <c r="L28" s="113">
        <v>178.97455464941456</v>
      </c>
      <c r="M28" s="113">
        <v>178.97455464941456</v>
      </c>
      <c r="N28" s="113">
        <f>N11/N7*365</f>
        <v>47.939623999239167</v>
      </c>
      <c r="O28" s="113">
        <f>'BS Assumptions'!G5</f>
        <v>47.939623999239167</v>
      </c>
      <c r="P28" s="113">
        <f>'BS Assumptions'!H5</f>
        <v>45.939623999239167</v>
      </c>
      <c r="Q28" s="113">
        <f>'BS Assumptions'!I5</f>
        <v>43.939623999239167</v>
      </c>
      <c r="R28" s="113">
        <f>'BS Assumptions'!J5</f>
        <v>42.939623999239167</v>
      </c>
      <c r="S28" s="113">
        <f>'BS Assumptions'!K5</f>
        <v>41.939623999239167</v>
      </c>
    </row>
    <row r="29" spans="2:19" x14ac:dyDescent="0.2">
      <c r="B29" s="1" t="s">
        <v>34</v>
      </c>
      <c r="E29" s="114">
        <f>E12/E8*365</f>
        <v>101.55485990050596</v>
      </c>
      <c r="F29" s="114">
        <f t="shared" ref="F29:G29" si="26">F12/F8*365</f>
        <v>104.89132934682611</v>
      </c>
      <c r="G29" s="114">
        <f t="shared" si="26"/>
        <v>85.126225977856322</v>
      </c>
      <c r="H29" s="114">
        <f t="shared" ref="H29" si="27">H12/H8*365</f>
        <v>87.955785534978446</v>
      </c>
      <c r="I29" s="114">
        <f>I12/I8*365</f>
        <v>88.222472251421905</v>
      </c>
      <c r="J29" s="114">
        <f t="shared" ref="J29:K29" si="28">J12/J8*365</f>
        <v>361.7237516994191</v>
      </c>
      <c r="K29" s="114">
        <f t="shared" si="28"/>
        <v>327.67349602557709</v>
      </c>
      <c r="L29" s="114">
        <v>327.67349602557709</v>
      </c>
      <c r="M29" s="114">
        <v>327.67349602557709</v>
      </c>
      <c r="N29" s="114">
        <f>N12/N8*365</f>
        <v>87.885486096456518</v>
      </c>
      <c r="O29" s="114">
        <f>'BS Assumptions'!H10</f>
        <v>86</v>
      </c>
      <c r="P29" s="114">
        <f>'BS Assumptions'!I10</f>
        <v>84</v>
      </c>
      <c r="Q29" s="114">
        <f>'BS Assumptions'!J10</f>
        <v>83</v>
      </c>
      <c r="R29" s="114">
        <f>'BS Assumptions'!K10</f>
        <v>82</v>
      </c>
      <c r="S29" s="114">
        <f>'BS Assumptions'!L10</f>
        <v>82</v>
      </c>
    </row>
    <row r="30" spans="2:19" x14ac:dyDescent="0.2">
      <c r="B30" s="110" t="s">
        <v>35</v>
      </c>
      <c r="C30" s="110"/>
      <c r="D30" s="110"/>
      <c r="E30" s="115">
        <f t="shared" ref="E30:N30" si="29">E13/E8</f>
        <v>9.3541392065989203E-4</v>
      </c>
      <c r="F30" s="115">
        <f t="shared" si="29"/>
        <v>1.0431725588119331E-3</v>
      </c>
      <c r="G30" s="115">
        <f t="shared" si="29"/>
        <v>5.342805645935254E-3</v>
      </c>
      <c r="H30" s="115">
        <f t="shared" si="29"/>
        <v>5.517927343342964E-3</v>
      </c>
      <c r="I30" s="115">
        <f t="shared" si="29"/>
        <v>1.0132177958615948E-2</v>
      </c>
      <c r="J30" s="115">
        <f t="shared" ref="J30:K30" si="30">J13/J8</f>
        <v>4.8278951921888517E-2</v>
      </c>
      <c r="K30" s="115">
        <f t="shared" si="30"/>
        <v>5.3310063649429501E-2</v>
      </c>
      <c r="L30" s="115">
        <v>5.3310063649429501E-2</v>
      </c>
      <c r="M30" s="115">
        <v>5.3310063649429501E-2</v>
      </c>
      <c r="N30" s="115">
        <f t="shared" si="29"/>
        <v>1.4298321086357986E-2</v>
      </c>
      <c r="O30" s="115">
        <f>'BS Assumptions'!G15</f>
        <v>1.0132177958615948E-2</v>
      </c>
      <c r="P30" s="115">
        <f>'BS Assumptions'!H15</f>
        <v>1.0132177958615948E-2</v>
      </c>
      <c r="Q30" s="115">
        <f>'BS Assumptions'!I15</f>
        <v>1.0132177958615948E-2</v>
      </c>
      <c r="R30" s="115">
        <f>'BS Assumptions'!J15</f>
        <v>1.0132177958615948E-2</v>
      </c>
      <c r="S30" s="115">
        <f>'BS Assumptions'!K15</f>
        <v>1.0132177958615948E-2</v>
      </c>
    </row>
    <row r="31" spans="2:19" x14ac:dyDescent="0.2"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</row>
    <row r="32" spans="2:19" x14ac:dyDescent="0.2">
      <c r="B32" s="109" t="s">
        <v>36</v>
      </c>
      <c r="C32" s="110"/>
      <c r="D32" s="110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</row>
    <row r="33" spans="2:19" x14ac:dyDescent="0.2">
      <c r="B33" s="1" t="s">
        <v>37</v>
      </c>
      <c r="E33" s="118">
        <f>E17/E8*365</f>
        <v>36.648985926272374</v>
      </c>
      <c r="F33" s="118">
        <f t="shared" ref="F33:I33" si="31">F17/F8*365</f>
        <v>31.677865028256011</v>
      </c>
      <c r="G33" s="118">
        <f t="shared" si="31"/>
        <v>42.635735352636871</v>
      </c>
      <c r="H33" s="118">
        <f t="shared" si="31"/>
        <v>50.49284800833609</v>
      </c>
      <c r="I33" s="118">
        <f t="shared" si="31"/>
        <v>42.362775936976661</v>
      </c>
      <c r="J33" s="118">
        <f t="shared" ref="J33:K33" si="32">J17/J8*365</f>
        <v>200.19512421208748</v>
      </c>
      <c r="K33" s="118">
        <f t="shared" si="32"/>
        <v>175.14497110843868</v>
      </c>
      <c r="L33" s="118">
        <v>175.14497110843868</v>
      </c>
      <c r="M33" s="118">
        <v>175.14497110843868</v>
      </c>
      <c r="N33" s="118">
        <f>N17/N8*365</f>
        <v>46.975727698200728</v>
      </c>
      <c r="O33" s="118">
        <f>'BS Assumptions'!G21</f>
        <v>46.975727698200728</v>
      </c>
      <c r="P33" s="118">
        <f>'BS Assumptions'!H21</f>
        <v>46.975727698200728</v>
      </c>
      <c r="Q33" s="118">
        <f>'BS Assumptions'!I21</f>
        <v>46.975727698200728</v>
      </c>
      <c r="R33" s="118">
        <f>'BS Assumptions'!J21</f>
        <v>46.975727698200728</v>
      </c>
      <c r="S33" s="118">
        <f>'BS Assumptions'!K21</f>
        <v>46.975727698200728</v>
      </c>
    </row>
    <row r="34" spans="2:19" x14ac:dyDescent="0.2">
      <c r="B34" s="1" t="s">
        <v>100</v>
      </c>
      <c r="E34" s="119">
        <f>E18/E7</f>
        <v>1.4939098168911832E-2</v>
      </c>
      <c r="F34" s="119">
        <f t="shared" ref="F34:I34" si="33">F18/F7</f>
        <v>2.2252454824304494E-2</v>
      </c>
      <c r="G34" s="119">
        <f t="shared" si="33"/>
        <v>1.8921836598755081E-2</v>
      </c>
      <c r="H34" s="119">
        <f t="shared" si="33"/>
        <v>2.1035647055308217E-2</v>
      </c>
      <c r="I34" s="119">
        <f t="shared" si="33"/>
        <v>2.4222855255038117E-2</v>
      </c>
      <c r="J34" s="119">
        <f t="shared" ref="J34:K34" si="34">J18/J7</f>
        <v>9.7319746018028397E-2</v>
      </c>
      <c r="K34" s="119">
        <f t="shared" si="34"/>
        <v>8.6302337236320567E-2</v>
      </c>
      <c r="L34" s="119">
        <v>8.6302337236320567E-2</v>
      </c>
      <c r="M34" s="119">
        <v>8.6302337236320567E-2</v>
      </c>
      <c r="N34" s="119">
        <f t="shared" ref="N34" si="35">N18/N7</f>
        <v>2.3116702849011836E-2</v>
      </c>
      <c r="O34" s="119">
        <f>'BS Assumptions'!G26</f>
        <v>2.4222855255038117E-2</v>
      </c>
      <c r="P34" s="119">
        <f>'BS Assumptions'!H26</f>
        <v>2.4222855255038117E-2</v>
      </c>
      <c r="Q34" s="119">
        <f>'BS Assumptions'!I26</f>
        <v>2.4222855255038117E-2</v>
      </c>
      <c r="R34" s="119">
        <f>'BS Assumptions'!J26</f>
        <v>2.4222855255038117E-2</v>
      </c>
      <c r="S34" s="119">
        <f>'BS Assumptions'!K26</f>
        <v>2.4222855255038117E-2</v>
      </c>
    </row>
    <row r="35" spans="2:19" x14ac:dyDescent="0.2">
      <c r="B35" s="110" t="s">
        <v>38</v>
      </c>
      <c r="C35" s="110"/>
      <c r="D35" s="110"/>
      <c r="E35" s="115">
        <f>E19/E7</f>
        <v>5.4851980317818826E-4</v>
      </c>
      <c r="F35" s="115">
        <f t="shared" ref="F35:H35" si="36">F19/F7</f>
        <v>4.0939981986407926E-4</v>
      </c>
      <c r="G35" s="115">
        <f t="shared" si="36"/>
        <v>2.3520224177136688E-3</v>
      </c>
      <c r="H35" s="115">
        <f t="shared" si="36"/>
        <v>6.8238862162727466E-3</v>
      </c>
      <c r="I35" s="115">
        <f>I19/I7</f>
        <v>8.7267105911099756E-3</v>
      </c>
      <c r="J35" s="115">
        <f t="shared" ref="J35:K35" si="37">J19/J7</f>
        <v>4.0149796550358288E-2</v>
      </c>
      <c r="K35" s="115">
        <f t="shared" si="37"/>
        <v>5.7075493188755752E-2</v>
      </c>
      <c r="L35" s="115">
        <v>5.7075493188755752E-2</v>
      </c>
      <c r="M35" s="115">
        <v>5.7075493188755752E-2</v>
      </c>
      <c r="N35" s="115">
        <f>N19/N7</f>
        <v>1.5288082087422238E-2</v>
      </c>
      <c r="O35" s="115">
        <f>'BS Assumptions'!G31</f>
        <v>1.5288082087422238E-2</v>
      </c>
      <c r="P35" s="115">
        <f>'BS Assumptions'!H31</f>
        <v>1.5288082087422238E-2</v>
      </c>
      <c r="Q35" s="115">
        <f>'BS Assumptions'!I31</f>
        <v>1.5288082087422238E-2</v>
      </c>
      <c r="R35" s="115">
        <f>'BS Assumptions'!J31</f>
        <v>1.5288082087422238E-2</v>
      </c>
      <c r="S35" s="115">
        <f>'BS Assumptions'!K31</f>
        <v>1.5288082087422238E-2</v>
      </c>
    </row>
  </sheetData>
  <pageMargins left="0.7" right="0.7" top="0.75" bottom="0.75" header="0.3" footer="0.3"/>
  <ignoredErrors>
    <ignoredError sqref="N11:N2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FDD1-E45E-4CAE-98C8-85324183F5AC}">
  <dimension ref="A1:Y37"/>
  <sheetViews>
    <sheetView showGridLines="0" zoomScaleNormal="100" workbookViewId="0">
      <selection activeCell="O39" sqref="O39"/>
    </sheetView>
  </sheetViews>
  <sheetFormatPr defaultColWidth="11.5703125" defaultRowHeight="12.75" outlineLevelRow="1" outlineLevelCol="1" x14ac:dyDescent="0.2"/>
  <cols>
    <col min="1" max="1" width="0.85546875" style="1" customWidth="1"/>
    <col min="2" max="2" width="18.7109375" style="1" customWidth="1"/>
    <col min="3" max="3" width="11.5703125" style="1"/>
    <col min="4" max="7" width="11.5703125" style="1" hidden="1" customWidth="1" outlineLevel="1"/>
    <col min="8" max="8" width="11.5703125" style="1" collapsed="1"/>
    <col min="9" max="9" width="11.5703125" style="1"/>
    <col min="10" max="10" width="0.85546875" style="1" customWidth="1"/>
    <col min="11" max="11" width="11.5703125" style="1"/>
    <col min="12" max="12" width="11.5703125" style="1" customWidth="1"/>
    <col min="13" max="16" width="11.5703125" style="1"/>
    <col min="17" max="17" width="14" style="1" bestFit="1" customWidth="1"/>
    <col min="18" max="16384" width="11.5703125" style="1"/>
  </cols>
  <sheetData>
    <row r="1" spans="1:15" x14ac:dyDescent="0.2">
      <c r="A1" s="103"/>
      <c r="B1" s="104" t="s">
        <v>94</v>
      </c>
      <c r="C1" s="103"/>
      <c r="D1" s="103"/>
      <c r="E1" s="103"/>
      <c r="F1" s="103"/>
      <c r="G1" s="103"/>
      <c r="H1" s="103"/>
      <c r="I1" s="103"/>
      <c r="J1" s="103"/>
      <c r="K1" s="103"/>
    </row>
    <row r="2" spans="1:15" x14ac:dyDescent="0.2">
      <c r="A2" s="103"/>
      <c r="B2" s="104" t="s">
        <v>40</v>
      </c>
      <c r="C2" s="103"/>
      <c r="D2" s="103"/>
      <c r="E2" s="103"/>
      <c r="F2" s="103"/>
      <c r="G2" s="103"/>
      <c r="H2" s="103"/>
      <c r="I2" s="103"/>
      <c r="J2" s="103"/>
      <c r="K2" s="103"/>
    </row>
    <row r="3" spans="1:15" x14ac:dyDescent="0.2">
      <c r="A3" s="103"/>
      <c r="B3" s="105" t="s">
        <v>180</v>
      </c>
      <c r="C3" s="103"/>
      <c r="D3" s="103"/>
      <c r="E3" s="103"/>
      <c r="F3" s="103"/>
      <c r="G3" s="103"/>
      <c r="H3" s="103"/>
      <c r="I3" s="103"/>
      <c r="J3" s="103"/>
      <c r="K3" s="103"/>
    </row>
    <row r="4" spans="1:15" x14ac:dyDescent="0.2">
      <c r="B4" s="5"/>
      <c r="C4" s="171" t="s">
        <v>53</v>
      </c>
      <c r="D4" s="171"/>
      <c r="E4" s="171"/>
      <c r="F4" s="171"/>
      <c r="G4" s="172"/>
      <c r="H4" s="172"/>
      <c r="I4" s="171"/>
      <c r="J4" s="173"/>
      <c r="K4" s="171" t="s">
        <v>130</v>
      </c>
    </row>
    <row r="5" spans="1:15" x14ac:dyDescent="0.2">
      <c r="B5" s="5"/>
      <c r="C5" s="36" t="s">
        <v>82</v>
      </c>
      <c r="D5" s="173"/>
      <c r="E5" s="173"/>
      <c r="F5" s="173"/>
      <c r="G5" s="173" t="s">
        <v>74</v>
      </c>
      <c r="H5" s="36" t="s">
        <v>80</v>
      </c>
      <c r="I5" s="36" t="s">
        <v>80</v>
      </c>
      <c r="J5" s="173"/>
      <c r="K5" s="173" t="s">
        <v>70</v>
      </c>
    </row>
    <row r="6" spans="1:15" ht="13.5" thickBot="1" x14ac:dyDescent="0.25">
      <c r="B6" s="174" t="s">
        <v>68</v>
      </c>
      <c r="C6" s="174" t="s">
        <v>75</v>
      </c>
      <c r="D6" s="174" t="s">
        <v>60</v>
      </c>
      <c r="E6" s="174" t="s">
        <v>72</v>
      </c>
      <c r="F6" s="174" t="s">
        <v>73</v>
      </c>
      <c r="G6" s="174" t="s">
        <v>75</v>
      </c>
      <c r="H6" s="174" t="s">
        <v>81</v>
      </c>
      <c r="I6" s="174" t="s">
        <v>79</v>
      </c>
      <c r="J6" s="36"/>
      <c r="K6" s="174" t="s">
        <v>69</v>
      </c>
      <c r="M6" s="164" t="s">
        <v>31</v>
      </c>
      <c r="N6" s="165"/>
      <c r="O6" s="166"/>
    </row>
    <row r="7" spans="1:15" ht="12.75" customHeight="1" x14ac:dyDescent="0.2">
      <c r="B7" s="169" t="str">
        <f>Comps!B7</f>
        <v>Wal-Mart de México</v>
      </c>
      <c r="C7" s="175">
        <f>Comps!K7</f>
        <v>291697.56</v>
      </c>
      <c r="D7" s="175">
        <f>Comps!I7</f>
        <v>23033.4</v>
      </c>
      <c r="E7" s="175">
        <f>Comps!H7</f>
        <v>0</v>
      </c>
      <c r="F7" s="175">
        <f>Comps!J7</f>
        <v>9485.7999999999993</v>
      </c>
      <c r="G7" s="175">
        <f>C7+D7+E7-F7</f>
        <v>305245.16000000003</v>
      </c>
      <c r="H7" s="176">
        <f>D7/(D7+C7)</f>
        <v>7.3184411219029744E-2</v>
      </c>
      <c r="I7" s="176">
        <f t="shared" ref="I7:I11" si="0">D7/C7</f>
        <v>7.8963293350825428E-2</v>
      </c>
      <c r="J7" s="177"/>
      <c r="K7" s="177">
        <v>0.5</v>
      </c>
      <c r="M7" s="167" t="s">
        <v>165</v>
      </c>
      <c r="N7" s="168"/>
      <c r="O7" s="190">
        <f>K17</f>
        <v>0.5</v>
      </c>
    </row>
    <row r="8" spans="1:15" ht="12.75" customHeight="1" x14ac:dyDescent="0.2">
      <c r="B8" s="169" t="str">
        <f>Comps!B8</f>
        <v>Soriana</v>
      </c>
      <c r="C8" s="175">
        <f>Comps!K8</f>
        <v>13410</v>
      </c>
      <c r="D8" s="175">
        <f>Comps!I8</f>
        <v>8816.4</v>
      </c>
      <c r="E8" s="175">
        <f>Comps!H8</f>
        <v>36.159999999999997</v>
      </c>
      <c r="F8" s="175">
        <f>Comps!J8</f>
        <v>2204.5</v>
      </c>
      <c r="G8" s="175">
        <f>C8+D8+E8-F8</f>
        <v>20058.060000000001</v>
      </c>
      <c r="H8" s="176">
        <f t="shared" ref="H8:H10" si="1">D8/(D8+C8)</f>
        <v>0.39666342727567211</v>
      </c>
      <c r="I8" s="176">
        <f t="shared" si="0"/>
        <v>0.65744966442953012</v>
      </c>
      <c r="J8" s="177"/>
      <c r="K8" s="177">
        <v>0.2</v>
      </c>
      <c r="M8" s="167" t="s">
        <v>188</v>
      </c>
      <c r="N8" s="168"/>
      <c r="O8" s="191">
        <f>$H$17</f>
        <v>0.24488333693990397</v>
      </c>
    </row>
    <row r="9" spans="1:15" ht="12.75" customHeight="1" x14ac:dyDescent="0.2">
      <c r="B9" s="169" t="str">
        <f>Comps!B9</f>
        <v>Cencosud</v>
      </c>
      <c r="C9" s="175">
        <f>Comps!K9</f>
        <v>48608.1</v>
      </c>
      <c r="D9" s="175">
        <f>Comps!I9</f>
        <v>31427.4</v>
      </c>
      <c r="E9" s="175">
        <f>Comps!H9</f>
        <v>3634.54</v>
      </c>
      <c r="F9" s="175">
        <f>Comps!J9</f>
        <v>2518.8000000000002</v>
      </c>
      <c r="G9" s="175">
        <f t="shared" ref="G9:G10" si="2">C9+D9+E9-F9</f>
        <v>81151.239999999991</v>
      </c>
      <c r="H9" s="176">
        <f t="shared" si="1"/>
        <v>0.39266825346252604</v>
      </c>
      <c r="I9" s="176">
        <f t="shared" si="0"/>
        <v>0.64654656322711657</v>
      </c>
      <c r="J9" s="177"/>
      <c r="K9" s="177">
        <v>0.4</v>
      </c>
      <c r="M9" s="167" t="s">
        <v>189</v>
      </c>
      <c r="O9" s="191">
        <f>-O8+1</f>
        <v>0.75511666306009606</v>
      </c>
    </row>
    <row r="10" spans="1:15" ht="12.75" customHeight="1" x14ac:dyDescent="0.2">
      <c r="B10" s="169" t="str">
        <f>Comps!B10</f>
        <v>Assaí</v>
      </c>
      <c r="C10" s="175">
        <f>Comps!K10</f>
        <v>13280.568000000001</v>
      </c>
      <c r="D10" s="175">
        <f>Comps!I10</f>
        <v>26415</v>
      </c>
      <c r="E10" s="175">
        <f>Comps!H10</f>
        <v>0</v>
      </c>
      <c r="F10" s="175">
        <f>Comps!J10</f>
        <v>4459</v>
      </c>
      <c r="G10" s="175">
        <f t="shared" si="2"/>
        <v>35236.567999999999</v>
      </c>
      <c r="H10" s="176">
        <f t="shared" si="1"/>
        <v>0.66543952715325805</v>
      </c>
      <c r="I10" s="176">
        <f t="shared" si="0"/>
        <v>1.9889962537746877</v>
      </c>
      <c r="J10" s="177"/>
      <c r="K10" s="177">
        <v>0.4</v>
      </c>
      <c r="M10" s="167" t="s">
        <v>44</v>
      </c>
      <c r="N10" s="168"/>
      <c r="O10" s="191">
        <v>0.34</v>
      </c>
    </row>
    <row r="11" spans="1:15" ht="12.75" customHeight="1" x14ac:dyDescent="0.2">
      <c r="B11" s="1" t="s">
        <v>210</v>
      </c>
      <c r="C11" s="175">
        <f>Comps!K11</f>
        <v>1655.375</v>
      </c>
      <c r="D11" s="175">
        <f>Comps!I11</f>
        <v>8780</v>
      </c>
      <c r="E11" s="175">
        <f>Comps!H11</f>
        <v>11</v>
      </c>
      <c r="F11" s="175">
        <f>Comps!J11</f>
        <v>1769</v>
      </c>
      <c r="G11" s="175">
        <f>C11+D11+E11-F11</f>
        <v>8677.375</v>
      </c>
      <c r="H11" s="176">
        <f>D11/(D11+C11)</f>
        <v>0.84136890145299048</v>
      </c>
      <c r="I11" s="176">
        <f t="shared" si="0"/>
        <v>5.3039341538926221</v>
      </c>
      <c r="K11" s="177">
        <v>0.2</v>
      </c>
      <c r="M11" s="1" t="s">
        <v>195</v>
      </c>
      <c r="O11" s="89">
        <v>0.04</v>
      </c>
    </row>
    <row r="12" spans="1:15" ht="12.75" customHeight="1" x14ac:dyDescent="0.2">
      <c r="B12" s="169" t="str">
        <f>Comps!B12</f>
        <v>Almacenes Éxito</v>
      </c>
      <c r="C12" s="175">
        <f>Comps!K12</f>
        <v>5697.7809999999999</v>
      </c>
      <c r="D12" s="175">
        <f>Comps!I12</f>
        <v>5856</v>
      </c>
      <c r="E12" s="175">
        <f>Comps!H12</f>
        <v>1794.84</v>
      </c>
      <c r="F12" s="175">
        <f>Comps!J12</f>
        <v>1785.3</v>
      </c>
      <c r="G12" s="175">
        <f>C12+D12+E12-F12</f>
        <v>11563.321</v>
      </c>
      <c r="H12" s="176">
        <f>D12/(D12+C12)</f>
        <v>0.50684706590855411</v>
      </c>
      <c r="I12" s="176">
        <f>D12/C12</f>
        <v>1.0277685295380781</v>
      </c>
      <c r="J12" s="177"/>
      <c r="K12" s="177">
        <v>-0.1</v>
      </c>
      <c r="M12" s="167" t="s">
        <v>196</v>
      </c>
      <c r="N12" s="168"/>
      <c r="O12" s="191">
        <v>7.17E-2</v>
      </c>
    </row>
    <row r="13" spans="1:15" ht="12.75" customHeight="1" x14ac:dyDescent="0.2">
      <c r="B13" s="169" t="str">
        <f>Comps!B13</f>
        <v xml:space="preserve">InRetail Perú </v>
      </c>
      <c r="C13" s="175">
        <f>Comps!K13</f>
        <v>15616.65</v>
      </c>
      <c r="D13" s="175">
        <f>Comps!I13</f>
        <v>14953.5</v>
      </c>
      <c r="E13" s="175">
        <f>Comps!H13</f>
        <v>0</v>
      </c>
      <c r="F13" s="175">
        <f>Comps!J13</f>
        <v>1445.9</v>
      </c>
      <c r="G13" s="175">
        <f>C13+D13+E13-F13</f>
        <v>29124.25</v>
      </c>
      <c r="H13" s="176">
        <f>D13/(D13+C13)</f>
        <v>0.48915363516371357</v>
      </c>
      <c r="I13" s="176">
        <f>D13/C13</f>
        <v>0.95753570708186453</v>
      </c>
      <c r="J13" s="177"/>
      <c r="K13" s="177">
        <v>0.2</v>
      </c>
      <c r="M13" s="167" t="s">
        <v>187</v>
      </c>
      <c r="N13" s="168"/>
      <c r="O13" s="191">
        <v>4.3299999999999998E-2</v>
      </c>
    </row>
    <row r="14" spans="1:15" ht="12.75" customHeight="1" x14ac:dyDescent="0.2">
      <c r="M14" s="169" t="s">
        <v>71</v>
      </c>
      <c r="N14" s="170"/>
      <c r="O14" s="191">
        <f>(O12+O11)+O7*O13</f>
        <v>0.13335</v>
      </c>
    </row>
    <row r="15" spans="1:15" ht="12.75" customHeight="1" x14ac:dyDescent="0.2">
      <c r="B15" s="179" t="s">
        <v>76</v>
      </c>
      <c r="C15" s="180">
        <f t="shared" ref="C15:I15" si="3">MEDIAN(C7:C13)</f>
        <v>13410</v>
      </c>
      <c r="D15" s="180">
        <f t="shared" si="3"/>
        <v>14953.5</v>
      </c>
      <c r="E15" s="180">
        <f t="shared" si="3"/>
        <v>11</v>
      </c>
      <c r="F15" s="180">
        <f t="shared" si="3"/>
        <v>2204.5</v>
      </c>
      <c r="G15" s="180">
        <f t="shared" si="3"/>
        <v>29124.25</v>
      </c>
      <c r="H15" s="181">
        <f t="shared" si="3"/>
        <v>0.48915363516371357</v>
      </c>
      <c r="I15" s="181">
        <f t="shared" si="3"/>
        <v>0.95753570708186453</v>
      </c>
      <c r="J15" s="182"/>
      <c r="K15" s="183">
        <f>MEDIAN(K7:K13)</f>
        <v>0.2</v>
      </c>
      <c r="M15" s="169" t="s">
        <v>181</v>
      </c>
      <c r="N15" s="170"/>
      <c r="O15" s="192">
        <f>X35</f>
        <v>0.10164210573186527</v>
      </c>
    </row>
    <row r="16" spans="1:15" ht="12.75" customHeight="1" x14ac:dyDescent="0.2">
      <c r="C16" s="178"/>
      <c r="D16" s="178"/>
      <c r="E16" s="178"/>
      <c r="F16" s="178"/>
      <c r="G16" s="178"/>
      <c r="H16" s="178"/>
      <c r="I16" s="178"/>
      <c r="J16" s="178"/>
      <c r="K16" s="178"/>
      <c r="M16" s="193" t="s">
        <v>49</v>
      </c>
      <c r="N16" s="194"/>
      <c r="O16" s="195">
        <f>O14*O9+O15*O8*(1-O10)</f>
        <v>0.11712250931570749</v>
      </c>
    </row>
    <row r="17" spans="2:25" ht="10.5" customHeight="1" x14ac:dyDescent="0.2">
      <c r="B17" s="179" t="s">
        <v>94</v>
      </c>
      <c r="C17" s="180">
        <f>Comps!K20</f>
        <v>15235.338</v>
      </c>
      <c r="D17" s="180">
        <f>Comps!I20</f>
        <v>4940.8</v>
      </c>
      <c r="E17" s="180">
        <f>Comps!H20</f>
        <v>0</v>
      </c>
      <c r="F17" s="180">
        <f>Comps!J20</f>
        <v>1027.8</v>
      </c>
      <c r="G17" s="180">
        <f>C17+D17+E17-F17</f>
        <v>19148.338</v>
      </c>
      <c r="H17" s="181">
        <f>D17/(D17+C17)</f>
        <v>0.24488333693990397</v>
      </c>
      <c r="I17" s="181">
        <f>D17/C17</f>
        <v>0.32429867981924654</v>
      </c>
      <c r="J17" s="182"/>
      <c r="K17" s="183">
        <v>0.5</v>
      </c>
    </row>
    <row r="18" spans="2:25" ht="10.5" customHeight="1" x14ac:dyDescent="0.2"/>
    <row r="21" spans="2:25" x14ac:dyDescent="0.2">
      <c r="Y21" s="184"/>
    </row>
    <row r="23" spans="2:25" outlineLevel="1" x14ac:dyDescent="0.2">
      <c r="M23" s="40" t="s">
        <v>131</v>
      </c>
      <c r="N23" s="40" t="s">
        <v>132</v>
      </c>
      <c r="O23" s="40" t="s">
        <v>162</v>
      </c>
      <c r="P23" s="40" t="s">
        <v>161</v>
      </c>
      <c r="Q23" s="40" t="s">
        <v>133</v>
      </c>
      <c r="R23" s="40" t="s">
        <v>134</v>
      </c>
      <c r="S23" s="40" t="s">
        <v>135</v>
      </c>
      <c r="T23" s="40" t="s">
        <v>136</v>
      </c>
      <c r="U23" s="40" t="s">
        <v>44</v>
      </c>
      <c r="V23" s="40" t="s">
        <v>160</v>
      </c>
      <c r="W23" s="40" t="s">
        <v>163</v>
      </c>
      <c r="X23" s="40" t="s">
        <v>159</v>
      </c>
    </row>
    <row r="24" spans="2:25" outlineLevel="1" x14ac:dyDescent="0.2">
      <c r="M24" s="1" t="s">
        <v>137</v>
      </c>
      <c r="N24" s="1" t="s">
        <v>138</v>
      </c>
      <c r="O24" s="1">
        <v>65.599999999999994</v>
      </c>
      <c r="P24" s="1" t="s">
        <v>139</v>
      </c>
      <c r="Q24" s="1" t="s">
        <v>140</v>
      </c>
      <c r="R24" s="1">
        <v>46338</v>
      </c>
      <c r="S24" s="1" t="s">
        <v>141</v>
      </c>
      <c r="T24" s="1" t="s">
        <v>142</v>
      </c>
      <c r="U24" s="185">
        <v>0.34</v>
      </c>
      <c r="V24" s="185">
        <v>0.14899999999999999</v>
      </c>
      <c r="W24" s="186">
        <f>(V24+2%)</f>
        <v>0.16899999999999998</v>
      </c>
      <c r="X24" s="1">
        <f>O24*W24</f>
        <v>11.086399999999998</v>
      </c>
    </row>
    <row r="25" spans="2:25" outlineLevel="1" x14ac:dyDescent="0.2">
      <c r="M25" s="1" t="s">
        <v>143</v>
      </c>
      <c r="N25" s="1" t="s">
        <v>138</v>
      </c>
      <c r="O25" s="1" t="s">
        <v>118</v>
      </c>
      <c r="P25" s="1" t="s">
        <v>139</v>
      </c>
      <c r="Q25" s="1" t="s">
        <v>144</v>
      </c>
      <c r="R25" s="1">
        <v>45667</v>
      </c>
      <c r="S25" s="1" t="s">
        <v>141</v>
      </c>
      <c r="T25" s="1" t="s">
        <v>142</v>
      </c>
      <c r="U25" s="185">
        <v>0.34</v>
      </c>
      <c r="V25" s="185">
        <v>0.14899999999999999</v>
      </c>
      <c r="W25" s="186">
        <f>(V25+3.3%)</f>
        <v>0.182</v>
      </c>
    </row>
    <row r="26" spans="2:25" outlineLevel="1" x14ac:dyDescent="0.2">
      <c r="M26" s="1" t="s">
        <v>145</v>
      </c>
      <c r="N26" s="1" t="s">
        <v>138</v>
      </c>
      <c r="O26" s="1">
        <v>770.8</v>
      </c>
      <c r="P26" s="1" t="s">
        <v>139</v>
      </c>
      <c r="Q26" s="1" t="s">
        <v>146</v>
      </c>
      <c r="R26" s="1">
        <v>2034</v>
      </c>
      <c r="S26" s="1" t="s">
        <v>141</v>
      </c>
      <c r="T26" s="1" t="s">
        <v>142</v>
      </c>
      <c r="U26" s="185">
        <v>0.34</v>
      </c>
      <c r="V26" s="185">
        <v>0.04</v>
      </c>
      <c r="W26" s="186">
        <f>(V26+6.342%)</f>
        <v>0.10341999999999998</v>
      </c>
      <c r="X26" s="1">
        <f t="shared" ref="X26:X33" si="4">O26*W26</f>
        <v>79.716135999999977</v>
      </c>
    </row>
    <row r="27" spans="2:25" outlineLevel="1" x14ac:dyDescent="0.2">
      <c r="M27" s="1" t="s">
        <v>147</v>
      </c>
      <c r="N27" s="1" t="s">
        <v>138</v>
      </c>
      <c r="O27" s="1">
        <v>38</v>
      </c>
      <c r="P27" s="1" t="s">
        <v>139</v>
      </c>
      <c r="Q27" s="1" t="s">
        <v>148</v>
      </c>
      <c r="R27" s="1">
        <v>46340</v>
      </c>
      <c r="S27" s="1" t="s">
        <v>141</v>
      </c>
      <c r="T27" s="1" t="s">
        <v>142</v>
      </c>
      <c r="U27" s="185">
        <v>0.34</v>
      </c>
      <c r="V27" s="185">
        <v>0.14899999999999999</v>
      </c>
      <c r="W27" s="186">
        <f>(V27+2.35%)</f>
        <v>0.17249999999999999</v>
      </c>
      <c r="X27" s="1">
        <f t="shared" si="4"/>
        <v>6.5549999999999997</v>
      </c>
    </row>
    <row r="28" spans="2:25" outlineLevel="1" x14ac:dyDescent="0.2">
      <c r="M28" s="1" t="s">
        <v>149</v>
      </c>
      <c r="N28" s="1" t="s">
        <v>150</v>
      </c>
      <c r="O28" s="1">
        <v>2825.3</v>
      </c>
      <c r="P28" s="185">
        <v>7.4099999999999999E-2</v>
      </c>
      <c r="Q28" s="1" t="s">
        <v>139</v>
      </c>
      <c r="R28" s="1" t="s">
        <v>118</v>
      </c>
      <c r="S28" s="1" t="s">
        <v>141</v>
      </c>
      <c r="T28" s="1" t="s">
        <v>151</v>
      </c>
      <c r="U28" s="185">
        <v>0.34</v>
      </c>
      <c r="V28" s="1" t="s">
        <v>139</v>
      </c>
      <c r="W28" s="186">
        <f>P28</f>
        <v>7.4099999999999999E-2</v>
      </c>
      <c r="X28" s="1">
        <f t="shared" si="4"/>
        <v>209.35473000000002</v>
      </c>
    </row>
    <row r="29" spans="2:25" outlineLevel="1" x14ac:dyDescent="0.2">
      <c r="M29" s="1" t="s">
        <v>152</v>
      </c>
      <c r="N29" s="1" t="s">
        <v>150</v>
      </c>
      <c r="O29" s="1">
        <v>4.4000000000000004</v>
      </c>
      <c r="P29" s="185">
        <v>0.1171</v>
      </c>
      <c r="Q29" s="1" t="s">
        <v>139</v>
      </c>
      <c r="R29" s="1">
        <v>48169</v>
      </c>
      <c r="S29" s="1" t="s">
        <v>141</v>
      </c>
      <c r="T29" s="1" t="s">
        <v>151</v>
      </c>
      <c r="U29" s="185">
        <v>0.34</v>
      </c>
      <c r="V29" s="1" t="s">
        <v>139</v>
      </c>
      <c r="W29" s="186">
        <f>P29</f>
        <v>0.1171</v>
      </c>
      <c r="X29" s="1">
        <f t="shared" si="4"/>
        <v>0.51524000000000003</v>
      </c>
    </row>
    <row r="30" spans="2:25" outlineLevel="1" x14ac:dyDescent="0.2">
      <c r="M30" s="1" t="s">
        <v>153</v>
      </c>
      <c r="N30" s="1" t="s">
        <v>154</v>
      </c>
      <c r="O30" s="1">
        <v>83.8</v>
      </c>
      <c r="P30" s="1" t="s">
        <v>139</v>
      </c>
      <c r="Q30" s="1" t="s">
        <v>155</v>
      </c>
      <c r="R30" s="1">
        <v>2026</v>
      </c>
      <c r="S30" s="1" t="s">
        <v>141</v>
      </c>
      <c r="T30" s="1" t="s">
        <v>142</v>
      </c>
      <c r="U30" s="185">
        <v>0.34</v>
      </c>
      <c r="V30" s="185">
        <v>0.14899999999999999</v>
      </c>
      <c r="W30" s="186">
        <f>(V30+1.82%)</f>
        <v>0.16719999999999999</v>
      </c>
      <c r="X30" s="1">
        <f t="shared" si="4"/>
        <v>14.011359999999998</v>
      </c>
    </row>
    <row r="31" spans="2:25" outlineLevel="1" x14ac:dyDescent="0.2">
      <c r="M31" s="1" t="s">
        <v>153</v>
      </c>
      <c r="N31" s="1" t="s">
        <v>154</v>
      </c>
      <c r="O31" s="1">
        <v>440.3</v>
      </c>
      <c r="P31" s="1" t="s">
        <v>139</v>
      </c>
      <c r="Q31" s="1" t="s">
        <v>156</v>
      </c>
      <c r="R31" s="1">
        <v>2027</v>
      </c>
      <c r="S31" s="1" t="s">
        <v>141</v>
      </c>
      <c r="T31" s="1" t="s">
        <v>142</v>
      </c>
      <c r="U31" s="185">
        <v>0.34</v>
      </c>
      <c r="V31" s="185">
        <v>0.14899999999999999</v>
      </c>
      <c r="W31" s="186">
        <f>(V31+1.15%)</f>
        <v>0.1605</v>
      </c>
      <c r="X31" s="1">
        <f t="shared" si="4"/>
        <v>70.668149999999997</v>
      </c>
    </row>
    <row r="32" spans="2:25" outlineLevel="1" x14ac:dyDescent="0.2">
      <c r="M32" s="1" t="s">
        <v>153</v>
      </c>
      <c r="N32" s="1" t="s">
        <v>154</v>
      </c>
      <c r="O32" s="1">
        <v>440.2</v>
      </c>
      <c r="P32" s="1" t="s">
        <v>139</v>
      </c>
      <c r="Q32" s="1" t="s">
        <v>156</v>
      </c>
      <c r="R32" s="1">
        <v>2026</v>
      </c>
      <c r="S32" s="1" t="s">
        <v>141</v>
      </c>
      <c r="T32" s="1" t="s">
        <v>142</v>
      </c>
      <c r="U32" s="185">
        <v>0.34</v>
      </c>
      <c r="V32" s="185">
        <v>0.14899999999999999</v>
      </c>
      <c r="W32" s="186">
        <f>(V32+1.15%)</f>
        <v>0.1605</v>
      </c>
      <c r="X32" s="1">
        <f t="shared" si="4"/>
        <v>70.652100000000004</v>
      </c>
    </row>
    <row r="33" spans="13:24" outlineLevel="1" x14ac:dyDescent="0.2">
      <c r="M33" s="10" t="s">
        <v>157</v>
      </c>
      <c r="N33" s="10" t="s">
        <v>154</v>
      </c>
      <c r="O33" s="10">
        <v>272.39999999999998</v>
      </c>
      <c r="P33" s="187">
        <v>0.14549999999999999</v>
      </c>
      <c r="Q33" s="10" t="s">
        <v>139</v>
      </c>
      <c r="R33" s="10">
        <v>49383</v>
      </c>
      <c r="S33" s="10" t="s">
        <v>141</v>
      </c>
      <c r="T33" s="10" t="s">
        <v>151</v>
      </c>
      <c r="U33" s="187">
        <v>0.34</v>
      </c>
      <c r="V33" s="187" t="s">
        <v>139</v>
      </c>
      <c r="W33" s="188">
        <f>P33</f>
        <v>0.14549999999999999</v>
      </c>
      <c r="X33" s="10">
        <f t="shared" si="4"/>
        <v>39.634199999999993</v>
      </c>
    </row>
    <row r="34" spans="13:24" outlineLevel="1" x14ac:dyDescent="0.2">
      <c r="M34" s="5" t="s">
        <v>116</v>
      </c>
      <c r="O34" s="5">
        <f>SUM(O24:O33)</f>
        <v>4940.8</v>
      </c>
      <c r="X34" s="5">
        <f>SUM(X24:X33)</f>
        <v>502.19331599999998</v>
      </c>
    </row>
    <row r="35" spans="13:24" outlineLevel="1" x14ac:dyDescent="0.2">
      <c r="O35" s="5"/>
      <c r="W35" s="5" t="s">
        <v>164</v>
      </c>
      <c r="X35" s="189">
        <f>X34/O34</f>
        <v>0.10164210573186527</v>
      </c>
    </row>
    <row r="36" spans="13:24" outlineLevel="1" x14ac:dyDescent="0.2"/>
    <row r="37" spans="13:24" outlineLevel="1" x14ac:dyDescent="0.2">
      <c r="M37" s="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DBA8-E75C-4ECA-B2EB-BCC929FAAA94}">
  <dimension ref="B2:AF34"/>
  <sheetViews>
    <sheetView showGridLines="0" zoomScale="85" zoomScaleNormal="85" workbookViewId="0">
      <selection activeCell="M36" sqref="M36"/>
    </sheetView>
  </sheetViews>
  <sheetFormatPr defaultRowHeight="15" x14ac:dyDescent="0.25"/>
  <cols>
    <col min="1" max="1" width="2.7109375" customWidth="1"/>
    <col min="2" max="2" width="13.28515625" customWidth="1"/>
    <col min="3" max="5" width="8.28515625" customWidth="1"/>
    <col min="6" max="11" width="10.42578125" bestFit="1" customWidth="1"/>
    <col min="12" max="16" width="9.42578125" bestFit="1" customWidth="1"/>
    <col min="24" max="24" width="15.85546875" bestFit="1" customWidth="1"/>
    <col min="25" max="25" width="25" bestFit="1" customWidth="1"/>
    <col min="26" max="26" width="7.5703125" bestFit="1" customWidth="1"/>
    <col min="27" max="27" width="20" bestFit="1" customWidth="1"/>
    <col min="28" max="28" width="7.5703125" bestFit="1" customWidth="1"/>
    <col min="29" max="29" width="17" bestFit="1" customWidth="1"/>
    <col min="30" max="30" width="7.5703125" bestFit="1" customWidth="1"/>
    <col min="31" max="31" width="15" bestFit="1" customWidth="1"/>
    <col min="32" max="32" width="7.5703125" bestFit="1" customWidth="1"/>
  </cols>
  <sheetData>
    <row r="2" spans="2:32" x14ac:dyDescent="0.25">
      <c r="B2" s="225" t="s">
        <v>169</v>
      </c>
      <c r="C2" s="223"/>
      <c r="D2" s="223"/>
      <c r="E2" s="223"/>
      <c r="F2" s="224">
        <f>'DCF Analysis'!$F$7</f>
        <v>44196</v>
      </c>
      <c r="G2" s="224">
        <f>'DCF Analysis'!$G$7</f>
        <v>44561</v>
      </c>
      <c r="H2" s="224">
        <f>'DCF Analysis'!$H$7</f>
        <v>44926</v>
      </c>
      <c r="I2" s="224">
        <f>'DCF Analysis'!$I$7</f>
        <v>45291</v>
      </c>
      <c r="J2" s="224">
        <f>'DCF Analysis'!$J$7</f>
        <v>45657</v>
      </c>
      <c r="K2" s="227">
        <f>'DCF Analysis'!$O$7</f>
        <v>46022</v>
      </c>
      <c r="M2" s="223"/>
      <c r="N2" s="223"/>
      <c r="O2" s="223"/>
      <c r="P2" s="18">
        <f>'DCF Analysis'!$J$7</f>
        <v>45657</v>
      </c>
      <c r="Q2" s="18">
        <f>'DCF Analysis'!O7</f>
        <v>46022</v>
      </c>
      <c r="R2" s="18">
        <f>'DCF Analysis'!P7</f>
        <v>46387</v>
      </c>
      <c r="S2" s="18">
        <f>'DCF Analysis'!Q7</f>
        <v>46752</v>
      </c>
      <c r="T2" s="18">
        <f>'DCF Analysis'!R7</f>
        <v>47118</v>
      </c>
      <c r="U2" s="18">
        <f>'DCF Analysis'!S7</f>
        <v>47483</v>
      </c>
      <c r="V2" s="18">
        <f>'DCF Analysis'!T7</f>
        <v>47848</v>
      </c>
      <c r="X2" s="160" t="s">
        <v>68</v>
      </c>
      <c r="Y2" s="239" t="s">
        <v>191</v>
      </c>
      <c r="Z2" s="160" t="s">
        <v>90</v>
      </c>
      <c r="AA2" s="160" t="s">
        <v>192</v>
      </c>
      <c r="AB2" s="160" t="s">
        <v>90</v>
      </c>
      <c r="AC2" s="160" t="s">
        <v>193</v>
      </c>
      <c r="AD2" s="160" t="s">
        <v>90</v>
      </c>
      <c r="AE2" s="160" t="s">
        <v>194</v>
      </c>
      <c r="AF2" s="160" t="s">
        <v>90</v>
      </c>
    </row>
    <row r="3" spans="2:32" x14ac:dyDescent="0.25">
      <c r="B3" s="5" t="str">
        <f>'DCF Analysis'!B16</f>
        <v>Cash-and-carry</v>
      </c>
      <c r="F3">
        <f>'DCF Analysis'!F17</f>
        <v>33</v>
      </c>
      <c r="G3">
        <f>'DCF Analysis'!G17</f>
        <v>42</v>
      </c>
      <c r="H3">
        <f>'DCF Analysis'!H17</f>
        <v>58</v>
      </c>
      <c r="I3">
        <f>'DCF Analysis'!I17</f>
        <v>80</v>
      </c>
      <c r="J3">
        <f>'DCF Analysis'!J17</f>
        <v>90</v>
      </c>
      <c r="K3" s="222">
        <f>'DCF Analysis'!O17</f>
        <v>107.89999999999999</v>
      </c>
      <c r="M3" s="160" t="str">
        <f>'DCF Analysis'!B61</f>
        <v>Unlevered Free Cash Flow</v>
      </c>
      <c r="P3" s="43">
        <f>'DCF Analysis'!J61</f>
        <v>125.40000000000191</v>
      </c>
      <c r="Q3" s="43">
        <f>'DCF Analysis'!O61</f>
        <v>498.14154117671137</v>
      </c>
      <c r="R3" s="43">
        <f>'DCF Analysis'!P61</f>
        <v>160.80284984134801</v>
      </c>
      <c r="S3" s="43">
        <f>'DCF Analysis'!Q61</f>
        <v>1284.0468023395581</v>
      </c>
      <c r="T3" s="43">
        <f>'DCF Analysis'!R61</f>
        <v>1820.1431956763727</v>
      </c>
      <c r="U3" s="43">
        <f>'DCF Analysis'!S61</f>
        <v>2368.3592483632669</v>
      </c>
      <c r="V3" s="43">
        <f>'DCF Analysis'!T61</f>
        <v>2511.4708406369195</v>
      </c>
      <c r="X3" t="str">
        <f>Comps!B7</f>
        <v>Wal-Mart de México</v>
      </c>
      <c r="Y3" s="162">
        <f>Comps!AH7</f>
        <v>5.5617220273391554E-2</v>
      </c>
      <c r="Z3" s="163">
        <f>MEDIAN(Y$3:Y$9)</f>
        <v>4.6306297291869969E-2</v>
      </c>
      <c r="AA3" s="162">
        <f>Comps!AK7</f>
        <v>0.10201823173148922</v>
      </c>
      <c r="AB3" s="163">
        <f>MEDIAN(AA$3:AA$9)</f>
        <v>9.1457841410242005E-2</v>
      </c>
      <c r="AC3" s="161">
        <f>Comps!AA7</f>
        <v>9.972454353858021</v>
      </c>
      <c r="AD3" s="161">
        <f>MEDIAN(AC$3:AC$9)</f>
        <v>5.7570729523557445</v>
      </c>
      <c r="AE3" s="161">
        <f>Comps!AE7</f>
        <v>18.36692087990691</v>
      </c>
      <c r="AF3" s="161">
        <f>MEDIAN(AE$3:AE$9)</f>
        <v>11.202165250733028</v>
      </c>
    </row>
    <row r="4" spans="2:32" x14ac:dyDescent="0.25">
      <c r="B4" s="5" t="str">
        <f>'DCF Analysis'!B22</f>
        <v>Retail</v>
      </c>
      <c r="F4">
        <f>'DCF Analysis'!F23</f>
        <v>49</v>
      </c>
      <c r="G4">
        <f>'DCF Analysis'!G23</f>
        <v>61</v>
      </c>
      <c r="H4">
        <f>'DCF Analysis'!H23</f>
        <v>70</v>
      </c>
      <c r="I4">
        <f>'DCF Analysis'!I23</f>
        <v>73</v>
      </c>
      <c r="J4">
        <f>'DCF Analysis'!J23</f>
        <v>78</v>
      </c>
      <c r="K4" s="222">
        <f>'DCF Analysis'!O23</f>
        <v>85.100000000000009</v>
      </c>
      <c r="X4" t="str">
        <f>Comps!B8</f>
        <v>Soriana</v>
      </c>
      <c r="Y4" s="162">
        <f>Comps!AH8</f>
        <v>3.8801057943340655E-2</v>
      </c>
      <c r="Z4" s="163">
        <f>MEDIAN(Y$3:Y$9)</f>
        <v>4.6306297291869969E-2</v>
      </c>
      <c r="AA4" s="162">
        <f>Comps!AK8</f>
        <v>7.1123745760623705E-2</v>
      </c>
      <c r="AB4" s="163">
        <f>MEDIAN(AA$3:AA$9)</f>
        <v>9.1457841410242005E-2</v>
      </c>
      <c r="AC4" s="161">
        <f>Comps!AA8</f>
        <v>5.2723597537575104</v>
      </c>
      <c r="AD4" s="161">
        <f>MEDIAN(AC$3:AC$9)</f>
        <v>5.7570729523557445</v>
      </c>
      <c r="AE4" s="161">
        <f>Comps!AE8</f>
        <v>11.202165250733028</v>
      </c>
      <c r="AF4" s="161">
        <f>MEDIAN(AE$3:AE$9)</f>
        <v>11.202165250733028</v>
      </c>
    </row>
    <row r="5" spans="2:32" x14ac:dyDescent="0.25">
      <c r="B5" s="5" t="str">
        <f>'DCF Analysis'!B28</f>
        <v>Consumer Durables</v>
      </c>
      <c r="F5">
        <f>'DCF Analysis'!F29</f>
        <v>77</v>
      </c>
      <c r="G5">
        <f>'DCF Analysis'!G29</f>
        <v>99</v>
      </c>
      <c r="H5">
        <f>'DCF Analysis'!H29</f>
        <v>104</v>
      </c>
      <c r="I5">
        <f>'DCF Analysis'!I29</f>
        <v>105</v>
      </c>
      <c r="J5">
        <f>'DCF Analysis'!J29</f>
        <v>104</v>
      </c>
      <c r="K5" s="222">
        <f>'DCF Analysis'!O29</f>
        <v>104</v>
      </c>
      <c r="X5" t="str">
        <f>Comps!B9</f>
        <v>Cencosud</v>
      </c>
      <c r="Y5" s="162">
        <f>Comps!AH9</f>
        <v>2.9704870527033744E-2</v>
      </c>
      <c r="Z5" s="163">
        <f>MEDIAN(Y$3:Y$9)</f>
        <v>4.6306297291869969E-2</v>
      </c>
      <c r="AA5" s="162">
        <f>Comps!AK9</f>
        <v>9.9565012750803664E-2</v>
      </c>
      <c r="AB5" s="163">
        <f>MEDIAN(AA$3:AA$9)</f>
        <v>9.1457841410242005E-2</v>
      </c>
      <c r="AC5" s="161">
        <f>Comps!AA9</f>
        <v>8.4331902016452531</v>
      </c>
      <c r="AD5" s="161">
        <f>MEDIAN(AC$3:AC$9)</f>
        <v>5.7570729523557445</v>
      </c>
      <c r="AE5" s="161">
        <f>Comps!AE9</f>
        <v>13.084526491750854</v>
      </c>
      <c r="AF5" s="161">
        <f>MEDIAN(AE$3:AE$9)</f>
        <v>11.202165250733028</v>
      </c>
    </row>
    <row r="6" spans="2:32" x14ac:dyDescent="0.25">
      <c r="B6" s="5" t="s">
        <v>116</v>
      </c>
      <c r="F6" s="160">
        <f>SUM(F3:F5)</f>
        <v>159</v>
      </c>
      <c r="G6" s="160">
        <f t="shared" ref="G6:I6" si="0">SUM(G3:G5)</f>
        <v>202</v>
      </c>
      <c r="H6" s="160">
        <f t="shared" si="0"/>
        <v>232</v>
      </c>
      <c r="I6" s="160">
        <f t="shared" si="0"/>
        <v>258</v>
      </c>
      <c r="J6" s="160">
        <f>SUM(J3:J5)</f>
        <v>272</v>
      </c>
      <c r="K6" s="160">
        <f>SUM(K3:K5)</f>
        <v>297</v>
      </c>
      <c r="X6" t="str">
        <f>Comps!B10</f>
        <v>Assaí</v>
      </c>
      <c r="Y6" s="162">
        <f>Comps!AH10</f>
        <v>6.3643536201287265E-2</v>
      </c>
      <c r="Z6" s="163">
        <f>MEDIAN(Y$3:Y$9)</f>
        <v>4.6306297291869969E-2</v>
      </c>
      <c r="AA6" s="162">
        <f>Comps!AK10</f>
        <v>7.6615334583181927E-2</v>
      </c>
      <c r="AB6" s="163">
        <f>MEDIAN(AA$3:AA$9)</f>
        <v>9.1457841410242005E-2</v>
      </c>
      <c r="AC6" s="161">
        <f>Comps!AA10</f>
        <v>5.7570729523557445</v>
      </c>
      <c r="AD6" s="161">
        <f>MEDIAN(AC$3:AC$9)</f>
        <v>5.7570729523557445</v>
      </c>
      <c r="AE6" s="161">
        <f>Comps!AE10</f>
        <v>15.906205310624845</v>
      </c>
      <c r="AF6" s="161">
        <f>MEDIAN(AE$3:AE$9)</f>
        <v>11.202165250733028</v>
      </c>
    </row>
    <row r="7" spans="2:32" x14ac:dyDescent="0.25">
      <c r="X7" t="str">
        <f>Comps!B11</f>
        <v>Pão de Açucar</v>
      </c>
      <c r="Y7" s="162">
        <f>Comps!AH11</f>
        <v>5.5252968060196528E-2</v>
      </c>
      <c r="Z7" s="163">
        <f>MEDIAN(Y$3:Y$9)</f>
        <v>4.6306297291869969E-2</v>
      </c>
      <c r="AA7" s="162">
        <f>Comps!AK11</f>
        <v>9.1457841410242005E-2</v>
      </c>
      <c r="AB7" s="163">
        <f>MEDIAN(AA$3:AA$9)</f>
        <v>9.1457841410242005E-2</v>
      </c>
      <c r="AC7" s="161">
        <f>Comps!AA11</f>
        <v>4.7413722447463034</v>
      </c>
      <c r="AD7" s="161">
        <f>MEDIAN(AC$3:AC$9)</f>
        <v>5.7570729523557445</v>
      </c>
      <c r="AE7" s="161">
        <f>Comps!AE11</f>
        <v>-3.2942786069651739</v>
      </c>
      <c r="AF7" s="161">
        <f>MEDIAN(AE$3:AE$9)</f>
        <v>11.202165250733028</v>
      </c>
    </row>
    <row r="8" spans="2:32" x14ac:dyDescent="0.25">
      <c r="X8" t="str">
        <f>Comps!B12</f>
        <v>Almacenes Éxito</v>
      </c>
      <c r="Y8" s="162">
        <f>Comps!AH12</f>
        <v>2.6908192188878521E-2</v>
      </c>
      <c r="Z8" s="163">
        <f>MEDIAN(Y$3:Y$9)</f>
        <v>4.6306297291869969E-2</v>
      </c>
      <c r="AA8" s="162">
        <f>Comps!AK12</f>
        <v>7.7904500106544525E-2</v>
      </c>
      <c r="AB8" s="163">
        <f>MEDIAN(AA$3:AA$9)</f>
        <v>9.1457841410242005E-2</v>
      </c>
      <c r="AC8" s="161">
        <f>Comps!AA12</f>
        <v>4.8584769939874706</v>
      </c>
      <c r="AD8" s="161">
        <f>MEDIAN(AC$3:AC$9)</f>
        <v>5.7570729523557445</v>
      </c>
      <c r="AE8" s="161">
        <f>Comps!AE12</f>
        <v>10.997454159428681</v>
      </c>
      <c r="AF8" s="161">
        <f>MEDIAN(AE$3:AE$9)</f>
        <v>11.202165250733028</v>
      </c>
    </row>
    <row r="9" spans="2:32" x14ac:dyDescent="0.25">
      <c r="X9" t="str">
        <f>Comps!B13</f>
        <v xml:space="preserve">InRetail Perú </v>
      </c>
      <c r="Y9" s="162">
        <f>Comps!AH13</f>
        <v>4.6306297291869969E-2</v>
      </c>
      <c r="Z9" s="163">
        <f>MEDIAN(Y$3:Y$9)</f>
        <v>4.6306297291869969E-2</v>
      </c>
      <c r="AA9" s="162">
        <f>Comps!AK13</f>
        <v>0.13813214593301504</v>
      </c>
      <c r="AB9" s="163">
        <f>MEDIAN(AA$3:AA$9)</f>
        <v>9.1457841410242005E-2</v>
      </c>
      <c r="AC9" s="161">
        <f>Comps!AA13</f>
        <v>5.8182521021162001</v>
      </c>
      <c r="AD9" s="161">
        <f>MEDIAN(AC$3:AC$9)</f>
        <v>5.7570729523557445</v>
      </c>
      <c r="AE9" s="161">
        <f>Comps!AE13</f>
        <v>9.1698129825900594</v>
      </c>
      <c r="AF9" s="161">
        <f>MEDIAN(AE$3:AE$9)</f>
        <v>11.202165250733028</v>
      </c>
    </row>
    <row r="10" spans="2:32" x14ac:dyDescent="0.25">
      <c r="X10" t="s">
        <v>94</v>
      </c>
      <c r="Y10" s="162">
        <f>Comps!AH20</f>
        <v>0.15470564878363935</v>
      </c>
      <c r="Z10" s="163">
        <f>MEDIAN(Y$3:Y$9)</f>
        <v>4.6306297291869969E-2</v>
      </c>
      <c r="AA10" s="162">
        <f>Comps!AK20</f>
        <v>8.1433064255800158E-2</v>
      </c>
      <c r="AB10" s="163">
        <f>MEDIAN(AA$3:AA$9)</f>
        <v>9.1457841410242005E-2</v>
      </c>
      <c r="AC10" s="161">
        <f>Comps!AA20</f>
        <v>6.2628458355819392</v>
      </c>
      <c r="AD10" s="161">
        <f>MEDIAN(AC$3:AC$9)</f>
        <v>5.7570729523557445</v>
      </c>
      <c r="AE10" s="161">
        <f>Comps!AE20</f>
        <v>9.8408688968265761</v>
      </c>
      <c r="AF10" s="161">
        <f>MEDIAN(AE$3:AE$9)</f>
        <v>11.202165250733028</v>
      </c>
    </row>
    <row r="24" spans="2:11" x14ac:dyDescent="0.25">
      <c r="B24" s="160" t="s">
        <v>208</v>
      </c>
      <c r="F24" s="224">
        <f>'DCF Analysis'!$F$7</f>
        <v>44196</v>
      </c>
      <c r="G24" s="224">
        <f>'DCF Analysis'!$G$7</f>
        <v>44561</v>
      </c>
      <c r="H24" s="224">
        <f>'DCF Analysis'!$H$7</f>
        <v>44926</v>
      </c>
      <c r="I24" s="224">
        <f>'DCF Analysis'!$I$7</f>
        <v>45291</v>
      </c>
      <c r="J24" s="224">
        <f>'DCF Analysis'!$J$7</f>
        <v>45657</v>
      </c>
      <c r="K24" s="227">
        <f>'DCF Analysis'!$O$7</f>
        <v>46022</v>
      </c>
    </row>
    <row r="25" spans="2:11" x14ac:dyDescent="0.25">
      <c r="B25" t="str">
        <f>'DCF Analysis'!B16</f>
        <v>Cash-and-carry</v>
      </c>
      <c r="F25" s="228">
        <f>'DCF Analysis'!F16</f>
        <v>6812</v>
      </c>
      <c r="G25" s="228">
        <f>'DCF Analysis'!G16</f>
        <v>8697</v>
      </c>
      <c r="H25" s="228">
        <f>'DCF Analysis'!H16</f>
        <v>12532</v>
      </c>
      <c r="I25" s="228">
        <f>'DCF Analysis'!I16</f>
        <v>16384</v>
      </c>
      <c r="J25" s="228">
        <f>'DCF Analysis'!J16</f>
        <v>20372</v>
      </c>
      <c r="K25" s="228">
        <f>'DCF Analysis'!O16</f>
        <v>23402.731997282608</v>
      </c>
    </row>
    <row r="26" spans="2:11" x14ac:dyDescent="0.25">
      <c r="B26" t="str">
        <f>'DCF Analysis'!B22</f>
        <v>Retail</v>
      </c>
      <c r="F26" s="228">
        <f>'DCF Analysis'!F22</f>
        <v>3880</v>
      </c>
      <c r="G26" s="228">
        <f>'DCF Analysis'!G22</f>
        <v>5230</v>
      </c>
      <c r="H26" s="228">
        <f>'DCF Analysis'!H22</f>
        <v>6808</v>
      </c>
      <c r="I26" s="228">
        <f>'DCF Analysis'!I22</f>
        <v>7777</v>
      </c>
      <c r="J26" s="228">
        <f>'DCF Analysis'!J22</f>
        <v>8497</v>
      </c>
      <c r="K26" s="228">
        <f>'DCF Analysis'!O22</f>
        <v>8756.8368038515637</v>
      </c>
    </row>
    <row r="27" spans="2:11" x14ac:dyDescent="0.25">
      <c r="B27" t="str">
        <f>'DCF Analysis'!B28</f>
        <v>Consumer Durables</v>
      </c>
      <c r="F27" s="228">
        <f>'DCF Analysis'!F28</f>
        <v>796</v>
      </c>
      <c r="G27" s="228">
        <f>'DCF Analysis'!G28</f>
        <v>994</v>
      </c>
      <c r="H27" s="228">
        <f>'DCF Analysis'!H28</f>
        <v>1117</v>
      </c>
      <c r="I27" s="228">
        <f>'DCF Analysis'!I28</f>
        <v>1184</v>
      </c>
      <c r="J27" s="228">
        <f>'DCF Analysis'!J28</f>
        <v>1267</v>
      </c>
      <c r="K27" s="228">
        <f>'DCF Analysis'!O28</f>
        <v>1087.0792312499998</v>
      </c>
    </row>
    <row r="28" spans="2:11" x14ac:dyDescent="0.25">
      <c r="B28" s="226" t="str">
        <f>'DCF Analysis'!B34</f>
        <v>Wholesale B2B</v>
      </c>
      <c r="C28" s="226"/>
      <c r="D28" s="226"/>
      <c r="E28" s="226"/>
      <c r="F28" s="229">
        <f>'DCF Analysis'!F34</f>
        <v>2866</v>
      </c>
      <c r="G28" s="229">
        <f>'DCF Analysis'!G34</f>
        <v>3019</v>
      </c>
      <c r="H28" s="229">
        <f>'DCF Analysis'!H34</f>
        <v>4072</v>
      </c>
      <c r="I28" s="229">
        <f>'DCF Analysis'!I34</f>
        <v>4901</v>
      </c>
      <c r="J28" s="229">
        <f>'DCF Analysis'!J34</f>
        <v>6249</v>
      </c>
      <c r="K28" s="229">
        <f>'DCF Analysis'!O34</f>
        <v>7803.877011702577</v>
      </c>
    </row>
    <row r="29" spans="2:11" x14ac:dyDescent="0.25">
      <c r="B29" s="160" t="s">
        <v>116</v>
      </c>
      <c r="C29" s="160"/>
      <c r="D29" s="160"/>
      <c r="E29" s="160"/>
      <c r="F29" s="230">
        <f>SUM(F25:F28)</f>
        <v>14354</v>
      </c>
      <c r="G29" s="230">
        <f t="shared" ref="G29:K29" si="1">SUM(G25:G28)</f>
        <v>17940</v>
      </c>
      <c r="H29" s="230">
        <f t="shared" si="1"/>
        <v>24529</v>
      </c>
      <c r="I29" s="230">
        <f t="shared" si="1"/>
        <v>30246</v>
      </c>
      <c r="J29" s="230">
        <f t="shared" si="1"/>
        <v>36385</v>
      </c>
      <c r="K29" s="230">
        <f t="shared" si="1"/>
        <v>41050.525044086746</v>
      </c>
    </row>
    <row r="34" spans="9:9" x14ac:dyDescent="0.25">
      <c r="I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DCF Analysis</vt:lpstr>
      <vt:lpstr>Comps</vt:lpstr>
      <vt:lpstr>IS &amp; CF Assump</vt:lpstr>
      <vt:lpstr>BS Assumptions</vt:lpstr>
      <vt:lpstr>Working Cap.</vt:lpstr>
      <vt:lpstr>WACC</vt:lpstr>
      <vt:lpstr>Dashboard</vt:lpstr>
      <vt:lpstr>EV</vt:lpstr>
      <vt:lpstr>TV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2024-09-17T06:33:30Z</dcterms:created>
  <dcterms:modified xsi:type="dcterms:W3CDTF">2025-08-28T19:11:45Z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{BE1C2F7B-552D-4093-83D2-ACDEE6E4DEBB}</vt:lpwstr>
  </property>
</Properties>
</file>