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13_ncr:1_{414C9125-7EB9-4FC1-9444-71E0C4743DC5}" xr6:coauthVersionLast="47" xr6:coauthVersionMax="47" xr10:uidLastSave="{00000000-0000-0000-0000-000000000000}"/>
  <bookViews>
    <workbookView xWindow="-120" yWindow="-120" windowWidth="29040" windowHeight="15840" xr2:uid="{04AA6A1C-5FE2-4D53-A8ED-1DDB286D5794}"/>
  </bookViews>
  <sheets>
    <sheet name="Comps" sheetId="3" r:id="rId1"/>
    <sheet name="Valuation" sheetId="5" r:id="rId2"/>
    <sheet name="Presentation" sheetId="6" r:id="rId3"/>
    <sheet name="DCF Check" sheetId="7" r:id="rId4"/>
  </sheets>
  <externalReferences>
    <externalReference r:id="rId5"/>
    <externalReference r:id="rId6"/>
  </externalReferences>
  <definedNames>
    <definedName name="_xlnm._FilterDatabase" localSheetId="2" hidden="1">Presentation!$V$12:$Z$46</definedName>
    <definedName name="_xlcn.WorksheetConnection_Compsversion1.xlsbTable11" hidden="1">Table1</definedName>
    <definedName name="Cost_of_Debt">'DCF Check'!#REF!</definedName>
    <definedName name="Cost_of_Preferred">'DCF Check'!#REF!</definedName>
    <definedName name="Diluted_Shares">Comps!$F$21</definedName>
    <definedName name="Equity_Risk_Premium">'DCF Check'!#REF!</definedName>
    <definedName name="Equity_Value">Comps!$G$21</definedName>
    <definedName name="EV">Comps!$L$21</definedName>
    <definedName name="Million">Comps!#REF!</definedName>
    <definedName name="Risk_Free_Rate">'DCF Check'!#REF!</definedName>
    <definedName name="Share_Price">Comps!$E$21</definedName>
    <definedName name="Tax_Rate">'[2]STLD-DCF'!$F$13</definedName>
    <definedName name="Ticker">'[1]STLD-DCF'!$F$9</definedName>
    <definedName name="WACC">'DCF Check'!$F$91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Comps (version 1).xlsb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5" l="1"/>
  <c r="E26" i="5" s="1"/>
  <c r="E19" i="5"/>
  <c r="K16" i="7"/>
  <c r="L16" i="7" s="1"/>
  <c r="M16" i="7" s="1"/>
  <c r="F6" i="7"/>
  <c r="G6" i="7"/>
  <c r="H6" i="7"/>
  <c r="I6" i="7"/>
  <c r="J6" i="7"/>
  <c r="E6" i="7"/>
  <c r="J8" i="7"/>
  <c r="I8" i="7"/>
  <c r="H8" i="7"/>
  <c r="G8" i="7"/>
  <c r="F8" i="7"/>
  <c r="F7" i="7"/>
  <c r="G7" i="7"/>
  <c r="H7" i="7"/>
  <c r="I7" i="7"/>
  <c r="J7" i="7"/>
  <c r="F9" i="7"/>
  <c r="G9" i="7"/>
  <c r="H9" i="7"/>
  <c r="I9" i="7"/>
  <c r="J9" i="7"/>
  <c r="K24" i="7" l="1"/>
  <c r="L24" i="7"/>
  <c r="K21" i="7"/>
  <c r="N16" i="7"/>
  <c r="M24" i="7"/>
  <c r="M21" i="7"/>
  <c r="M18" i="7"/>
  <c r="L21" i="7"/>
  <c r="L18" i="7"/>
  <c r="N21" i="7" l="1"/>
  <c r="N46" i="7"/>
  <c r="N33" i="7"/>
  <c r="N24" i="7"/>
  <c r="N32" i="7" s="1"/>
  <c r="N18" i="7"/>
  <c r="O16" i="7"/>
  <c r="O46" i="7" l="1"/>
  <c r="O34" i="7" s="1"/>
  <c r="O18" i="7"/>
  <c r="O21" i="7"/>
  <c r="P16" i="7"/>
  <c r="O24" i="7"/>
  <c r="O32" i="7" s="1"/>
  <c r="N34" i="7"/>
  <c r="Q16" i="7" l="1"/>
  <c r="P18" i="7"/>
  <c r="P21" i="7"/>
  <c r="P46" i="7"/>
  <c r="P24" i="7"/>
  <c r="P32" i="7" s="1"/>
  <c r="R16" i="7" l="1"/>
  <c r="Q21" i="7"/>
  <c r="Q24" i="7"/>
  <c r="Q46" i="7"/>
  <c r="Q18" i="7"/>
  <c r="R18" i="7" l="1"/>
  <c r="R46" i="7"/>
  <c r="R24" i="7"/>
  <c r="S16" i="7"/>
  <c r="R21" i="7"/>
  <c r="S46" i="7" l="1"/>
  <c r="S18" i="7"/>
  <c r="T16" i="7"/>
  <c r="S21" i="7"/>
  <c r="S24" i="7"/>
  <c r="T18" i="7" l="1"/>
  <c r="T21" i="7"/>
  <c r="T46" i="7"/>
  <c r="T33" i="7"/>
  <c r="T24" i="7"/>
  <c r="T32" i="7" s="1"/>
  <c r="U16" i="7"/>
  <c r="J17" i="7" l="1"/>
  <c r="F84" i="7"/>
  <c r="F86" i="7" s="1"/>
  <c r="I77" i="7"/>
  <c r="M73" i="7"/>
  <c r="F73" i="7"/>
  <c r="I65" i="7"/>
  <c r="I66" i="7"/>
  <c r="I67" i="7"/>
  <c r="I68" i="7"/>
  <c r="I69" i="7"/>
  <c r="I70" i="7"/>
  <c r="I71" i="7"/>
  <c r="G66" i="7"/>
  <c r="G67" i="7"/>
  <c r="G68" i="7"/>
  <c r="G69" i="7"/>
  <c r="G70" i="7"/>
  <c r="G71" i="7"/>
  <c r="G65" i="7"/>
  <c r="B66" i="7"/>
  <c r="B67" i="7"/>
  <c r="B68" i="7"/>
  <c r="B69" i="7"/>
  <c r="B70" i="7"/>
  <c r="B71" i="7"/>
  <c r="B65" i="7"/>
  <c r="G73" i="7" l="1"/>
  <c r="I73" i="7"/>
  <c r="J25" i="7" l="1"/>
  <c r="K17" i="7"/>
  <c r="K44" i="7"/>
  <c r="I10" i="7"/>
  <c r="H10" i="7"/>
  <c r="G10" i="7"/>
  <c r="F10" i="7"/>
  <c r="E10" i="7"/>
  <c r="J10" i="7"/>
  <c r="E9" i="7"/>
  <c r="E8" i="7"/>
  <c r="E7" i="7"/>
  <c r="I25" i="7"/>
  <c r="H25" i="7"/>
  <c r="G25" i="7"/>
  <c r="F25" i="7"/>
  <c r="E25" i="7"/>
  <c r="E34" i="7"/>
  <c r="I17" i="7"/>
  <c r="H17" i="7"/>
  <c r="G17" i="7"/>
  <c r="J32" i="7"/>
  <c r="I32" i="7"/>
  <c r="J44" i="7"/>
  <c r="J39" i="7"/>
  <c r="F44" i="7"/>
  <c r="G44" i="7"/>
  <c r="H44" i="7"/>
  <c r="I44" i="7"/>
  <c r="E44" i="7"/>
  <c r="F39" i="7"/>
  <c r="G39" i="7"/>
  <c r="H39" i="7"/>
  <c r="I39" i="7"/>
  <c r="E39" i="7"/>
  <c r="E27" i="7"/>
  <c r="I27" i="7"/>
  <c r="H27" i="7"/>
  <c r="G27" i="7"/>
  <c r="F27" i="7"/>
  <c r="J27" i="7"/>
  <c r="F17" i="7"/>
  <c r="E17" i="7"/>
  <c r="F19" i="7"/>
  <c r="F22" i="7" s="1"/>
  <c r="G19" i="7"/>
  <c r="G22" i="7" s="1"/>
  <c r="H19" i="7"/>
  <c r="H22" i="7" s="1"/>
  <c r="I19" i="7"/>
  <c r="I22" i="7" s="1"/>
  <c r="J19" i="7"/>
  <c r="J20" i="7" s="1"/>
  <c r="E19" i="7"/>
  <c r="E22" i="7" s="1"/>
  <c r="F32" i="7"/>
  <c r="G32" i="7"/>
  <c r="H32" i="7"/>
  <c r="E32" i="7"/>
  <c r="F15" i="7"/>
  <c r="G15" i="7" s="1"/>
  <c r="H15" i="7" s="1"/>
  <c r="I15" i="7" s="1"/>
  <c r="J15" i="7" s="1"/>
  <c r="K15" i="7" s="1"/>
  <c r="K33" i="7" l="1"/>
  <c r="L15" i="7"/>
  <c r="K52" i="7"/>
  <c r="K25" i="7"/>
  <c r="K46" i="7"/>
  <c r="K34" i="7" s="1"/>
  <c r="L17" i="7"/>
  <c r="J22" i="7"/>
  <c r="K18" i="7"/>
  <c r="K19" i="7" s="1"/>
  <c r="K20" i="7" s="1"/>
  <c r="E20" i="7"/>
  <c r="L39" i="7"/>
  <c r="I46" i="7"/>
  <c r="I12" i="7" s="1"/>
  <c r="K39" i="7"/>
  <c r="F20" i="7"/>
  <c r="G20" i="7"/>
  <c r="I20" i="7"/>
  <c r="H20" i="7"/>
  <c r="J46" i="7"/>
  <c r="H46" i="7"/>
  <c r="H12" i="7" s="1"/>
  <c r="G46" i="7"/>
  <c r="G12" i="7" s="1"/>
  <c r="F46" i="7"/>
  <c r="F12" i="7" s="1"/>
  <c r="E46" i="7"/>
  <c r="E12" i="7" s="1"/>
  <c r="F23" i="7"/>
  <c r="F26" i="7"/>
  <c r="F11" i="7" s="1"/>
  <c r="I23" i="7"/>
  <c r="I26" i="7"/>
  <c r="I11" i="7" s="1"/>
  <c r="H26" i="7"/>
  <c r="H11" i="7" s="1"/>
  <c r="H23" i="7"/>
  <c r="E23" i="7"/>
  <c r="E26" i="7"/>
  <c r="E11" i="7" s="1"/>
  <c r="G23" i="7"/>
  <c r="G26" i="7"/>
  <c r="G11" i="7" s="1"/>
  <c r="K32" i="7" l="1"/>
  <c r="M15" i="7"/>
  <c r="L52" i="7"/>
  <c r="L27" i="7"/>
  <c r="L46" i="7"/>
  <c r="K22" i="7"/>
  <c r="K23" i="7" s="1"/>
  <c r="J12" i="7"/>
  <c r="K48" i="7"/>
  <c r="I48" i="7"/>
  <c r="I34" i="7" s="1"/>
  <c r="J48" i="7"/>
  <c r="J34" i="7" s="1"/>
  <c r="K27" i="7"/>
  <c r="M39" i="7"/>
  <c r="N39" i="7"/>
  <c r="H48" i="7"/>
  <c r="H34" i="7" s="1"/>
  <c r="F30" i="7"/>
  <c r="F29" i="7"/>
  <c r="H30" i="7"/>
  <c r="H29" i="7"/>
  <c r="E30" i="7"/>
  <c r="E50" i="7" s="1"/>
  <c r="E29" i="7"/>
  <c r="I30" i="7"/>
  <c r="I50" i="7" s="1"/>
  <c r="I29" i="7"/>
  <c r="G30" i="7"/>
  <c r="G29" i="7"/>
  <c r="J23" i="7"/>
  <c r="J26" i="7"/>
  <c r="J11" i="7" s="1"/>
  <c r="G48" i="7"/>
  <c r="G34" i="7" s="1"/>
  <c r="F48" i="7"/>
  <c r="F34" i="7" s="1"/>
  <c r="H50" i="7" l="1"/>
  <c r="L33" i="7"/>
  <c r="M25" i="7"/>
  <c r="M17" i="7"/>
  <c r="G50" i="7"/>
  <c r="F50" i="7"/>
  <c r="N15" i="7"/>
  <c r="M52" i="7"/>
  <c r="M46" i="7"/>
  <c r="M33" i="7"/>
  <c r="L48" i="7"/>
  <c r="L34" i="7"/>
  <c r="M19" i="7"/>
  <c r="M20" i="7" s="1"/>
  <c r="L25" i="7"/>
  <c r="L32" i="7"/>
  <c r="K26" i="7"/>
  <c r="K28" i="7" s="1"/>
  <c r="L19" i="7"/>
  <c r="O39" i="7"/>
  <c r="J30" i="7"/>
  <c r="J50" i="7" s="1"/>
  <c r="J29" i="7"/>
  <c r="K29" i="7" s="1"/>
  <c r="L29" i="7" s="1"/>
  <c r="M29" i="7" s="1"/>
  <c r="N29" i="7" s="1"/>
  <c r="O29" i="7" s="1"/>
  <c r="P29" i="7" s="1"/>
  <c r="Q29" i="7" s="1"/>
  <c r="R29" i="7" s="1"/>
  <c r="S29" i="7" s="1"/>
  <c r="T29" i="7" s="1"/>
  <c r="L22" i="7" l="1"/>
  <c r="L20" i="7"/>
  <c r="M48" i="7"/>
  <c r="N48" i="7"/>
  <c r="M22" i="7"/>
  <c r="M32" i="7"/>
  <c r="N17" i="7"/>
  <c r="O15" i="7"/>
  <c r="N52" i="7"/>
  <c r="N19" i="7"/>
  <c r="N20" i="7" s="1"/>
  <c r="M34" i="7"/>
  <c r="M27" i="7"/>
  <c r="L44" i="7"/>
  <c r="P39" i="7"/>
  <c r="K30" i="7"/>
  <c r="K50" i="7" s="1"/>
  <c r="M26" i="7" l="1"/>
  <c r="M28" i="7" s="1"/>
  <c r="M23" i="7"/>
  <c r="L26" i="7"/>
  <c r="L23" i="7"/>
  <c r="O17" i="7"/>
  <c r="O33" i="7"/>
  <c r="O25" i="7"/>
  <c r="O19" i="7"/>
  <c r="O20" i="7" s="1"/>
  <c r="P15" i="7"/>
  <c r="O52" i="7"/>
  <c r="N22" i="7"/>
  <c r="O48" i="7"/>
  <c r="N25" i="7"/>
  <c r="M44" i="7"/>
  <c r="N27" i="7"/>
  <c r="N44" i="7"/>
  <c r="Q39" i="7"/>
  <c r="M30" i="7"/>
  <c r="M50" i="7" s="1"/>
  <c r="N26" i="7" l="1"/>
  <c r="N23" i="7"/>
  <c r="L28" i="7"/>
  <c r="L30" i="7"/>
  <c r="L50" i="7" s="1"/>
  <c r="O22" i="7"/>
  <c r="P33" i="7"/>
  <c r="P25" i="7"/>
  <c r="P17" i="7"/>
  <c r="P48" i="7"/>
  <c r="Q15" i="7"/>
  <c r="P52" i="7"/>
  <c r="N28" i="7"/>
  <c r="N30" i="7" s="1"/>
  <c r="N50" i="7" s="1"/>
  <c r="N54" i="7" s="1"/>
  <c r="R39" i="7"/>
  <c r="O27" i="7"/>
  <c r="P19" i="7"/>
  <c r="P20" i="7" s="1"/>
  <c r="O26" i="7" l="1"/>
  <c r="O28" i="7" s="1"/>
  <c r="O23" i="7"/>
  <c r="Q48" i="7"/>
  <c r="Q25" i="7"/>
  <c r="P22" i="7"/>
  <c r="R25" i="7"/>
  <c r="Q17" i="7"/>
  <c r="Q33" i="7"/>
  <c r="R15" i="7"/>
  <c r="Q52" i="7"/>
  <c r="O30" i="7"/>
  <c r="O50" i="7" s="1"/>
  <c r="S39" i="7"/>
  <c r="T39" i="7"/>
  <c r="P27" i="7"/>
  <c r="O44" i="7"/>
  <c r="Q19" i="7"/>
  <c r="Q20" i="7" s="1"/>
  <c r="P26" i="7" l="1"/>
  <c r="P28" i="7" s="1"/>
  <c r="P23" i="7"/>
  <c r="Q22" i="7"/>
  <c r="Q32" i="7"/>
  <c r="S33" i="7"/>
  <c r="R17" i="7"/>
  <c r="R33" i="7"/>
  <c r="R19" i="7"/>
  <c r="R20" i="7" s="1"/>
  <c r="S15" i="7"/>
  <c r="R52" i="7"/>
  <c r="P30" i="7"/>
  <c r="R48" i="7"/>
  <c r="Q27" i="7"/>
  <c r="R32" i="7"/>
  <c r="P44" i="7"/>
  <c r="Q26" i="7" l="1"/>
  <c r="Q23" i="7"/>
  <c r="R22" i="7"/>
  <c r="S48" i="7"/>
  <c r="S19" i="7"/>
  <c r="S20" i="7" s="1"/>
  <c r="S25" i="7"/>
  <c r="S17" i="7"/>
  <c r="T15" i="7"/>
  <c r="S52" i="7"/>
  <c r="Q28" i="7"/>
  <c r="Q30" i="7" s="1"/>
  <c r="P34" i="7"/>
  <c r="P50" i="7" s="1"/>
  <c r="R27" i="7"/>
  <c r="Q44" i="7"/>
  <c r="R26" i="7" l="1"/>
  <c r="R23" i="7"/>
  <c r="S22" i="7"/>
  <c r="U33" i="7"/>
  <c r="U21" i="7"/>
  <c r="S32" i="7"/>
  <c r="S27" i="7"/>
  <c r="T17" i="7"/>
  <c r="T48" i="7"/>
  <c r="U18" i="7"/>
  <c r="U24" i="7"/>
  <c r="T52" i="7"/>
  <c r="R28" i="7"/>
  <c r="R30" i="7" s="1"/>
  <c r="T25" i="7"/>
  <c r="Q34" i="7"/>
  <c r="Q50" i="7" s="1"/>
  <c r="T27" i="7"/>
  <c r="R44" i="7"/>
  <c r="S26" i="7" l="1"/>
  <c r="S28" i="7" s="1"/>
  <c r="S23" i="7"/>
  <c r="S30" i="7"/>
  <c r="T19" i="7"/>
  <c r="R34" i="7"/>
  <c r="R50" i="7" s="1"/>
  <c r="S44" i="7"/>
  <c r="T44" i="7"/>
  <c r="T22" i="7" l="1"/>
  <c r="T20" i="7"/>
  <c r="T26" i="7"/>
  <c r="T28" i="7" s="1"/>
  <c r="T30" i="7" s="1"/>
  <c r="U22" i="7"/>
  <c r="T34" i="7"/>
  <c r="U34" i="7" s="1"/>
  <c r="S34" i="7"/>
  <c r="S50" i="7" s="1"/>
  <c r="F98" i="7" l="1"/>
  <c r="T23" i="7"/>
  <c r="U26" i="7"/>
  <c r="U30" i="7"/>
  <c r="T50" i="7"/>
  <c r="U50" i="7" l="1"/>
  <c r="L32" i="6" l="1"/>
  <c r="K32" i="6"/>
  <c r="M32" i="6"/>
  <c r="Y7" i="3"/>
  <c r="Z7" i="3"/>
  <c r="AA7" i="3"/>
  <c r="AB12" i="3"/>
  <c r="V17" i="3"/>
  <c r="W21" i="3" s="1"/>
  <c r="W17" i="3"/>
  <c r="T27" i="6"/>
  <c r="S27" i="6"/>
  <c r="S30" i="6"/>
  <c r="E34" i="6"/>
  <c r="G34" i="6" s="1"/>
  <c r="D34" i="6"/>
  <c r="C34" i="6"/>
  <c r="F34" i="6" l="1"/>
  <c r="D36" i="6" l="1"/>
  <c r="T32" i="6"/>
  <c r="T31" i="6"/>
  <c r="T30" i="6"/>
  <c r="T29" i="6"/>
  <c r="T28" i="6"/>
  <c r="S28" i="6"/>
  <c r="S32" i="6"/>
  <c r="S29" i="6"/>
  <c r="S31" i="6"/>
  <c r="S9" i="6"/>
  <c r="S4" i="6"/>
  <c r="T5" i="6"/>
  <c r="T10" i="6"/>
  <c r="T9" i="6"/>
  <c r="T8" i="6"/>
  <c r="T7" i="6"/>
  <c r="T6" i="6"/>
  <c r="T4" i="6"/>
  <c r="N28" i="6"/>
  <c r="F35" i="6"/>
  <c r="F33" i="6"/>
  <c r="F29" i="6"/>
  <c r="F30" i="6"/>
  <c r="F31" i="6"/>
  <c r="F32" i="6"/>
  <c r="F28" i="6"/>
  <c r="C36" i="6"/>
  <c r="AC21" i="3"/>
  <c r="Z12" i="3"/>
  <c r="AA12" i="3"/>
  <c r="E36" i="6" l="1"/>
  <c r="T33" i="6"/>
  <c r="S33" i="6"/>
  <c r="G33" i="6"/>
  <c r="G32" i="6"/>
  <c r="G29" i="6"/>
  <c r="G28" i="6"/>
  <c r="G31" i="6"/>
  <c r="G30" i="6"/>
  <c r="G35" i="6"/>
  <c r="F36" i="6" l="1"/>
  <c r="G36" i="6"/>
  <c r="N31" i="6"/>
  <c r="N29" i="6"/>
  <c r="N30" i="6"/>
  <c r="N32" i="6" l="1"/>
  <c r="T12" i="6"/>
  <c r="T18" i="6" s="1"/>
  <c r="T20" i="6" s="1"/>
  <c r="T21" i="6" s="1"/>
  <c r="T23" i="6" s="1"/>
  <c r="T13" i="6"/>
  <c r="G10" i="3" l="1"/>
  <c r="K68" i="7" s="1"/>
  <c r="L68" i="7" l="1"/>
  <c r="N68" i="7"/>
  <c r="J68" i="7"/>
  <c r="H68" i="7"/>
  <c r="H6" i="5"/>
  <c r="AC13" i="3" l="1"/>
  <c r="O17" i="3"/>
  <c r="N17" i="3"/>
  <c r="N21" i="3" s="1"/>
  <c r="M17" i="3"/>
  <c r="Y13" i="3"/>
  <c r="Y17" i="3" s="1"/>
  <c r="X17" i="3"/>
  <c r="X21" i="3" s="1"/>
  <c r="AB21" i="3" s="1"/>
  <c r="U17" i="3"/>
  <c r="T17" i="3"/>
  <c r="S17" i="3"/>
  <c r="R17" i="3"/>
  <c r="Q17" i="3"/>
  <c r="Q21" i="3" s="1"/>
  <c r="R21" i="3" s="1"/>
  <c r="Z21" i="3" s="1"/>
  <c r="P17" i="3"/>
  <c r="K17" i="3"/>
  <c r="J17" i="3"/>
  <c r="I17" i="3"/>
  <c r="H17" i="3"/>
  <c r="F17" i="3"/>
  <c r="E17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X24" i="3"/>
  <c r="W24" i="3"/>
  <c r="V24" i="3"/>
  <c r="U24" i="3"/>
  <c r="T24" i="3"/>
  <c r="S24" i="3"/>
  <c r="R24" i="3"/>
  <c r="P24" i="3"/>
  <c r="O24" i="3"/>
  <c r="N24" i="3"/>
  <c r="M24" i="3"/>
  <c r="Q24" i="3"/>
  <c r="R6" i="3"/>
  <c r="Q6" i="3"/>
  <c r="P6" i="3"/>
  <c r="S6" i="3" s="1"/>
  <c r="AB13" i="3"/>
  <c r="AB11" i="3"/>
  <c r="AB10" i="3"/>
  <c r="AE6" i="3"/>
  <c r="AD6" i="3"/>
  <c r="AC7" i="3"/>
  <c r="AB7" i="3"/>
  <c r="AB8" i="3"/>
  <c r="AB9" i="3"/>
  <c r="AD7" i="3"/>
  <c r="AD17" i="3" s="1"/>
  <c r="AE7" i="3"/>
  <c r="AE17" i="3" s="1"/>
  <c r="Y8" i="3"/>
  <c r="Z8" i="3"/>
  <c r="S5" i="6" s="1"/>
  <c r="AA8" i="3"/>
  <c r="AC8" i="3"/>
  <c r="AD8" i="3"/>
  <c r="AE8" i="3"/>
  <c r="Y9" i="3"/>
  <c r="Z9" i="3"/>
  <c r="S6" i="6" s="1"/>
  <c r="AA9" i="3"/>
  <c r="AC9" i="3"/>
  <c r="AD9" i="3"/>
  <c r="AE9" i="3"/>
  <c r="Y10" i="3"/>
  <c r="Z10" i="3"/>
  <c r="S7" i="6" s="1"/>
  <c r="AA10" i="3"/>
  <c r="AC10" i="3"/>
  <c r="AD10" i="3"/>
  <c r="AE10" i="3"/>
  <c r="Y11" i="3"/>
  <c r="Z11" i="3"/>
  <c r="S8" i="6" s="1"/>
  <c r="AA11" i="3"/>
  <c r="AC11" i="3"/>
  <c r="AD11" i="3"/>
  <c r="AE11" i="3"/>
  <c r="Y12" i="3"/>
  <c r="AC12" i="3"/>
  <c r="AD12" i="3"/>
  <c r="AE12" i="3"/>
  <c r="Z13" i="3"/>
  <c r="S10" i="6" s="1"/>
  <c r="AA13" i="3"/>
  <c r="AD13" i="3"/>
  <c r="AE13" i="3"/>
  <c r="G7" i="3"/>
  <c r="G8" i="3"/>
  <c r="G9" i="3"/>
  <c r="K67" i="7" s="1"/>
  <c r="L10" i="3"/>
  <c r="G11" i="3"/>
  <c r="K69" i="7" s="1"/>
  <c r="G12" i="3"/>
  <c r="K70" i="7" s="1"/>
  <c r="G13" i="3"/>
  <c r="X6" i="3"/>
  <c r="W6" i="3"/>
  <c r="U6" i="3"/>
  <c r="T6" i="3"/>
  <c r="H70" i="7" l="1"/>
  <c r="N70" i="7"/>
  <c r="J70" i="7"/>
  <c r="L70" i="7"/>
  <c r="L8" i="3"/>
  <c r="K66" i="7"/>
  <c r="N69" i="7"/>
  <c r="J69" i="7"/>
  <c r="H69" i="7"/>
  <c r="L69" i="7"/>
  <c r="K65" i="7"/>
  <c r="L7" i="3"/>
  <c r="Z17" i="3"/>
  <c r="AB17" i="3"/>
  <c r="S13" i="6"/>
  <c r="S12" i="6"/>
  <c r="L13" i="3"/>
  <c r="K71" i="7"/>
  <c r="L67" i="7"/>
  <c r="J67" i="7"/>
  <c r="H67" i="7"/>
  <c r="N67" i="7"/>
  <c r="AA17" i="3"/>
  <c r="AC17" i="3"/>
  <c r="T21" i="3"/>
  <c r="U21" i="3" s="1"/>
  <c r="AA21" i="3" s="1"/>
  <c r="O21" i="3"/>
  <c r="AD21" i="3"/>
  <c r="H7" i="5"/>
  <c r="G17" i="3"/>
  <c r="P28" i="3"/>
  <c r="T28" i="3"/>
  <c r="R28" i="3"/>
  <c r="W28" i="3"/>
  <c r="O28" i="3"/>
  <c r="V28" i="3"/>
  <c r="M28" i="3"/>
  <c r="Q28" i="3"/>
  <c r="U28" i="3"/>
  <c r="N28" i="3"/>
  <c r="S28" i="3"/>
  <c r="X28" i="3"/>
  <c r="H8" i="5"/>
  <c r="L31" i="3"/>
  <c r="L9" i="3"/>
  <c r="G27" i="3"/>
  <c r="L11" i="3"/>
  <c r="G29" i="3"/>
  <c r="L12" i="3"/>
  <c r="G30" i="3"/>
  <c r="L28" i="3"/>
  <c r="G31" i="3"/>
  <c r="G28" i="3"/>
  <c r="G26" i="3"/>
  <c r="G25" i="3"/>
  <c r="AB18" i="3"/>
  <c r="AA19" i="3"/>
  <c r="AA15" i="3"/>
  <c r="AC6" i="3"/>
  <c r="V6" i="3"/>
  <c r="AB16" i="3"/>
  <c r="AB19" i="3"/>
  <c r="AB15" i="3"/>
  <c r="N71" i="7" l="1"/>
  <c r="L71" i="7"/>
  <c r="J71" i="7"/>
  <c r="H71" i="7"/>
  <c r="R25" i="3"/>
  <c r="M25" i="3"/>
  <c r="X25" i="3"/>
  <c r="O25" i="3"/>
  <c r="S25" i="3"/>
  <c r="N25" i="3"/>
  <c r="W25" i="3"/>
  <c r="W35" i="3" s="1"/>
  <c r="P25" i="3"/>
  <c r="T25" i="3"/>
  <c r="V25" i="3"/>
  <c r="Q25" i="3"/>
  <c r="U25" i="3"/>
  <c r="L25" i="3"/>
  <c r="L35" i="3" s="1"/>
  <c r="L17" i="3"/>
  <c r="L18" i="3"/>
  <c r="M31" i="3"/>
  <c r="Q31" i="3"/>
  <c r="U31" i="3"/>
  <c r="T31" i="3"/>
  <c r="N31" i="3"/>
  <c r="R31" i="3"/>
  <c r="V31" i="3"/>
  <c r="O31" i="3"/>
  <c r="S31" i="3"/>
  <c r="W31" i="3"/>
  <c r="P31" i="3"/>
  <c r="X31" i="3"/>
  <c r="H65" i="7"/>
  <c r="K73" i="7"/>
  <c r="N65" i="7"/>
  <c r="N73" i="7" s="1"/>
  <c r="L65" i="7"/>
  <c r="J65" i="7"/>
  <c r="N27" i="3"/>
  <c r="R27" i="3"/>
  <c r="V27" i="3"/>
  <c r="U27" i="3"/>
  <c r="M27" i="3"/>
  <c r="O27" i="3"/>
  <c r="S27" i="3"/>
  <c r="W27" i="3"/>
  <c r="P27" i="3"/>
  <c r="T27" i="3"/>
  <c r="X27" i="3"/>
  <c r="Q27" i="3"/>
  <c r="L66" i="7"/>
  <c r="N66" i="7"/>
  <c r="H66" i="7"/>
  <c r="J66" i="7"/>
  <c r="V29" i="3"/>
  <c r="N29" i="3"/>
  <c r="R29" i="3"/>
  <c r="W29" i="3"/>
  <c r="Q29" i="3"/>
  <c r="O29" i="3"/>
  <c r="S29" i="3"/>
  <c r="X29" i="3"/>
  <c r="P29" i="3"/>
  <c r="T29" i="3"/>
  <c r="M29" i="3"/>
  <c r="M33" i="3" s="1"/>
  <c r="U29" i="3"/>
  <c r="O30" i="3"/>
  <c r="U30" i="3"/>
  <c r="T30" i="3"/>
  <c r="N30" i="3"/>
  <c r="X30" i="3"/>
  <c r="Q30" i="3"/>
  <c r="V30" i="3"/>
  <c r="P30" i="3"/>
  <c r="M30" i="3"/>
  <c r="R30" i="3"/>
  <c r="W30" i="3"/>
  <c r="S30" i="3"/>
  <c r="X35" i="3"/>
  <c r="L19" i="3"/>
  <c r="Q26" i="3"/>
  <c r="U26" i="3"/>
  <c r="L26" i="3"/>
  <c r="T26" i="3"/>
  <c r="N26" i="3"/>
  <c r="R26" i="3"/>
  <c r="V26" i="3"/>
  <c r="V35" i="3" s="1"/>
  <c r="O26" i="3"/>
  <c r="O36" i="3" s="1"/>
  <c r="S26" i="3"/>
  <c r="W26" i="3"/>
  <c r="M26" i="3"/>
  <c r="P26" i="3"/>
  <c r="X26" i="3"/>
  <c r="Y21" i="3"/>
  <c r="AE21" i="3"/>
  <c r="U33" i="3"/>
  <c r="M34" i="3"/>
  <c r="N36" i="3"/>
  <c r="L27" i="3"/>
  <c r="L30" i="3"/>
  <c r="L29" i="3"/>
  <c r="J73" i="7" l="1"/>
  <c r="J78" i="7" s="1"/>
  <c r="H73" i="7"/>
  <c r="H78" i="7" s="1"/>
  <c r="Q35" i="3"/>
  <c r="M36" i="3"/>
  <c r="L73" i="7"/>
  <c r="L78" i="7" s="1"/>
  <c r="N35" i="3"/>
  <c r="M35" i="3"/>
  <c r="T35" i="3"/>
  <c r="S35" i="3"/>
  <c r="R35" i="3"/>
  <c r="F78" i="7"/>
  <c r="F77" i="7"/>
  <c r="U35" i="3"/>
  <c r="P35" i="3"/>
  <c r="F100" i="7" s="1"/>
  <c r="O35" i="3"/>
  <c r="H16" i="5"/>
  <c r="F21" i="3"/>
  <c r="N15" i="3"/>
  <c r="M15" i="3"/>
  <c r="E23" i="5"/>
  <c r="E22" i="5"/>
  <c r="E21" i="5"/>
  <c r="E20" i="5"/>
  <c r="H17" i="5"/>
  <c r="H15" i="5"/>
  <c r="H9" i="5"/>
  <c r="H10" i="5"/>
  <c r="H11" i="5"/>
  <c r="H12" i="5"/>
  <c r="H13" i="5"/>
  <c r="H14" i="5"/>
  <c r="Q19" i="3"/>
  <c r="P19" i="3"/>
  <c r="O19" i="3"/>
  <c r="N19" i="3"/>
  <c r="M19" i="3"/>
  <c r="F18" i="3"/>
  <c r="K19" i="3"/>
  <c r="J19" i="3"/>
  <c r="I19" i="3"/>
  <c r="H19" i="3"/>
  <c r="F19" i="3"/>
  <c r="E19" i="3"/>
  <c r="K18" i="3"/>
  <c r="J18" i="3"/>
  <c r="I18" i="3"/>
  <c r="H18" i="3"/>
  <c r="E18" i="3"/>
  <c r="K16" i="3"/>
  <c r="J16" i="3"/>
  <c r="I16" i="3"/>
  <c r="H16" i="3"/>
  <c r="F16" i="3"/>
  <c r="E16" i="3"/>
  <c r="K15" i="3"/>
  <c r="J15" i="3"/>
  <c r="I15" i="3"/>
  <c r="H15" i="3"/>
  <c r="F15" i="3"/>
  <c r="E15" i="3"/>
  <c r="X19" i="3"/>
  <c r="W19" i="3"/>
  <c r="V19" i="3"/>
  <c r="U19" i="3"/>
  <c r="T19" i="3"/>
  <c r="S19" i="3"/>
  <c r="R19" i="3"/>
  <c r="X18" i="3"/>
  <c r="W18" i="3"/>
  <c r="V18" i="3"/>
  <c r="U18" i="3"/>
  <c r="T18" i="3"/>
  <c r="S18" i="3"/>
  <c r="R18" i="3"/>
  <c r="Q18" i="3"/>
  <c r="P18" i="3"/>
  <c r="O18" i="3"/>
  <c r="N18" i="3"/>
  <c r="M18" i="3"/>
  <c r="X16" i="3"/>
  <c r="W16" i="3"/>
  <c r="V16" i="3"/>
  <c r="U16" i="3"/>
  <c r="T16" i="3"/>
  <c r="S16" i="3"/>
  <c r="R16" i="3"/>
  <c r="Q16" i="3"/>
  <c r="P16" i="3"/>
  <c r="O16" i="3"/>
  <c r="N16" i="3"/>
  <c r="M16" i="3"/>
  <c r="X15" i="3"/>
  <c r="W15" i="3"/>
  <c r="V15" i="3"/>
  <c r="U15" i="3"/>
  <c r="T15" i="3"/>
  <c r="S15" i="3"/>
  <c r="R15" i="3"/>
  <c r="Q15" i="3"/>
  <c r="P15" i="3"/>
  <c r="O15" i="3"/>
  <c r="B39" i="3"/>
  <c r="L21" i="3" l="1"/>
  <c r="AD18" i="3"/>
  <c r="AE15" i="3"/>
  <c r="Y18" i="3"/>
  <c r="AC18" i="3"/>
  <c r="Z15" i="3"/>
  <c r="Z19" i="3"/>
  <c r="AD15" i="3"/>
  <c r="Y15" i="3"/>
  <c r="AE19" i="3"/>
  <c r="G19" i="3"/>
  <c r="G18" i="3"/>
  <c r="AC16" i="3"/>
  <c r="Z18" i="3"/>
  <c r="AE18" i="3"/>
  <c r="AC19" i="3"/>
  <c r="AA16" i="3"/>
  <c r="G15" i="3"/>
  <c r="AC15" i="3"/>
  <c r="Y16" i="3"/>
  <c r="AD16" i="3"/>
  <c r="AA18" i="3"/>
  <c r="Y19" i="3"/>
  <c r="AD19" i="3"/>
  <c r="G16" i="3"/>
  <c r="Z16" i="3"/>
  <c r="AE16" i="3"/>
  <c r="R39" i="3" l="1"/>
  <c r="T39" i="3"/>
  <c r="P39" i="3"/>
  <c r="Q39" i="3"/>
  <c r="S39" i="3"/>
  <c r="U39" i="3"/>
  <c r="L39" i="3"/>
  <c r="N39" i="3"/>
  <c r="O39" i="3"/>
  <c r="M39" i="3"/>
  <c r="G21" i="3"/>
  <c r="L15" i="3"/>
  <c r="G33" i="3"/>
  <c r="W33" i="3"/>
  <c r="W34" i="3"/>
  <c r="W37" i="3"/>
  <c r="W36" i="3"/>
  <c r="V34" i="3"/>
  <c r="V36" i="3"/>
  <c r="V33" i="3"/>
  <c r="V37" i="3"/>
  <c r="X37" i="3"/>
  <c r="X33" i="3"/>
  <c r="X36" i="3"/>
  <c r="X34" i="3"/>
  <c r="G37" i="3"/>
  <c r="L16" i="3"/>
  <c r="G34" i="3"/>
  <c r="G35" i="3"/>
  <c r="G36" i="3"/>
  <c r="V39" i="3" l="1"/>
  <c r="K77" i="7"/>
  <c r="W39" i="3"/>
  <c r="X39" i="3"/>
  <c r="G39" i="3"/>
  <c r="E21" i="3"/>
  <c r="C16" i="5" a="1"/>
  <c r="L33" i="3"/>
  <c r="C17" i="5" a="1"/>
  <c r="Q36" i="3"/>
  <c r="Q37" i="3"/>
  <c r="Q34" i="3"/>
  <c r="Q33" i="3"/>
  <c r="R34" i="3"/>
  <c r="R36" i="3"/>
  <c r="R33" i="3"/>
  <c r="R37" i="3"/>
  <c r="N34" i="3"/>
  <c r="N33" i="3"/>
  <c r="N37" i="3"/>
  <c r="T37" i="3"/>
  <c r="T36" i="3"/>
  <c r="T34" i="3"/>
  <c r="T33" i="3"/>
  <c r="S33" i="3"/>
  <c r="S37" i="3"/>
  <c r="S34" i="3"/>
  <c r="S36" i="3"/>
  <c r="U36" i="3"/>
  <c r="U34" i="3"/>
  <c r="U37" i="3"/>
  <c r="O33" i="3"/>
  <c r="O37" i="3"/>
  <c r="O34" i="3"/>
  <c r="M37" i="3"/>
  <c r="C6" i="5" s="1" a="1"/>
  <c r="P37" i="3"/>
  <c r="P36" i="3"/>
  <c r="P33" i="3"/>
  <c r="P34" i="3"/>
  <c r="L37" i="3"/>
  <c r="L36" i="3"/>
  <c r="L34" i="3"/>
  <c r="C15" i="5" a="1"/>
  <c r="J77" i="7" l="1"/>
  <c r="H77" i="7"/>
  <c r="L77" i="7"/>
  <c r="I78" i="7"/>
  <c r="N77" i="7"/>
  <c r="F81" i="7" s="1"/>
  <c r="G78" i="7"/>
  <c r="K78" i="7"/>
  <c r="K6" i="5"/>
  <c r="E14" i="6" s="1"/>
  <c r="L6" i="5"/>
  <c r="F14" i="6" s="1"/>
  <c r="J6" i="5"/>
  <c r="D14" i="6" s="1"/>
  <c r="I6" i="5"/>
  <c r="C14" i="6" s="1"/>
  <c r="H14" i="6" s="1"/>
  <c r="J16" i="5"/>
  <c r="D4" i="6" s="1"/>
  <c r="K16" i="5"/>
  <c r="E4" i="6" s="1"/>
  <c r="L16" i="5"/>
  <c r="F4" i="6" s="1"/>
  <c r="I16" i="5"/>
  <c r="C4" i="6" s="1"/>
  <c r="H4" i="6" s="1"/>
  <c r="I17" i="5"/>
  <c r="C3" i="6" s="1"/>
  <c r="H3" i="6" s="1"/>
  <c r="I15" i="5"/>
  <c r="C5" i="6" s="1"/>
  <c r="H5" i="6" s="1"/>
  <c r="C7" i="5" a="1"/>
  <c r="I7" i="5" s="1"/>
  <c r="C13" i="6" s="1"/>
  <c r="H13" i="6" s="1"/>
  <c r="C6" i="5"/>
  <c r="M6" i="5" s="1"/>
  <c r="G14" i="6" s="1"/>
  <c r="L14" i="6" s="1"/>
  <c r="J15" i="5"/>
  <c r="D5" i="6" s="1"/>
  <c r="K15" i="5"/>
  <c r="E5" i="6" s="1"/>
  <c r="L15" i="5"/>
  <c r="F5" i="6" s="1"/>
  <c r="K17" i="5"/>
  <c r="E3" i="6" s="1"/>
  <c r="J17" i="5"/>
  <c r="D3" i="6" s="1"/>
  <c r="I3" i="6" s="1"/>
  <c r="L17" i="5"/>
  <c r="F3" i="6" s="1"/>
  <c r="C16" i="5"/>
  <c r="C9" i="5" a="1"/>
  <c r="K9" i="5" s="1"/>
  <c r="C13" i="5" a="1"/>
  <c r="C15" i="5"/>
  <c r="M15" i="5" s="1"/>
  <c r="G5" i="6" s="1"/>
  <c r="C8" i="5" a="1"/>
  <c r="I8" i="5" s="1"/>
  <c r="C12" i="6" s="1"/>
  <c r="H12" i="6" s="1"/>
  <c r="C14" i="5" a="1"/>
  <c r="C12" i="5" a="1"/>
  <c r="C11" i="5" a="1"/>
  <c r="K11" i="5" s="1"/>
  <c r="C10" i="5" a="1"/>
  <c r="K10" i="5" s="1"/>
  <c r="C17" i="5"/>
  <c r="M17" i="5" s="1"/>
  <c r="G3" i="6" s="1"/>
  <c r="L3" i="6" s="1"/>
  <c r="F89" i="7" l="1"/>
  <c r="J3" i="6"/>
  <c r="N78" i="7"/>
  <c r="J5" i="6"/>
  <c r="J4" i="6"/>
  <c r="K14" i="6"/>
  <c r="K5" i="6"/>
  <c r="K4" i="6"/>
  <c r="I5" i="6"/>
  <c r="I14" i="6"/>
  <c r="K3" i="6"/>
  <c r="J12" i="5"/>
  <c r="D8" i="6" s="1"/>
  <c r="K12" i="5"/>
  <c r="E8" i="6" s="1"/>
  <c r="I12" i="5"/>
  <c r="C8" i="6" s="1"/>
  <c r="H8" i="6" s="1"/>
  <c r="L12" i="5"/>
  <c r="F8" i="6" s="1"/>
  <c r="J11" i="5"/>
  <c r="D9" i="6" s="1"/>
  <c r="I11" i="5"/>
  <c r="C9" i="6" s="1"/>
  <c r="H9" i="6" s="1"/>
  <c r="E9" i="6"/>
  <c r="L5" i="6"/>
  <c r="I4" i="6"/>
  <c r="J14" i="6"/>
  <c r="J14" i="5"/>
  <c r="D6" i="6" s="1"/>
  <c r="I14" i="5"/>
  <c r="C6" i="6" s="1"/>
  <c r="H6" i="6" s="1"/>
  <c r="K14" i="5"/>
  <c r="E6" i="6" s="1"/>
  <c r="L14" i="5"/>
  <c r="F6" i="6" s="1"/>
  <c r="J10" i="5"/>
  <c r="D10" i="6" s="1"/>
  <c r="I10" i="5"/>
  <c r="C10" i="6" s="1"/>
  <c r="H10" i="6" s="1"/>
  <c r="E10" i="6"/>
  <c r="L10" i="5"/>
  <c r="F10" i="6" s="1"/>
  <c r="K7" i="5"/>
  <c r="E13" i="6" s="1"/>
  <c r="L7" i="5"/>
  <c r="F13" i="6" s="1"/>
  <c r="J7" i="5"/>
  <c r="D13" i="6" s="1"/>
  <c r="I13" i="6" s="1"/>
  <c r="L11" i="5"/>
  <c r="F9" i="6" s="1"/>
  <c r="J13" i="5"/>
  <c r="D7" i="6" s="1"/>
  <c r="K13" i="5"/>
  <c r="E7" i="6" s="1"/>
  <c r="L13" i="5"/>
  <c r="F7" i="6" s="1"/>
  <c r="E11" i="6"/>
  <c r="L9" i="5"/>
  <c r="F11" i="6" s="1"/>
  <c r="J9" i="5"/>
  <c r="D11" i="6" s="1"/>
  <c r="I9" i="5"/>
  <c r="C11" i="6" s="1"/>
  <c r="H11" i="6" s="1"/>
  <c r="M16" i="5"/>
  <c r="G4" i="6" s="1"/>
  <c r="L4" i="6" s="1"/>
  <c r="I13" i="5"/>
  <c r="C7" i="6" s="1"/>
  <c r="H7" i="6" s="1"/>
  <c r="L8" i="5"/>
  <c r="F12" i="6" s="1"/>
  <c r="K8" i="5"/>
  <c r="E12" i="6" s="1"/>
  <c r="J8" i="5"/>
  <c r="D12" i="6" s="1"/>
  <c r="I12" i="6" s="1"/>
  <c r="C7" i="5"/>
  <c r="M7" i="5" s="1"/>
  <c r="G13" i="6" s="1"/>
  <c r="C9" i="5"/>
  <c r="M9" i="5" s="1"/>
  <c r="G11" i="6" s="1"/>
  <c r="C13" i="5"/>
  <c r="C10" i="5"/>
  <c r="M10" i="5" s="1"/>
  <c r="G10" i="6" s="1"/>
  <c r="L10" i="6" s="1"/>
  <c r="C8" i="5"/>
  <c r="C11" i="5"/>
  <c r="M11" i="5" s="1"/>
  <c r="G9" i="6" s="1"/>
  <c r="C12" i="5"/>
  <c r="M12" i="5" s="1"/>
  <c r="G8" i="6" s="1"/>
  <c r="C14" i="5"/>
  <c r="L11" i="6" l="1"/>
  <c r="J7" i="6"/>
  <c r="K13" i="6"/>
  <c r="L8" i="6"/>
  <c r="K7" i="6"/>
  <c r="J10" i="6"/>
  <c r="J6" i="6"/>
  <c r="L13" i="6"/>
  <c r="I8" i="6"/>
  <c r="K9" i="6"/>
  <c r="J11" i="6"/>
  <c r="K10" i="6"/>
  <c r="K6" i="6"/>
  <c r="J8" i="6"/>
  <c r="J12" i="6"/>
  <c r="I9" i="6"/>
  <c r="K12" i="6"/>
  <c r="I11" i="6"/>
  <c r="K8" i="6"/>
  <c r="L9" i="6"/>
  <c r="K11" i="6"/>
  <c r="I7" i="6"/>
  <c r="J13" i="6"/>
  <c r="I10" i="6"/>
  <c r="I6" i="6"/>
  <c r="J9" i="6"/>
  <c r="M13" i="5"/>
  <c r="G7" i="6" s="1"/>
  <c r="L7" i="6" s="1"/>
  <c r="M14" i="5"/>
  <c r="G6" i="6" s="1"/>
  <c r="L6" i="6" s="1"/>
  <c r="M8" i="5"/>
  <c r="G12" i="6" s="1"/>
  <c r="L12" i="6" s="1"/>
  <c r="F82" i="7" l="1"/>
  <c r="F90" i="7" s="1"/>
  <c r="F91" i="7" s="1"/>
  <c r="K98" i="7" l="1"/>
  <c r="K100" i="7" s="1"/>
  <c r="K101" i="7"/>
  <c r="E51" i="7"/>
  <c r="F101" i="7"/>
  <c r="F102" i="7" s="1"/>
  <c r="K102" i="7" l="1"/>
  <c r="O53" i="7"/>
  <c r="O54" i="7" s="1"/>
  <c r="S53" i="7"/>
  <c r="S54" i="7" s="1"/>
  <c r="Q53" i="7"/>
  <c r="Q54" i="7" s="1"/>
  <c r="R53" i="7"/>
  <c r="R54" i="7" s="1"/>
  <c r="L53" i="7"/>
  <c r="L54" i="7" s="1"/>
  <c r="P53" i="7"/>
  <c r="P54" i="7" s="1"/>
  <c r="T53" i="7"/>
  <c r="T54" i="7" s="1"/>
  <c r="M53" i="7"/>
  <c r="M54" i="7" s="1"/>
  <c r="K53" i="7"/>
  <c r="K54" i="7" s="1"/>
  <c r="N53" i="7"/>
  <c r="U54" i="7" l="1"/>
  <c r="K96" i="7"/>
  <c r="K104" i="7" s="1"/>
  <c r="K109" i="7" s="1"/>
  <c r="F96" i="7"/>
  <c r="F104" i="7" s="1"/>
  <c r="I111" i="7" l="1"/>
  <c r="F109" i="7"/>
  <c r="I11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F03DEA-E362-4772-8D30-9B9F546D595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7352460-09A1-420C-847C-3966B91DA821}" name="WorksheetConnection_Comps (version 1).xlsb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Compsversion1.xlsbTable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<sst xmlns="http://schemas.openxmlformats.org/spreadsheetml/2006/main" count="470" uniqueCount="252">
  <si>
    <t>Ticker</t>
  </si>
  <si>
    <t>LTM</t>
  </si>
  <si>
    <t>Company</t>
  </si>
  <si>
    <t>EBITDA</t>
  </si>
  <si>
    <t xml:space="preserve">NEXTDC Limited </t>
  </si>
  <si>
    <t>NXT</t>
  </si>
  <si>
    <t>EBIT</t>
  </si>
  <si>
    <t>Share</t>
  </si>
  <si>
    <t>Price</t>
  </si>
  <si>
    <t>Shares</t>
  </si>
  <si>
    <t>Diluted</t>
  </si>
  <si>
    <t>Debt</t>
  </si>
  <si>
    <t>Preferred</t>
  </si>
  <si>
    <t>Stock</t>
  </si>
  <si>
    <t>Maximum</t>
  </si>
  <si>
    <t>75th Percentile</t>
  </si>
  <si>
    <t>Median</t>
  </si>
  <si>
    <t>25th Percentile</t>
  </si>
  <si>
    <t>Minimum</t>
  </si>
  <si>
    <t>Revenue</t>
  </si>
  <si>
    <t>Net Income</t>
  </si>
  <si>
    <t>EBITDA Margin</t>
  </si>
  <si>
    <t>Company Name</t>
  </si>
  <si>
    <t>Equity Value</t>
  </si>
  <si>
    <t>Cash</t>
  </si>
  <si>
    <t>EV</t>
  </si>
  <si>
    <t>Comparable Companies Analysis</t>
  </si>
  <si>
    <t>Ascenty Data Centers</t>
  </si>
  <si>
    <t xml:space="preserve">Shanghai @hub Co.,Ltd. </t>
  </si>
  <si>
    <t xml:space="preserve">Macquarie Technology Group Limited </t>
  </si>
  <si>
    <t xml:space="preserve">SUNeVision Holdings Ltd. </t>
  </si>
  <si>
    <t>MAQ</t>
  </si>
  <si>
    <t>Country</t>
  </si>
  <si>
    <t>Brazil</t>
  </si>
  <si>
    <t>Australia</t>
  </si>
  <si>
    <t>China</t>
  </si>
  <si>
    <t>Hong Kong</t>
  </si>
  <si>
    <t>Enterprise Value</t>
  </si>
  <si>
    <t>EV / Revenue</t>
  </si>
  <si>
    <t>EV / EBITDA</t>
  </si>
  <si>
    <t>EV / EBIT</t>
  </si>
  <si>
    <t>P / E Multiple</t>
  </si>
  <si>
    <t>Multiple</t>
  </si>
  <si>
    <t>Figure</t>
  </si>
  <si>
    <t>Implied Enterprise Value</t>
  </si>
  <si>
    <t>(+) Cash &amp; Cash-Equivalents:</t>
  </si>
  <si>
    <t>(-) Total Debt:</t>
  </si>
  <si>
    <t>(-) Preferred Stock:</t>
  </si>
  <si>
    <t>(-) Noncontrolling Interests:</t>
  </si>
  <si>
    <t>Implied Equity Value</t>
  </si>
  <si>
    <t>Implied Share Price</t>
  </si>
  <si>
    <t>($ in millions, except share price)</t>
  </si>
  <si>
    <t>Valuation - Ascenty Data Centers</t>
  </si>
  <si>
    <t>Min Point</t>
  </si>
  <si>
    <t>25th Point</t>
  </si>
  <si>
    <t>Median Point</t>
  </si>
  <si>
    <t>75th Point</t>
  </si>
  <si>
    <t>Max Point</t>
  </si>
  <si>
    <t>Other &amp; NCI</t>
  </si>
  <si>
    <t>FY25E</t>
  </si>
  <si>
    <t>FY26E</t>
  </si>
  <si>
    <t xml:space="preserve">Redcentric plc </t>
  </si>
  <si>
    <t xml:space="preserve">iomart Group plc </t>
  </si>
  <si>
    <t xml:space="preserve">Wiit S.p.A. </t>
  </si>
  <si>
    <t>603881</t>
  </si>
  <si>
    <t>RCN</t>
  </si>
  <si>
    <t>IOM</t>
  </si>
  <si>
    <t>WIIT</t>
  </si>
  <si>
    <t>1686</t>
  </si>
  <si>
    <t>United Kingdom</t>
  </si>
  <si>
    <t>Italy</t>
  </si>
  <si>
    <t>Growth Est.</t>
  </si>
  <si>
    <t>FY26E - P / E Multiple</t>
  </si>
  <si>
    <t>FY25E - P / E Multiple</t>
  </si>
  <si>
    <t>FY26E - EV / EBIT</t>
  </si>
  <si>
    <t>FY25E - EV / EBIT</t>
  </si>
  <si>
    <t>LTM - EV / EBIT</t>
  </si>
  <si>
    <t>FY26E - EV / EBITDA</t>
  </si>
  <si>
    <t>FY25E - EV / EBITDA</t>
  </si>
  <si>
    <t>LTM - EV / EBITDA</t>
  </si>
  <si>
    <t>FY26E - EV / Revenue</t>
  </si>
  <si>
    <t>FY25E - EV / Revenue</t>
  </si>
  <si>
    <t>LTM - EV / Revenue</t>
  </si>
  <si>
    <t>LTM - P / E Multiple</t>
  </si>
  <si>
    <t>Market Cap.</t>
  </si>
  <si>
    <t>EV/EBITDA</t>
  </si>
  <si>
    <t>NEXTDC</t>
  </si>
  <si>
    <t>Macquarie Technology</t>
  </si>
  <si>
    <t>Redcentric</t>
  </si>
  <si>
    <t>SUNeVision Holdings</t>
  </si>
  <si>
    <t>iomart Group</t>
  </si>
  <si>
    <t>Shanghai @hub</t>
  </si>
  <si>
    <t>Average</t>
  </si>
  <si>
    <r>
      <rPr>
        <b/>
        <sz val="12"/>
        <color theme="1"/>
        <rFont val="Times New Roman"/>
        <family val="1"/>
      </rPr>
      <t>MULTIPLES FOR GLOBAL COMPANIES</t>
    </r>
    <r>
      <rPr>
        <sz val="12"/>
        <color theme="1"/>
        <rFont val="Times New Roman"/>
        <family val="1"/>
      </rPr>
      <t xml:space="preserve"> (VALUES IN US$ MM)</t>
    </r>
  </si>
  <si>
    <t>VALUATION</t>
  </si>
  <si>
    <t>in US$ MM</t>
  </si>
  <si>
    <t>Median Multiple</t>
  </si>
  <si>
    <t>Discounted Multiple</t>
  </si>
  <si>
    <t>Net Debt</t>
  </si>
  <si>
    <t>Brazil Country Risk</t>
  </si>
  <si>
    <t>(US$ in millions, except share price)</t>
  </si>
  <si>
    <t>Growth</t>
  </si>
  <si>
    <t>Colocation</t>
  </si>
  <si>
    <t>Infrastructure Lease</t>
  </si>
  <si>
    <t>Resale of Materials</t>
  </si>
  <si>
    <t>Installation Fee</t>
  </si>
  <si>
    <t>Telecomunication Services</t>
  </si>
  <si>
    <t>Other Revenues</t>
  </si>
  <si>
    <t>Total</t>
  </si>
  <si>
    <t>Net Revenue</t>
  </si>
  <si>
    <t>REVENUE BY CATEGORY</t>
  </si>
  <si>
    <t>Deductions</t>
  </si>
  <si>
    <t>São Paulo</t>
  </si>
  <si>
    <t>Rio de Janeiro</t>
  </si>
  <si>
    <t>Ceará</t>
  </si>
  <si>
    <t>Santiago</t>
  </si>
  <si>
    <t>Chile</t>
  </si>
  <si>
    <t>REVENUE BY GEOGRAPHY</t>
  </si>
  <si>
    <t>% of 2023</t>
  </si>
  <si>
    <t>Property Name</t>
  </si>
  <si>
    <t>City</t>
  </si>
  <si>
    <t>State or Province</t>
  </si>
  <si>
    <t>Country/Region</t>
  </si>
  <si>
    <t>Property Size (sq. m.)</t>
  </si>
  <si>
    <t>Data Center Bogota 1+</t>
  </si>
  <si>
    <t>Bogotá</t>
  </si>
  <si>
    <t>Colombia</t>
  </si>
  <si>
    <t>Data Center Bogota 2+</t>
  </si>
  <si>
    <t>Data Center Campinas</t>
  </si>
  <si>
    <t>Campinas</t>
  </si>
  <si>
    <t>Data Center Fortaleza</t>
  </si>
  <si>
    <t>Maracanaú</t>
  </si>
  <si>
    <t>Data Center Hortolandia 4</t>
  </si>
  <si>
    <t>Hortolândia</t>
  </si>
  <si>
    <t>Data Center Hortolandia 5</t>
  </si>
  <si>
    <t>Data Center Hortolandia 6+</t>
  </si>
  <si>
    <t>Data Center Hortolândia 1</t>
  </si>
  <si>
    <t>Data Center Hortolândia 2+</t>
  </si>
  <si>
    <t>Data Center Hortolândia 3</t>
  </si>
  <si>
    <t>Data Center Jundiaí 1</t>
  </si>
  <si>
    <t>Jundiaí</t>
  </si>
  <si>
    <t>Data Center Jundiaí 2</t>
  </si>
  <si>
    <t>Data Center Paulínia</t>
  </si>
  <si>
    <t>Paulínia</t>
  </si>
  <si>
    <t>Data Center Queretaro 1</t>
  </si>
  <si>
    <t>Colón</t>
  </si>
  <si>
    <t>Querétaro</t>
  </si>
  <si>
    <t>Mexico</t>
  </si>
  <si>
    <t>Data Center Queretaro 2</t>
  </si>
  <si>
    <t>Data Center Queretaro 3+</t>
  </si>
  <si>
    <t>Data Center Rio de Janeiro 1</t>
  </si>
  <si>
    <t>Data Center Rio de Janeiro 2</t>
  </si>
  <si>
    <t>Data Center Santiago 1</t>
  </si>
  <si>
    <t>Quilicura</t>
  </si>
  <si>
    <t>Data Center Santiago 2</t>
  </si>
  <si>
    <t>Data Center Santiago 3+</t>
  </si>
  <si>
    <t>Data Center Sao Paulo 4</t>
  </si>
  <si>
    <t>Osasco</t>
  </si>
  <si>
    <t>Data Center Sao Paulo 5+</t>
  </si>
  <si>
    <t>Data Center Sao Paulo 6+</t>
  </si>
  <si>
    <t>Data Center Sumare 3+</t>
  </si>
  <si>
    <t>Sumaré</t>
  </si>
  <si>
    <t>Data Center Sumare 4+</t>
  </si>
  <si>
    <t>Data Center Sumare 5+</t>
  </si>
  <si>
    <t>Data Center Sumaré 1</t>
  </si>
  <si>
    <t>Data Center Sumaré 2+</t>
  </si>
  <si>
    <t>Data Center São Paulo 1</t>
  </si>
  <si>
    <t>Data Center São Paulo 2</t>
  </si>
  <si>
    <t>Data Center São Paulo 3+</t>
  </si>
  <si>
    <t>Data Center Vinhedo 1</t>
  </si>
  <si>
    <t>Vinhedo</t>
  </si>
  <si>
    <t>Data Center Vinhedo 2</t>
  </si>
  <si>
    <t>Count</t>
  </si>
  <si>
    <t>CAGR</t>
  </si>
  <si>
    <t>Property Size</t>
  </si>
  <si>
    <t>Historical Period</t>
  </si>
  <si>
    <t>Projection Period</t>
  </si>
  <si>
    <t>% growth</t>
  </si>
  <si>
    <t>Cost of goods sold</t>
  </si>
  <si>
    <t>Gross profit</t>
  </si>
  <si>
    <t>% margin</t>
  </si>
  <si>
    <t>SG&amp;A expense</t>
  </si>
  <si>
    <t>Depreciation &amp; amortization</t>
  </si>
  <si>
    <t>Taxes</t>
  </si>
  <si>
    <t>(+) D&amp;A</t>
  </si>
  <si>
    <t>(-) Capital expenditures</t>
  </si>
  <si>
    <t>Unlevered free cash flow</t>
  </si>
  <si>
    <t>NOPAT</t>
  </si>
  <si>
    <t>(+/-) Changes in NWC</t>
  </si>
  <si>
    <t>Current Assets</t>
  </si>
  <si>
    <t>Accounts receivable</t>
  </si>
  <si>
    <t>Inventories</t>
  </si>
  <si>
    <t>Other current assets</t>
  </si>
  <si>
    <t>Total current assets</t>
  </si>
  <si>
    <t>Current Liabilities</t>
  </si>
  <si>
    <t>Accounts payable</t>
  </si>
  <si>
    <t>Total current liabilities</t>
  </si>
  <si>
    <t>Net working capital</t>
  </si>
  <si>
    <t>Other current liab.</t>
  </si>
  <si>
    <t>Net Changes In WC</t>
  </si>
  <si>
    <t>% of Revenue</t>
  </si>
  <si>
    <t>WACC</t>
  </si>
  <si>
    <t>Assumptions</t>
  </si>
  <si>
    <t>Tax Rate</t>
  </si>
  <si>
    <t>Revenue (% growth)</t>
  </si>
  <si>
    <t>D&amp;A (% revenue)</t>
  </si>
  <si>
    <t>COGS (% revenue)</t>
  </si>
  <si>
    <t>SG&amp;A (% revenue)</t>
  </si>
  <si>
    <t>('24 - '34)</t>
  </si>
  <si>
    <t>Median:</t>
  </si>
  <si>
    <t>Current Capital Structure:</t>
  </si>
  <si>
    <t>"Optimal" Capital Structure:</t>
  </si>
  <si>
    <t>Comparable Companies</t>
  </si>
  <si>
    <t>Levered</t>
  </si>
  <si>
    <t>Beta</t>
  </si>
  <si>
    <t>% Debt</t>
  </si>
  <si>
    <t>% Equity</t>
  </si>
  <si>
    <t>Unlevered</t>
  </si>
  <si>
    <t>Ascenty</t>
  </si>
  <si>
    <t>% Preferred</t>
  </si>
  <si>
    <t>Equity</t>
  </si>
  <si>
    <t>Value</t>
  </si>
  <si>
    <t>Risk-Free Rate</t>
  </si>
  <si>
    <t>Equity Risk Premium</t>
  </si>
  <si>
    <t>Interest Expense</t>
  </si>
  <si>
    <t>Total Debt</t>
  </si>
  <si>
    <t>Current Capital Structure</t>
  </si>
  <si>
    <t>Optimal Capital Structure</t>
  </si>
  <si>
    <t>Cost of Preferred</t>
  </si>
  <si>
    <t>Average WACC</t>
  </si>
  <si>
    <t>Cost of Equity</t>
  </si>
  <si>
    <t>Discount period</t>
  </si>
  <si>
    <t>Discount factor</t>
  </si>
  <si>
    <t>Present value of free cash flow</t>
  </si>
  <si>
    <t>ASCENTY DATA CENTERS</t>
  </si>
  <si>
    <t>DISCOUNTED CASH FLOW ANALYSIS</t>
  </si>
  <si>
    <t>(US$ MILLIONS)</t>
  </si>
  <si>
    <t>Pre-tax Cost of Debt</t>
  </si>
  <si>
    <t>Cumulative Present Value of FCF</t>
  </si>
  <si>
    <t>Terminal Value</t>
  </si>
  <si>
    <t>Terminal Year EBITDA</t>
  </si>
  <si>
    <t>Discount Factor</t>
  </si>
  <si>
    <t>Present value of terminal value</t>
  </si>
  <si>
    <t>Median of Comps EV/EBITDA</t>
  </si>
  <si>
    <t>Multiples Method</t>
  </si>
  <si>
    <t>Output</t>
  </si>
  <si>
    <t>Perpetuity Growth Method</t>
  </si>
  <si>
    <t>Terminal FCF Growth Rate</t>
  </si>
  <si>
    <t>CapEx (% revenue)</t>
  </si>
  <si>
    <t>Working Capital (% revenue)</t>
  </si>
  <si>
    <t>Average Implied Enterprise Value</t>
  </si>
  <si>
    <t>Average Implied Equity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</si>
</sst>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0.0\x"/>
    <numFmt numFmtId="166" formatCode="0.0&quot;x&quot;"/>
    <numFmt numFmtId="167" formatCode="&quot;FY&quot;yy"/>
    <numFmt numFmtId="168" formatCode="_(* #,##0.0_);_(* \(#,##0.0\);_(* &quot;-&quot;?_);_(@_)"/>
    <numFmt numFmtId="169" formatCode="_(#,##0.0%_);\(#,##0.0%\);_(&quot;–&quot;_)_%;_(@_)_%"/>
    <numFmt numFmtId="170" formatCode="_(* #,##0.0_);_(* \(#,##0.0\);_(* &quot;-&quot;??_);_(@_)"/>
    <numFmt numFmtId="171" formatCode="_(* #,##0_);_(* \(#,##0\);_(* &quot;-&quot;??_);_(@_)"/>
    <numFmt numFmtId="172" formatCode="_(&quot;$&quot;* #,##0_);_(&quot;$&quot;* \(#,##0\);_(&quot;$&quot;* &quot;-&quot;??_);_(@_)"/>
    <numFmt numFmtId="173" formatCode="_([$$-409]* #,##0.00_);_([$$-409]* \(#,##0.00\);_([$$-409]* &quot;-&quot;??_);_(@_)"/>
    <numFmt numFmtId="174" formatCode="#,###_);\(#,##0\);\-"/>
    <numFmt numFmtId="176" formatCode="0.0000"/>
    <numFmt numFmtId="177" formatCode="0.0%"/>
    <numFmt numFmtId="178" formatCode="#,##0_);\(#,##0\);\(* &quot;-&quot;??_);\(@\)"/>
    <numFmt numFmtId="179" formatCode="0%;\(0%\);\-"/>
    <numFmt numFmtId="181" formatCode="0.0"/>
    <numFmt numFmtId="190" formatCode="0%;\(0%\)"/>
  </numFmts>
  <fonts count="2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MS Sans Serif"/>
      <family val="2"/>
    </font>
    <font>
      <sz val="8"/>
      <color indexed="8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FF"/>
      <name val="Times New Roman"/>
      <family val="1"/>
    </font>
    <font>
      <b/>
      <sz val="11"/>
      <name val="Times New Roman"/>
      <family val="1"/>
    </font>
    <font>
      <b/>
      <sz val="11"/>
      <color rgb="FF0000FF"/>
      <name val="Times New Roman"/>
      <family val="1"/>
    </font>
    <font>
      <sz val="11"/>
      <color theme="9" tint="-0.249977111117893"/>
      <name val="Times New Roman"/>
      <family val="1"/>
    </font>
    <font>
      <sz val="12"/>
      <color rgb="FF0000FF"/>
      <name val="Times New Roman"/>
      <family val="1"/>
    </font>
    <font>
      <i/>
      <sz val="10"/>
      <color theme="1"/>
      <name val="Arial"/>
      <family val="2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9" tint="-0.249977111117893"/>
      <name val="Times New Roman"/>
      <family val="1"/>
    </font>
    <font>
      <sz val="12"/>
      <color rgb="FF0033CC"/>
      <name val="Times New Roman"/>
      <family val="1"/>
    </font>
    <font>
      <b/>
      <sz val="12"/>
      <color rgb="FF0033CC"/>
      <name val="Times New Roman"/>
      <family val="1"/>
    </font>
    <font>
      <i/>
      <sz val="12"/>
      <color rgb="FF0033CC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D9D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  <fill>
      <patternFill patternType="solid">
        <fgColor rgb="FFFFEFEF"/>
        <bgColor indexed="64"/>
      </patternFill>
    </fill>
  </fills>
  <borders count="26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D22630"/>
      </top>
      <bottom/>
      <diagonal/>
    </border>
    <border>
      <left/>
      <right/>
      <top/>
      <bottom style="medium">
        <color rgb="FFD22630"/>
      </bottom>
      <diagonal/>
    </border>
    <border>
      <left/>
      <right/>
      <top style="hair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D22630"/>
      </top>
      <bottom/>
      <diagonal/>
    </border>
    <border>
      <left/>
      <right/>
      <top/>
      <bottom style="thin">
        <color rgb="FFD22630"/>
      </bottom>
      <diagonal/>
    </border>
    <border>
      <left/>
      <right/>
      <top style="thin">
        <color rgb="FFD22630"/>
      </top>
      <bottom style="medium">
        <color rgb="FFD22630"/>
      </bottom>
      <diagonal/>
    </border>
    <border>
      <left/>
      <right/>
      <top style="hair">
        <color indexed="64"/>
      </top>
      <bottom style="thin">
        <color rgb="FFD22630"/>
      </bottom>
      <diagonal/>
    </border>
    <border>
      <left/>
      <right/>
      <top style="dotted">
        <color indexed="64"/>
      </top>
      <bottom style="thin">
        <color rgb="FFD22630"/>
      </bottom>
      <diagonal/>
    </border>
    <border>
      <left/>
      <right/>
      <top style="thin">
        <color indexed="64"/>
      </top>
      <bottom style="medium">
        <color rgb="FFD2263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2" fillId="0" borderId="0"/>
    <xf numFmtId="0" fontId="5" fillId="0" borderId="0" applyAlignment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4" borderId="21" applyNumberFormat="0" applyFont="0" applyAlignment="0" applyProtection="0"/>
  </cellStyleXfs>
  <cellXfs count="265">
    <xf numFmtId="0" fontId="0" fillId="0" borderId="0" xfId="0"/>
    <xf numFmtId="0" fontId="1" fillId="0" borderId="0" xfId="0" applyFont="1"/>
    <xf numFmtId="173" fontId="1" fillId="0" borderId="0" xfId="0" applyNumberFormat="1" applyFont="1"/>
    <xf numFmtId="173" fontId="0" fillId="0" borderId="0" xfId="0" applyNumberFormat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3" fontId="7" fillId="0" borderId="9" xfId="0" applyNumberFormat="1" applyFont="1" applyBorder="1" applyAlignment="1">
      <alignment horizontal="center"/>
    </xf>
    <xf numFmtId="166" fontId="7" fillId="0" borderId="9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3" fontId="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0" fontId="7" fillId="0" borderId="10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3" fontId="7" fillId="0" borderId="10" xfId="0" applyNumberFormat="1" applyFont="1" applyBorder="1" applyAlignment="1">
      <alignment horizontal="center"/>
    </xf>
    <xf numFmtId="166" fontId="7" fillId="0" borderId="10" xfId="0" applyNumberFormat="1" applyFont="1" applyBorder="1" applyAlignment="1">
      <alignment horizontal="center"/>
    </xf>
    <xf numFmtId="0" fontId="7" fillId="0" borderId="8" xfId="0" applyFont="1" applyBorder="1"/>
    <xf numFmtId="0" fontId="9" fillId="0" borderId="0" xfId="0" applyFont="1"/>
    <xf numFmtId="0" fontId="8" fillId="0" borderId="0" xfId="0" applyFont="1"/>
    <xf numFmtId="0" fontId="7" fillId="0" borderId="10" xfId="0" applyFont="1" applyBorder="1"/>
    <xf numFmtId="0" fontId="10" fillId="0" borderId="0" xfId="0" applyFont="1"/>
    <xf numFmtId="0" fontId="10" fillId="0" borderId="0" xfId="0" applyFont="1" applyAlignment="1">
      <alignment horizontal="left" indent="2"/>
    </xf>
    <xf numFmtId="0" fontId="10" fillId="0" borderId="0" xfId="0" applyFont="1" applyAlignment="1">
      <alignment horizontal="left" indent="3"/>
    </xf>
    <xf numFmtId="0" fontId="8" fillId="0" borderId="10" xfId="0" applyFont="1" applyBorder="1"/>
    <xf numFmtId="0" fontId="7" fillId="0" borderId="0" xfId="0" applyFont="1" applyAlignment="1">
      <alignment horizontal="centerContinuous"/>
    </xf>
    <xf numFmtId="10" fontId="7" fillId="0" borderId="10" xfId="0" applyNumberFormat="1" applyFont="1" applyBorder="1" applyAlignment="1">
      <alignment horizontal="centerContinuous"/>
    </xf>
    <xf numFmtId="3" fontId="8" fillId="0" borderId="0" xfId="0" applyNumberFormat="1" applyFont="1" applyAlignment="1">
      <alignment horizontal="center"/>
    </xf>
    <xf numFmtId="166" fontId="10" fillId="0" borderId="0" xfId="0" applyNumberFormat="1" applyFont="1" applyAlignment="1">
      <alignment horizontal="centerContinuous"/>
    </xf>
    <xf numFmtId="10" fontId="10" fillId="0" borderId="0" xfId="0" applyNumberFormat="1" applyFont="1" applyAlignment="1">
      <alignment horizontal="centerContinuous"/>
    </xf>
    <xf numFmtId="166" fontId="10" fillId="0" borderId="2" xfId="0" applyNumberFormat="1" applyFont="1" applyBorder="1" applyAlignment="1">
      <alignment horizontal="centerContinuous"/>
    </xf>
    <xf numFmtId="3" fontId="8" fillId="0" borderId="10" xfId="0" applyNumberFormat="1" applyFont="1" applyBorder="1" applyAlignment="1">
      <alignment horizontal="center"/>
    </xf>
    <xf numFmtId="176" fontId="7" fillId="0" borderId="0" xfId="0" applyNumberFormat="1" applyFont="1"/>
    <xf numFmtId="1" fontId="7" fillId="0" borderId="0" xfId="0" applyNumberFormat="1" applyFont="1"/>
    <xf numFmtId="1" fontId="10" fillId="0" borderId="0" xfId="0" applyNumberFormat="1" applyFont="1" applyAlignment="1">
      <alignment horizontal="center"/>
    </xf>
    <xf numFmtId="0" fontId="8" fillId="3" borderId="7" xfId="0" applyFont="1" applyFill="1" applyBorder="1"/>
    <xf numFmtId="166" fontId="8" fillId="3" borderId="7" xfId="0" applyNumberFormat="1" applyFont="1" applyFill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0" fontId="6" fillId="0" borderId="0" xfId="0" applyFont="1" applyAlignment="1">
      <alignment wrapText="1"/>
    </xf>
    <xf numFmtId="0" fontId="11" fillId="0" borderId="0" xfId="0" applyFont="1"/>
    <xf numFmtId="0" fontId="9" fillId="3" borderId="0" xfId="2" applyFont="1" applyFill="1"/>
    <xf numFmtId="0" fontId="9" fillId="3" borderId="0" xfId="2" applyFont="1" applyFill="1" applyAlignment="1">
      <alignment horizontal="center"/>
    </xf>
    <xf numFmtId="0" fontId="9" fillId="3" borderId="0" xfId="2" applyFont="1" applyFill="1" applyAlignment="1">
      <alignment horizontal="centerContinuous"/>
    </xf>
    <xf numFmtId="0" fontId="12" fillId="0" borderId="0" xfId="2" applyFont="1"/>
    <xf numFmtId="173" fontId="13" fillId="0" borderId="0" xfId="1" applyNumberFormat="1" applyFont="1" applyBorder="1"/>
    <xf numFmtId="171" fontId="13" fillId="0" borderId="0" xfId="2" applyNumberFormat="1" applyFont="1"/>
    <xf numFmtId="171" fontId="12" fillId="0" borderId="0" xfId="2" applyNumberFormat="1" applyFont="1"/>
    <xf numFmtId="169" fontId="12" fillId="0" borderId="0" xfId="2" applyNumberFormat="1" applyFont="1"/>
    <xf numFmtId="0" fontId="12" fillId="0" borderId="0" xfId="2" applyFont="1" applyAlignment="1">
      <alignment horizontal="left"/>
    </xf>
    <xf numFmtId="173" fontId="13" fillId="0" borderId="0" xfId="1" applyNumberFormat="1" applyFont="1"/>
    <xf numFmtId="44" fontId="13" fillId="0" borderId="0" xfId="2" applyNumberFormat="1" applyFont="1"/>
    <xf numFmtId="168" fontId="13" fillId="0" borderId="0" xfId="2" applyNumberFormat="1" applyFont="1"/>
    <xf numFmtId="166" fontId="12" fillId="0" borderId="0" xfId="2" applyNumberFormat="1" applyFont="1" applyAlignment="1">
      <alignment horizontal="right"/>
    </xf>
    <xf numFmtId="0" fontId="6" fillId="0" borderId="3" xfId="0" applyFont="1" applyBorder="1"/>
    <xf numFmtId="165" fontId="16" fillId="0" borderId="3" xfId="0" applyNumberFormat="1" applyFont="1" applyBorder="1" applyAlignment="1">
      <alignment horizontal="right"/>
    </xf>
    <xf numFmtId="170" fontId="16" fillId="0" borderId="3" xfId="0" applyNumberFormat="1" applyFont="1" applyBorder="1"/>
    <xf numFmtId="170" fontId="16" fillId="0" borderId="0" xfId="0" applyNumberFormat="1" applyFont="1" applyAlignment="1">
      <alignment horizontal="center"/>
    </xf>
    <xf numFmtId="173" fontId="6" fillId="0" borderId="0" xfId="0" applyNumberFormat="1" applyFont="1"/>
    <xf numFmtId="171" fontId="6" fillId="0" borderId="1" xfId="0" applyNumberFormat="1" applyFont="1" applyBorder="1" applyAlignment="1">
      <alignment horizontal="center"/>
    </xf>
    <xf numFmtId="0" fontId="6" fillId="0" borderId="11" xfId="0" applyFont="1" applyBorder="1"/>
    <xf numFmtId="165" fontId="16" fillId="0" borderId="11" xfId="0" applyNumberFormat="1" applyFont="1" applyBorder="1" applyAlignment="1">
      <alignment horizontal="right"/>
    </xf>
    <xf numFmtId="170" fontId="16" fillId="0" borderId="11" xfId="0" applyNumberFormat="1" applyFont="1" applyBorder="1"/>
    <xf numFmtId="171" fontId="6" fillId="0" borderId="12" xfId="0" applyNumberFormat="1" applyFont="1" applyBorder="1" applyAlignment="1">
      <alignment horizontal="center"/>
    </xf>
    <xf numFmtId="0" fontId="6" fillId="0" borderId="4" xfId="0" applyFont="1" applyBorder="1"/>
    <xf numFmtId="165" fontId="16" fillId="0" borderId="4" xfId="0" applyNumberFormat="1" applyFont="1" applyBorder="1" applyAlignment="1">
      <alignment horizontal="right"/>
    </xf>
    <xf numFmtId="170" fontId="16" fillId="0" borderId="4" xfId="0" applyNumberFormat="1" applyFont="1" applyBorder="1"/>
    <xf numFmtId="171" fontId="6" fillId="0" borderId="5" xfId="0" applyNumberFormat="1" applyFont="1" applyBorder="1" applyAlignment="1">
      <alignment horizontal="center"/>
    </xf>
    <xf numFmtId="0" fontId="6" fillId="0" borderId="13" xfId="0" applyFont="1" applyBorder="1"/>
    <xf numFmtId="165" fontId="16" fillId="0" borderId="6" xfId="0" applyNumberFormat="1" applyFont="1" applyBorder="1" applyAlignment="1">
      <alignment horizontal="right"/>
    </xf>
    <xf numFmtId="170" fontId="16" fillId="0" borderId="6" xfId="0" applyNumberFormat="1" applyFont="1" applyBorder="1"/>
    <xf numFmtId="171" fontId="6" fillId="0" borderId="6" xfId="0" applyNumberFormat="1" applyFont="1" applyBorder="1" applyAlignment="1">
      <alignment horizontal="center"/>
    </xf>
    <xf numFmtId="0" fontId="9" fillId="3" borderId="10" xfId="2" applyFont="1" applyFill="1" applyBorder="1"/>
    <xf numFmtId="0" fontId="9" fillId="3" borderId="10" xfId="2" applyFont="1" applyFill="1" applyBorder="1" applyAlignment="1">
      <alignment horizontal="center"/>
    </xf>
    <xf numFmtId="14" fontId="9" fillId="3" borderId="10" xfId="2" applyNumberFormat="1" applyFont="1" applyFill="1" applyBorder="1" applyAlignment="1">
      <alignment horizontal="center"/>
    </xf>
    <xf numFmtId="167" fontId="9" fillId="3" borderId="10" xfId="0" applyNumberFormat="1" applyFont="1" applyFill="1" applyBorder="1" applyAlignment="1">
      <alignment horizontal="center"/>
    </xf>
    <xf numFmtId="0" fontId="12" fillId="0" borderId="15" xfId="2" applyFont="1" applyBorder="1"/>
    <xf numFmtId="44" fontId="12" fillId="0" borderId="15" xfId="2" applyNumberFormat="1" applyFont="1" applyBorder="1"/>
    <xf numFmtId="172" fontId="12" fillId="0" borderId="15" xfId="2" applyNumberFormat="1" applyFont="1" applyBorder="1"/>
    <xf numFmtId="166" fontId="12" fillId="0" borderId="15" xfId="2" applyNumberFormat="1" applyFont="1" applyBorder="1"/>
    <xf numFmtId="43" fontId="12" fillId="0" borderId="0" xfId="2" applyNumberFormat="1" applyFont="1"/>
    <xf numFmtId="172" fontId="12" fillId="0" borderId="0" xfId="2" applyNumberFormat="1" applyFont="1"/>
    <xf numFmtId="166" fontId="12" fillId="0" borderId="0" xfId="2" applyNumberFormat="1" applyFont="1"/>
    <xf numFmtId="0" fontId="14" fillId="2" borderId="0" xfId="2" applyFont="1" applyFill="1"/>
    <xf numFmtId="44" fontId="14" fillId="2" borderId="0" xfId="2" applyNumberFormat="1" applyFont="1" applyFill="1"/>
    <xf numFmtId="172" fontId="14" fillId="2" borderId="0" xfId="2" applyNumberFormat="1" applyFont="1" applyFill="1"/>
    <xf numFmtId="166" fontId="14" fillId="2" borderId="0" xfId="2" applyNumberFormat="1" applyFont="1" applyFill="1"/>
    <xf numFmtId="0" fontId="14" fillId="0" borderId="0" xfId="2" applyFont="1"/>
    <xf numFmtId="0" fontId="12" fillId="0" borderId="16" xfId="2" applyFont="1" applyBorder="1"/>
    <xf numFmtId="0" fontId="14" fillId="0" borderId="16" xfId="2" applyFont="1" applyBorder="1"/>
    <xf numFmtId="43" fontId="12" fillId="0" borderId="16" xfId="2" applyNumberFormat="1" applyFont="1" applyBorder="1"/>
    <xf numFmtId="172" fontId="12" fillId="0" borderId="16" xfId="2" applyNumberFormat="1" applyFont="1" applyBorder="1"/>
    <xf numFmtId="166" fontId="12" fillId="0" borderId="16" xfId="2" applyNumberFormat="1" applyFont="1" applyBorder="1"/>
    <xf numFmtId="0" fontId="9" fillId="3" borderId="16" xfId="2" applyFont="1" applyFill="1" applyBorder="1"/>
    <xf numFmtId="0" fontId="9" fillId="3" borderId="16" xfId="2" applyFont="1" applyFill="1" applyBorder="1" applyAlignment="1">
      <alignment horizontal="center"/>
    </xf>
    <xf numFmtId="167" fontId="9" fillId="3" borderId="16" xfId="0" applyNumberFormat="1" applyFont="1" applyFill="1" applyBorder="1" applyAlignment="1">
      <alignment horizontal="center"/>
    </xf>
    <xf numFmtId="14" fontId="9" fillId="3" borderId="16" xfId="2" applyNumberFormat="1" applyFont="1" applyFill="1" applyBorder="1" applyAlignment="1">
      <alignment horizontal="center"/>
    </xf>
    <xf numFmtId="173" fontId="1" fillId="0" borderId="0" xfId="0" applyNumberFormat="1" applyFont="1" applyAlignment="1">
      <alignment horizontal="center"/>
    </xf>
    <xf numFmtId="0" fontId="6" fillId="0" borderId="18" xfId="0" applyFont="1" applyBorder="1"/>
    <xf numFmtId="165" fontId="16" fillId="0" borderId="18" xfId="0" applyNumberFormat="1" applyFont="1" applyBorder="1" applyAlignment="1">
      <alignment horizontal="right"/>
    </xf>
    <xf numFmtId="170" fontId="16" fillId="0" borderId="18" xfId="0" applyNumberFormat="1" applyFont="1" applyBorder="1"/>
    <xf numFmtId="171" fontId="6" fillId="0" borderId="19" xfId="0" applyNumberFormat="1" applyFont="1" applyBorder="1" applyAlignment="1">
      <alignment horizontal="center"/>
    </xf>
    <xf numFmtId="0" fontId="9" fillId="3" borderId="16" xfId="0" applyFont="1" applyFill="1" applyBorder="1"/>
    <xf numFmtId="0" fontId="6" fillId="3" borderId="16" xfId="0" applyFont="1" applyFill="1" applyBorder="1"/>
    <xf numFmtId="173" fontId="9" fillId="3" borderId="16" xfId="0" applyNumberFormat="1" applyFont="1" applyFill="1" applyBorder="1"/>
    <xf numFmtId="0" fontId="9" fillId="0" borderId="17" xfId="0" applyFont="1" applyBorder="1"/>
    <xf numFmtId="173" fontId="9" fillId="0" borderId="17" xfId="0" applyNumberFormat="1" applyFont="1" applyBorder="1"/>
    <xf numFmtId="0" fontId="9" fillId="3" borderId="15" xfId="0" applyFont="1" applyFill="1" applyBorder="1"/>
    <xf numFmtId="0" fontId="6" fillId="3" borderId="15" xfId="0" applyFont="1" applyFill="1" applyBorder="1"/>
    <xf numFmtId="173" fontId="9" fillId="3" borderId="15" xfId="1" applyNumberFormat="1" applyFont="1" applyFill="1" applyBorder="1"/>
    <xf numFmtId="177" fontId="7" fillId="0" borderId="0" xfId="8" applyNumberFormat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177" fontId="7" fillId="0" borderId="10" xfId="8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178" fontId="7" fillId="0" borderId="0" xfId="0" applyNumberFormat="1" applyFont="1" applyAlignment="1">
      <alignment horizontal="center"/>
    </xf>
    <xf numFmtId="178" fontId="7" fillId="0" borderId="2" xfId="0" applyNumberFormat="1" applyFont="1" applyBorder="1" applyAlignment="1">
      <alignment horizontal="center"/>
    </xf>
    <xf numFmtId="178" fontId="8" fillId="0" borderId="0" xfId="0" applyNumberFormat="1" applyFont="1" applyAlignment="1">
      <alignment horizontal="center"/>
    </xf>
    <xf numFmtId="178" fontId="8" fillId="0" borderId="10" xfId="0" applyNumberFormat="1" applyFont="1" applyBorder="1" applyAlignment="1">
      <alignment horizontal="center"/>
    </xf>
    <xf numFmtId="9" fontId="7" fillId="0" borderId="0" xfId="8" applyFont="1" applyAlignment="1">
      <alignment horizontal="center"/>
    </xf>
    <xf numFmtId="9" fontId="7" fillId="0" borderId="2" xfId="8" applyFont="1" applyBorder="1" applyAlignment="1">
      <alignment horizontal="center"/>
    </xf>
    <xf numFmtId="9" fontId="8" fillId="0" borderId="10" xfId="8" applyFont="1" applyBorder="1" applyAlignment="1">
      <alignment horizontal="center"/>
    </xf>
    <xf numFmtId="9" fontId="8" fillId="0" borderId="0" xfId="8" applyFont="1" applyBorder="1" applyAlignment="1">
      <alignment horizontal="center"/>
    </xf>
    <xf numFmtId="0" fontId="7" fillId="0" borderId="0" xfId="0" applyFont="1" applyAlignment="1">
      <alignment horizontal="left" indent="1"/>
    </xf>
    <xf numFmtId="0" fontId="7" fillId="0" borderId="2" xfId="0" applyFont="1" applyBorder="1"/>
    <xf numFmtId="0" fontId="10" fillId="0" borderId="2" xfId="0" applyFont="1" applyBorder="1" applyAlignment="1">
      <alignment horizontal="left" indent="2"/>
    </xf>
    <xf numFmtId="177" fontId="7" fillId="0" borderId="0" xfId="8" applyNumberFormat="1" applyFont="1" applyAlignment="1">
      <alignment horizontal="center"/>
    </xf>
    <xf numFmtId="177" fontId="7" fillId="0" borderId="2" xfId="8" applyNumberFormat="1" applyFont="1" applyBorder="1" applyAlignment="1">
      <alignment horizontal="center"/>
    </xf>
    <xf numFmtId="177" fontId="8" fillId="0" borderId="10" xfId="8" applyNumberFormat="1" applyFont="1" applyBorder="1" applyAlignment="1">
      <alignment horizontal="center"/>
    </xf>
    <xf numFmtId="1" fontId="17" fillId="0" borderId="9" xfId="0" applyNumberFormat="1" applyFont="1" applyBorder="1" applyAlignment="1">
      <alignment horizontal="centerContinuous"/>
    </xf>
    <xf numFmtId="37" fontId="17" fillId="0" borderId="2" xfId="0" applyNumberFormat="1" applyFont="1" applyBorder="1" applyAlignment="1">
      <alignment horizontal="centerContinuous"/>
    </xf>
    <xf numFmtId="177" fontId="8" fillId="3" borderId="7" xfId="8" applyNumberFormat="1" applyFont="1" applyFill="1" applyBorder="1" applyAlignment="1">
      <alignment horizontal="center"/>
    </xf>
    <xf numFmtId="177" fontId="7" fillId="0" borderId="8" xfId="8" applyNumberFormat="1" applyFont="1" applyBorder="1" applyAlignment="1">
      <alignment horizontal="center"/>
    </xf>
    <xf numFmtId="0" fontId="7" fillId="0" borderId="9" xfId="0" applyFont="1" applyBorder="1"/>
    <xf numFmtId="0" fontId="7" fillId="0" borderId="2" xfId="0" applyFont="1" applyBorder="1" applyAlignment="1">
      <alignment horizontal="center"/>
    </xf>
    <xf numFmtId="0" fontId="8" fillId="0" borderId="20" xfId="0" applyFont="1" applyBorder="1"/>
    <xf numFmtId="0" fontId="8" fillId="0" borderId="20" xfId="0" applyFont="1" applyBorder="1" applyAlignment="1">
      <alignment horizontal="center"/>
    </xf>
    <xf numFmtId="3" fontId="8" fillId="0" borderId="20" xfId="0" applyNumberFormat="1" applyFont="1" applyBorder="1" applyAlignment="1">
      <alignment horizontal="center"/>
    </xf>
    <xf numFmtId="171" fontId="6" fillId="0" borderId="14" xfId="0" applyNumberFormat="1" applyFont="1" applyBorder="1" applyAlignment="1">
      <alignment horizontal="center"/>
    </xf>
    <xf numFmtId="169" fontId="6" fillId="0" borderId="0" xfId="2" applyNumberFormat="1" applyFont="1"/>
    <xf numFmtId="171" fontId="6" fillId="0" borderId="0" xfId="2" applyNumberFormat="1" applyFont="1"/>
    <xf numFmtId="44" fontId="6" fillId="0" borderId="15" xfId="2" applyNumberFormat="1" applyFont="1" applyBorder="1"/>
    <xf numFmtId="171" fontId="6" fillId="0" borderId="15" xfId="2" applyNumberFormat="1" applyFont="1" applyBorder="1"/>
    <xf numFmtId="174" fontId="6" fillId="0" borderId="15" xfId="2" applyNumberFormat="1" applyFont="1" applyBorder="1"/>
    <xf numFmtId="169" fontId="6" fillId="0" borderId="15" xfId="2" applyNumberFormat="1" applyFont="1" applyBorder="1"/>
    <xf numFmtId="44" fontId="6" fillId="0" borderId="0" xfId="2" applyNumberFormat="1" applyFont="1"/>
    <xf numFmtId="174" fontId="6" fillId="0" borderId="0" xfId="2" applyNumberFormat="1" applyFont="1"/>
    <xf numFmtId="44" fontId="9" fillId="2" borderId="0" xfId="2" applyNumberFormat="1" applyFont="1" applyFill="1"/>
    <xf numFmtId="171" fontId="9" fillId="2" borderId="0" xfId="2" applyNumberFormat="1" applyFont="1" applyFill="1"/>
    <xf numFmtId="174" fontId="9" fillId="2" borderId="0" xfId="2" applyNumberFormat="1" applyFont="1" applyFill="1"/>
    <xf numFmtId="169" fontId="9" fillId="2" borderId="0" xfId="2" applyNumberFormat="1" applyFont="1" applyFill="1"/>
    <xf numFmtId="44" fontId="6" fillId="0" borderId="16" xfId="2" applyNumberFormat="1" applyFont="1" applyBorder="1"/>
    <xf numFmtId="171" fontId="6" fillId="0" borderId="16" xfId="2" applyNumberFormat="1" applyFont="1" applyBorder="1"/>
    <xf numFmtId="174" fontId="6" fillId="0" borderId="16" xfId="2" applyNumberFormat="1" applyFont="1" applyBorder="1"/>
    <xf numFmtId="169" fontId="6" fillId="0" borderId="16" xfId="2" applyNumberFormat="1" applyFont="1" applyBorder="1"/>
    <xf numFmtId="179" fontId="7" fillId="0" borderId="0" xfId="8" applyNumberFormat="1" applyFont="1" applyAlignment="1">
      <alignment horizontal="center"/>
    </xf>
    <xf numFmtId="179" fontId="7" fillId="0" borderId="2" xfId="8" applyNumberFormat="1" applyFont="1" applyBorder="1" applyAlignment="1">
      <alignment horizontal="center"/>
    </xf>
    <xf numFmtId="179" fontId="8" fillId="0" borderId="0" xfId="8" applyNumberFormat="1" applyFont="1" applyAlignment="1">
      <alignment horizontal="center"/>
    </xf>
    <xf numFmtId="179" fontId="8" fillId="0" borderId="10" xfId="8" applyNumberFormat="1" applyFont="1" applyBorder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/>
    <xf numFmtId="2" fontId="1" fillId="0" borderId="0" xfId="0" applyNumberFormat="1" applyFont="1"/>
    <xf numFmtId="181" fontId="1" fillId="0" borderId="0" xfId="0" applyNumberFormat="1" applyFont="1"/>
    <xf numFmtId="0" fontId="18" fillId="0" borderId="0" xfId="0" applyFont="1" applyAlignment="1">
      <alignment horizontal="left" indent="1"/>
    </xf>
    <xf numFmtId="9" fontId="18" fillId="0" borderId="0" xfId="8" applyFont="1"/>
    <xf numFmtId="0" fontId="8" fillId="0" borderId="2" xfId="0" applyFont="1" applyBorder="1" applyAlignment="1">
      <alignment horizontal="center"/>
    </xf>
    <xf numFmtId="9" fontId="7" fillId="0" borderId="0" xfId="8" applyFont="1"/>
    <xf numFmtId="171" fontId="7" fillId="0" borderId="0" xfId="0" applyNumberFormat="1" applyFont="1"/>
    <xf numFmtId="171" fontId="7" fillId="0" borderId="2" xfId="0" applyNumberFormat="1" applyFont="1" applyBorder="1"/>
    <xf numFmtId="171" fontId="8" fillId="0" borderId="0" xfId="0" applyNumberFormat="1" applyFont="1"/>
    <xf numFmtId="171" fontId="7" fillId="0" borderId="0" xfId="0" applyNumberFormat="1" applyFont="1" applyBorder="1"/>
    <xf numFmtId="9" fontId="7" fillId="0" borderId="0" xfId="8" applyFont="1" applyBorder="1"/>
    <xf numFmtId="0" fontId="7" fillId="0" borderId="0" xfId="0" applyFont="1" applyAlignment="1">
      <alignment horizontal="left" indent="3"/>
    </xf>
    <xf numFmtId="0" fontId="10" fillId="0" borderId="0" xfId="0" applyFont="1" applyAlignment="1">
      <alignment horizontal="left" indent="4"/>
    </xf>
    <xf numFmtId="0" fontId="8" fillId="0" borderId="0" xfId="0" applyFont="1" applyAlignment="1">
      <alignment horizontal="left" indent="1"/>
    </xf>
    <xf numFmtId="177" fontId="7" fillId="0" borderId="0" xfId="8" applyNumberFormat="1" applyFont="1"/>
    <xf numFmtId="9" fontId="7" fillId="0" borderId="2" xfId="8" applyFont="1" applyBorder="1"/>
    <xf numFmtId="190" fontId="19" fillId="0" borderId="0" xfId="8" applyNumberFormat="1" applyFont="1" applyBorder="1"/>
    <xf numFmtId="190" fontId="19" fillId="0" borderId="2" xfId="8" applyNumberFormat="1" applyFont="1" applyBorder="1"/>
    <xf numFmtId="190" fontId="19" fillId="0" borderId="0" xfId="8" applyNumberFormat="1" applyFont="1"/>
    <xf numFmtId="171" fontId="10" fillId="0" borderId="0" xfId="0" applyNumberFormat="1" applyFont="1"/>
    <xf numFmtId="171" fontId="10" fillId="0" borderId="2" xfId="0" applyNumberFormat="1" applyFont="1" applyBorder="1"/>
    <xf numFmtId="0" fontId="7" fillId="0" borderId="24" xfId="0" applyFont="1" applyBorder="1"/>
    <xf numFmtId="0" fontId="7" fillId="0" borderId="23" xfId="0" applyFont="1" applyBorder="1"/>
    <xf numFmtId="0" fontId="7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2" xfId="0" applyFont="1" applyBorder="1"/>
    <xf numFmtId="177" fontId="7" fillId="0" borderId="0" xfId="8" applyNumberFormat="1" applyFont="1" applyBorder="1"/>
    <xf numFmtId="177" fontId="7" fillId="0" borderId="2" xfId="8" applyNumberFormat="1" applyFont="1" applyBorder="1"/>
    <xf numFmtId="2" fontId="7" fillId="0" borderId="0" xfId="0" applyNumberFormat="1" applyFont="1" applyBorder="1"/>
    <xf numFmtId="2" fontId="7" fillId="0" borderId="2" xfId="0" applyNumberFormat="1" applyFont="1" applyBorder="1"/>
    <xf numFmtId="179" fontId="7" fillId="0" borderId="0" xfId="8" applyNumberFormat="1" applyFont="1" applyBorder="1"/>
    <xf numFmtId="179" fontId="7" fillId="0" borderId="2" xfId="8" applyNumberFormat="1" applyFont="1" applyBorder="1"/>
    <xf numFmtId="171" fontId="21" fillId="0" borderId="0" xfId="0" applyNumberFormat="1" applyFont="1"/>
    <xf numFmtId="171" fontId="21" fillId="0" borderId="2" xfId="0" applyNumberFormat="1" applyFont="1" applyBorder="1"/>
    <xf numFmtId="0" fontId="8" fillId="0" borderId="22" xfId="0" applyFont="1" applyBorder="1" applyAlignment="1">
      <alignment horizontal="right"/>
    </xf>
    <xf numFmtId="177" fontId="10" fillId="0" borderId="0" xfId="8" applyNumberFormat="1" applyFont="1"/>
    <xf numFmtId="2" fontId="7" fillId="0" borderId="24" xfId="0" applyNumberFormat="1" applyFont="1" applyBorder="1"/>
    <xf numFmtId="1" fontId="7" fillId="0" borderId="24" xfId="0" applyNumberFormat="1" applyFont="1" applyBorder="1"/>
    <xf numFmtId="177" fontId="7" fillId="0" borderId="24" xfId="8" applyNumberFormat="1" applyFont="1" applyBorder="1"/>
    <xf numFmtId="0" fontId="7" fillId="0" borderId="0" xfId="0" applyFont="1" applyBorder="1" applyAlignment="1">
      <alignment horizontal="center"/>
    </xf>
    <xf numFmtId="0" fontId="8" fillId="0" borderId="0" xfId="0" applyFont="1" applyFill="1" applyBorder="1"/>
    <xf numFmtId="0" fontId="7" fillId="0" borderId="0" xfId="0" applyFont="1" applyFill="1" applyBorder="1"/>
    <xf numFmtId="9" fontId="8" fillId="0" borderId="0" xfId="8" applyFont="1"/>
    <xf numFmtId="2" fontId="7" fillId="0" borderId="0" xfId="0" applyNumberFormat="1" applyFont="1"/>
    <xf numFmtId="177" fontId="7" fillId="0" borderId="0" xfId="0" applyNumberFormat="1" applyFont="1"/>
    <xf numFmtId="9" fontId="7" fillId="0" borderId="0" xfId="0" applyNumberFormat="1" applyFont="1"/>
    <xf numFmtId="37" fontId="7" fillId="0" borderId="0" xfId="0" applyNumberFormat="1" applyFont="1"/>
    <xf numFmtId="10" fontId="22" fillId="4" borderId="21" xfId="9" applyNumberFormat="1" applyFont="1"/>
    <xf numFmtId="9" fontId="22" fillId="4" borderId="21" xfId="9" applyNumberFormat="1" applyFont="1"/>
    <xf numFmtId="177" fontId="8" fillId="0" borderId="0" xfId="0" applyNumberFormat="1" applyFont="1"/>
    <xf numFmtId="0" fontId="8" fillId="3" borderId="0" xfId="0" applyFont="1" applyFill="1"/>
    <xf numFmtId="0" fontId="7" fillId="3" borderId="0" xfId="0" applyFont="1" applyFill="1"/>
    <xf numFmtId="0" fontId="8" fillId="3" borderId="0" xfId="0" applyFont="1" applyFill="1" applyAlignment="1">
      <alignment horizontal="centerContinuous"/>
    </xf>
    <xf numFmtId="171" fontId="8" fillId="3" borderId="0" xfId="0" applyNumberFormat="1" applyFont="1" applyFill="1"/>
    <xf numFmtId="177" fontId="8" fillId="3" borderId="0" xfId="0" applyNumberFormat="1" applyFont="1" applyFill="1"/>
    <xf numFmtId="0" fontId="8" fillId="0" borderId="23" xfId="0" applyFont="1" applyFill="1" applyBorder="1"/>
    <xf numFmtId="0" fontId="7" fillId="0" borderId="23" xfId="0" applyFont="1" applyFill="1" applyBorder="1"/>
    <xf numFmtId="171" fontId="8" fillId="0" borderId="23" xfId="0" applyNumberFormat="1" applyFont="1" applyFill="1" applyBorder="1"/>
    <xf numFmtId="0" fontId="20" fillId="0" borderId="0" xfId="0" applyFont="1"/>
    <xf numFmtId="0" fontId="8" fillId="5" borderId="0" xfId="0" applyFont="1" applyFill="1" applyAlignment="1">
      <alignment horizontal="centerContinuous"/>
    </xf>
    <xf numFmtId="0" fontId="8" fillId="5" borderId="23" xfId="0" applyFont="1" applyFill="1" applyBorder="1"/>
    <xf numFmtId="171" fontId="8" fillId="5" borderId="23" xfId="0" applyNumberFormat="1" applyFont="1" applyFill="1" applyBorder="1"/>
    <xf numFmtId="0" fontId="8" fillId="5" borderId="25" xfId="0" applyFont="1" applyFill="1" applyBorder="1"/>
    <xf numFmtId="171" fontId="8" fillId="5" borderId="25" xfId="0" applyNumberFormat="1" applyFont="1" applyFill="1" applyBorder="1"/>
    <xf numFmtId="177" fontId="10" fillId="0" borderId="0" xfId="8" applyNumberFormat="1" applyFont="1" applyFill="1"/>
    <xf numFmtId="0" fontId="23" fillId="0" borderId="22" xfId="0" applyFont="1" applyBorder="1" applyAlignment="1">
      <alignment horizontal="right"/>
    </xf>
    <xf numFmtId="0" fontId="23" fillId="0" borderId="2" xfId="0" applyFont="1" applyBorder="1" applyAlignment="1">
      <alignment horizontal="center"/>
    </xf>
    <xf numFmtId="171" fontId="22" fillId="0" borderId="0" xfId="0" applyNumberFormat="1" applyFont="1"/>
    <xf numFmtId="171" fontId="22" fillId="0" borderId="2" xfId="0" applyNumberFormat="1" applyFont="1" applyBorder="1"/>
    <xf numFmtId="171" fontId="22" fillId="0" borderId="0" xfId="0" applyNumberFormat="1" applyFont="1" applyBorder="1"/>
    <xf numFmtId="170" fontId="24" fillId="0" borderId="0" xfId="0" applyNumberFormat="1" applyFont="1"/>
    <xf numFmtId="171" fontId="24" fillId="0" borderId="0" xfId="0" applyNumberFormat="1" applyFont="1"/>
    <xf numFmtId="170" fontId="24" fillId="0" borderId="2" xfId="0" applyNumberFormat="1" applyFont="1" applyBorder="1"/>
    <xf numFmtId="171" fontId="24" fillId="0" borderId="2" xfId="0" applyNumberFormat="1" applyFont="1" applyBorder="1"/>
    <xf numFmtId="171" fontId="23" fillId="0" borderId="0" xfId="0" applyNumberFormat="1" applyFont="1"/>
    <xf numFmtId="0" fontId="22" fillId="0" borderId="0" xfId="0" applyFont="1" applyBorder="1"/>
    <xf numFmtId="0" fontId="22" fillId="0" borderId="2" xfId="0" applyFont="1" applyBorder="1"/>
    <xf numFmtId="177" fontId="22" fillId="0" borderId="0" xfId="8" applyNumberFormat="1" applyFont="1" applyBorder="1"/>
    <xf numFmtId="177" fontId="22" fillId="0" borderId="2" xfId="8" applyNumberFormat="1" applyFont="1" applyBorder="1"/>
    <xf numFmtId="1" fontId="22" fillId="0" borderId="0" xfId="0" applyNumberFormat="1" applyFont="1"/>
    <xf numFmtId="9" fontId="22" fillId="0" borderId="0" xfId="0" applyNumberFormat="1" applyFont="1"/>
    <xf numFmtId="1" fontId="22" fillId="0" borderId="2" xfId="0" applyNumberFormat="1" applyFont="1" applyBorder="1"/>
    <xf numFmtId="165" fontId="22" fillId="0" borderId="2" xfId="0" applyNumberFormat="1" applyFont="1" applyBorder="1"/>
    <xf numFmtId="177" fontId="22" fillId="0" borderId="2" xfId="0" applyNumberFormat="1" applyFont="1" applyBorder="1"/>
    <xf numFmtId="9" fontId="10" fillId="0" borderId="23" xfId="0" applyNumberFormat="1" applyFont="1" applyBorder="1"/>
    <xf numFmtId="9" fontId="10" fillId="0" borderId="0" xfId="0" applyNumberFormat="1" applyFont="1" applyBorder="1"/>
    <xf numFmtId="9" fontId="10" fillId="0" borderId="2" xfId="0" applyNumberFormat="1" applyFont="1" applyBorder="1"/>
    <xf numFmtId="9" fontId="24" fillId="0" borderId="23" xfId="0" applyNumberFormat="1" applyFont="1" applyBorder="1"/>
    <xf numFmtId="9" fontId="24" fillId="0" borderId="0" xfId="0" applyNumberFormat="1" applyFont="1" applyBorder="1"/>
    <xf numFmtId="9" fontId="24" fillId="0" borderId="2" xfId="0" applyNumberFormat="1" applyFont="1" applyBorder="1"/>
    <xf numFmtId="0" fontId="9" fillId="0" borderId="24" xfId="0" applyFont="1" applyBorder="1"/>
    <xf numFmtId="0" fontId="9" fillId="0" borderId="24" xfId="0" applyFont="1" applyBorder="1" applyAlignment="1">
      <alignment horizontal="right"/>
    </xf>
    <xf numFmtId="173" fontId="9" fillId="0" borderId="24" xfId="0" applyNumberFormat="1" applyFont="1" applyBorder="1" applyAlignment="1">
      <alignment horizontal="right"/>
    </xf>
    <xf numFmtId="171" fontId="9" fillId="0" borderId="24" xfId="0" applyNumberFormat="1" applyFont="1" applyBorder="1" applyAlignment="1">
      <alignment horizontal="right"/>
    </xf>
    <xf numFmtId="171" fontId="9" fillId="0" borderId="24" xfId="2" applyNumberFormat="1" applyFont="1" applyBorder="1"/>
    <xf numFmtId="171" fontId="15" fillId="0" borderId="24" xfId="2" applyNumberFormat="1" applyFont="1" applyBorder="1"/>
    <xf numFmtId="171" fontId="15" fillId="0" borderId="24" xfId="2" applyNumberFormat="1" applyFont="1" applyBorder="1" applyAlignment="1">
      <alignment horizontal="right"/>
    </xf>
    <xf numFmtId="169" fontId="9" fillId="0" borderId="24" xfId="2" applyNumberFormat="1" applyFont="1" applyBorder="1"/>
    <xf numFmtId="0" fontId="9" fillId="0" borderId="24" xfId="2" applyFont="1" applyBorder="1"/>
    <xf numFmtId="44" fontId="9" fillId="0" borderId="24" xfId="2" applyNumberFormat="1" applyFont="1" applyBorder="1"/>
    <xf numFmtId="42" fontId="9" fillId="0" borderId="24" xfId="2" applyNumberFormat="1" applyFont="1" applyBorder="1" applyAlignment="1">
      <alignment horizontal="right"/>
    </xf>
    <xf numFmtId="165" fontId="9" fillId="0" borderId="24" xfId="2" applyNumberFormat="1" applyFont="1" applyBorder="1" applyAlignment="1">
      <alignment horizontal="right"/>
    </xf>
  </cellXfs>
  <cellStyles count="10">
    <cellStyle name="_x000a_386grabber=M" xfId="3" xr:uid="{B5EBA3B7-2A9B-4488-8014-D15FD9ED2C5F}"/>
    <cellStyle name="Currency" xfId="1" builtinId="4"/>
    <cellStyle name="Normal" xfId="0" builtinId="0"/>
    <cellStyle name="Normal 2" xfId="2" xr:uid="{8CC887B4-D342-4C4D-82B9-A1059EE5B0A9}"/>
    <cellStyle name="Normal 3 2" xfId="4" xr:uid="{34B319A1-3AD0-437B-95B5-57CD00997DC9}"/>
    <cellStyle name="Normal 3 4" xfId="7" xr:uid="{CB81A57A-9C76-4301-82B1-D38B9A9E8993}"/>
    <cellStyle name="Normal 5 2" xfId="6" xr:uid="{CF30E174-F2BF-4E04-B943-AE4D13E8E4F2}"/>
    <cellStyle name="Note" xfId="9" builtinId="10"/>
    <cellStyle name="Percent" xfId="8" builtinId="5"/>
    <cellStyle name="TextNormal" xfId="5" xr:uid="{D58C7F96-63AA-4445-AD59-002F28B42DDC}"/>
  </cellStyles>
  <dxfs count="0"/>
  <tableStyles count="0" defaultTableStyle="TableStyleMedium2" defaultPivotStyle="PivotStyleLight16"/>
  <colors>
    <mruColors>
      <color rgb="FF0033CC"/>
      <color rgb="FFFFEFEF"/>
      <color rgb="FFFFF7F7"/>
      <color rgb="FFFFEBEB"/>
      <color rgb="FFDDDDDD"/>
      <color rgb="FFFFD9D9"/>
      <color rgb="FFD22630"/>
      <color rgb="FF606060"/>
      <color rgb="FF0000FF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8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/>
              <a:t>Range of Implied </a:t>
            </a:r>
            <a:r>
              <a:rPr lang="en-US" sz="1400" b="1" baseline="0"/>
              <a:t>Equity Value and Enterprise Value</a:t>
            </a:r>
            <a:endParaRPr lang="en-US" sz="1000" b="0" i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4"/>
          <c:order val="0"/>
          <c:tx>
            <c:strRef>
              <c:f>Presentation!$H$1</c:f>
              <c:strCache>
                <c:ptCount val="1"/>
              </c:strCache>
            </c:strRef>
          </c:tx>
          <c:spPr>
            <a:noFill/>
          </c:spPr>
          <c:invertIfNegative val="0"/>
          <c:cat>
            <c:strRef>
              <c:f>Presentation!$B$3:$B$14</c:f>
              <c:strCache>
                <c:ptCount val="12"/>
                <c:pt idx="0">
                  <c:v>FY26E - P / E Multiple</c:v>
                </c:pt>
                <c:pt idx="1">
                  <c:v>FY25E - P / E Multiple</c:v>
                </c:pt>
                <c:pt idx="2">
                  <c:v>FY25E - P / E Multiple</c:v>
                </c:pt>
                <c:pt idx="3">
                  <c:v>FY26E - EV / EBIT</c:v>
                </c:pt>
                <c:pt idx="4">
                  <c:v>FY25E - EV / EBIT</c:v>
                </c:pt>
                <c:pt idx="5">
                  <c:v>LTM - EV / EBIT</c:v>
                </c:pt>
                <c:pt idx="6">
                  <c:v>FY26E - EV / EBITDA</c:v>
                </c:pt>
                <c:pt idx="7">
                  <c:v>FY25E - EV / EBITDA</c:v>
                </c:pt>
                <c:pt idx="8">
                  <c:v>LTM - EV / EBITDA</c:v>
                </c:pt>
                <c:pt idx="9">
                  <c:v>FY26E - EV / Revenue</c:v>
                </c:pt>
                <c:pt idx="10">
                  <c:v>FY25E - EV / Revenue</c:v>
                </c:pt>
                <c:pt idx="11">
                  <c:v>LTM - EV / Revenue</c:v>
                </c:pt>
              </c:strCache>
            </c:strRef>
          </c:cat>
          <c:val>
            <c:numRef>
              <c:f>Presentation!$H$3:$H$14</c:f>
              <c:numCache>
                <c:formatCode>_([$$-409]* #,##0.00_);_([$$-409]* \(#,##0.00\);_([$$-409]* "-"??_);_(@_)</c:formatCode>
                <c:ptCount val="12"/>
                <c:pt idx="0">
                  <c:v>659.61243037573536</c:v>
                </c:pt>
                <c:pt idx="1">
                  <c:v>556.60851730489787</c:v>
                </c:pt>
                <c:pt idx="2">
                  <c:v>740.22917888860979</c:v>
                </c:pt>
                <c:pt idx="3">
                  <c:v>344.89544406812496</c:v>
                </c:pt>
                <c:pt idx="4">
                  <c:v>302.46998263985438</c:v>
                </c:pt>
                <c:pt idx="5">
                  <c:v>364.21630421114077</c:v>
                </c:pt>
                <c:pt idx="6">
                  <c:v>373.29285678373992</c:v>
                </c:pt>
                <c:pt idx="7">
                  <c:v>357.85689750097754</c:v>
                </c:pt>
                <c:pt idx="8">
                  <c:v>396.3967302986</c:v>
                </c:pt>
                <c:pt idx="9">
                  <c:v>156.41505544984497</c:v>
                </c:pt>
                <c:pt idx="10">
                  <c:v>163.28243761257616</c:v>
                </c:pt>
                <c:pt idx="11">
                  <c:v>180.07384583989028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1EA-4D92-B7BD-B58B14CD512A}"/>
            </c:ext>
          </c:extLst>
        </c:ser>
        <c:ser>
          <c:idx val="5"/>
          <c:order val="1"/>
          <c:tx>
            <c:strRef>
              <c:f>Presentation!$I$1</c:f>
              <c:strCache>
                <c:ptCount val="1"/>
              </c:strCache>
            </c:strRef>
          </c:tx>
          <c:spPr>
            <a:noFill/>
          </c:spPr>
          <c:invertIfNegative val="0"/>
          <c:cat>
            <c:strRef>
              <c:f>Presentation!$B$3:$B$14</c:f>
              <c:strCache>
                <c:ptCount val="12"/>
                <c:pt idx="0">
                  <c:v>FY26E - P / E Multiple</c:v>
                </c:pt>
                <c:pt idx="1">
                  <c:v>FY25E - P / E Multiple</c:v>
                </c:pt>
                <c:pt idx="2">
                  <c:v>FY25E - P / E Multiple</c:v>
                </c:pt>
                <c:pt idx="3">
                  <c:v>FY26E - EV / EBIT</c:v>
                </c:pt>
                <c:pt idx="4">
                  <c:v>FY25E - EV / EBIT</c:v>
                </c:pt>
                <c:pt idx="5">
                  <c:v>LTM - EV / EBIT</c:v>
                </c:pt>
                <c:pt idx="6">
                  <c:v>FY26E - EV / EBITDA</c:v>
                </c:pt>
                <c:pt idx="7">
                  <c:v>FY25E - EV / EBITDA</c:v>
                </c:pt>
                <c:pt idx="8">
                  <c:v>LTM - EV / EBITDA</c:v>
                </c:pt>
                <c:pt idx="9">
                  <c:v>FY26E - EV / Revenue</c:v>
                </c:pt>
                <c:pt idx="10">
                  <c:v>FY25E - EV / Revenue</c:v>
                </c:pt>
                <c:pt idx="11">
                  <c:v>LTM - EV / Revenue</c:v>
                </c:pt>
              </c:strCache>
            </c:strRef>
          </c:cat>
          <c:val>
            <c:numRef>
              <c:f>Presentation!$I$3:$I$14</c:f>
              <c:numCache>
                <c:formatCode>_([$$-409]* #,##0.00_);_([$$-409]* \(#,##0.00\);_([$$-409]* "-"??_);_(@_)</c:formatCode>
                <c:ptCount val="12"/>
                <c:pt idx="0">
                  <c:v>314.00783021989957</c:v>
                </c:pt>
                <c:pt idx="1">
                  <c:v>444.44480460128329</c:v>
                </c:pt>
                <c:pt idx="2">
                  <c:v>487.02638290889672</c:v>
                </c:pt>
                <c:pt idx="3">
                  <c:v>518.92370005732005</c:v>
                </c:pt>
                <c:pt idx="4">
                  <c:v>395.40822796871748</c:v>
                </c:pt>
                <c:pt idx="5">
                  <c:v>807.59560090711557</c:v>
                </c:pt>
                <c:pt idx="6">
                  <c:v>842.38783377449374</c:v>
                </c:pt>
                <c:pt idx="7">
                  <c:v>919.0935555194169</c:v>
                </c:pt>
                <c:pt idx="8">
                  <c:v>1145.6538703688107</c:v>
                </c:pt>
                <c:pt idx="9">
                  <c:v>544.3552951399115</c:v>
                </c:pt>
                <c:pt idx="10">
                  <c:v>548.62717712653853</c:v>
                </c:pt>
                <c:pt idx="11">
                  <c:v>565.59393618956881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1EA-4D92-B7BD-B58B14CD512A}"/>
            </c:ext>
          </c:extLst>
        </c:ser>
        <c:ser>
          <c:idx val="6"/>
          <c:order val="2"/>
          <c:tx>
            <c:v>25th to Median Point</c:v>
          </c:tx>
          <c:spPr>
            <a:solidFill>
              <a:srgbClr val="D22630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Presentation!$B$3:$B$14</c:f>
              <c:strCache>
                <c:ptCount val="12"/>
                <c:pt idx="0">
                  <c:v>FY26E - P / E Multiple</c:v>
                </c:pt>
                <c:pt idx="1">
                  <c:v>FY25E - P / E Multiple</c:v>
                </c:pt>
                <c:pt idx="2">
                  <c:v>FY25E - P / E Multiple</c:v>
                </c:pt>
                <c:pt idx="3">
                  <c:v>FY26E - EV / EBIT</c:v>
                </c:pt>
                <c:pt idx="4">
                  <c:v>FY25E - EV / EBIT</c:v>
                </c:pt>
                <c:pt idx="5">
                  <c:v>LTM - EV / EBIT</c:v>
                </c:pt>
                <c:pt idx="6">
                  <c:v>FY26E - EV / EBITDA</c:v>
                </c:pt>
                <c:pt idx="7">
                  <c:v>FY25E - EV / EBITDA</c:v>
                </c:pt>
                <c:pt idx="8">
                  <c:v>LTM - EV / EBITDA</c:v>
                </c:pt>
                <c:pt idx="9">
                  <c:v>FY26E - EV / Revenue</c:v>
                </c:pt>
                <c:pt idx="10">
                  <c:v>FY25E - EV / Revenue</c:v>
                </c:pt>
                <c:pt idx="11">
                  <c:v>LTM - EV / Revenue</c:v>
                </c:pt>
              </c:strCache>
            </c:strRef>
          </c:cat>
          <c:val>
            <c:numRef>
              <c:f>Presentation!$J$3:$J$14</c:f>
              <c:numCache>
                <c:formatCode>_([$$-409]* #,##0.00_);_([$$-409]* \(#,##0.00\);_([$$-409]* "-"??_);_(@_)</c:formatCode>
                <c:ptCount val="12"/>
                <c:pt idx="0">
                  <c:v>436.70326369685847</c:v>
                </c:pt>
                <c:pt idx="1">
                  <c:v>542.20792971564254</c:v>
                </c:pt>
                <c:pt idx="2">
                  <c:v>218.96309494839761</c:v>
                </c:pt>
                <c:pt idx="3">
                  <c:v>611.98800243822802</c:v>
                </c:pt>
                <c:pt idx="4">
                  <c:v>429.05716465219825</c:v>
                </c:pt>
                <c:pt idx="5">
                  <c:v>146.28457094554255</c:v>
                </c:pt>
                <c:pt idx="6">
                  <c:v>982.03514622111993</c:v>
                </c:pt>
                <c:pt idx="7">
                  <c:v>920.76538375895916</c:v>
                </c:pt>
                <c:pt idx="8">
                  <c:v>655.66523611194293</c:v>
                </c:pt>
                <c:pt idx="9">
                  <c:v>572.78631475805457</c:v>
                </c:pt>
                <c:pt idx="10">
                  <c:v>533.56750615791952</c:v>
                </c:pt>
                <c:pt idx="11">
                  <c:v>501.05206740583446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1EA-4D92-B7BD-B58B14CD512A}"/>
            </c:ext>
          </c:extLst>
        </c:ser>
        <c:ser>
          <c:idx val="7"/>
          <c:order val="3"/>
          <c:tx>
            <c:v>75th to Median Point</c:v>
          </c:tx>
          <c:spPr>
            <a:solidFill>
              <a:srgbClr val="DDDDDD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Presentation!$B$3:$B$14</c:f>
              <c:strCache>
                <c:ptCount val="12"/>
                <c:pt idx="0">
                  <c:v>FY26E - P / E Multiple</c:v>
                </c:pt>
                <c:pt idx="1">
                  <c:v>FY25E - P / E Multiple</c:v>
                </c:pt>
                <c:pt idx="2">
                  <c:v>FY25E - P / E Multiple</c:v>
                </c:pt>
                <c:pt idx="3">
                  <c:v>FY26E - EV / EBIT</c:v>
                </c:pt>
                <c:pt idx="4">
                  <c:v>FY25E - EV / EBIT</c:v>
                </c:pt>
                <c:pt idx="5">
                  <c:v>LTM - EV / EBIT</c:v>
                </c:pt>
                <c:pt idx="6">
                  <c:v>FY26E - EV / EBITDA</c:v>
                </c:pt>
                <c:pt idx="7">
                  <c:v>FY25E - EV / EBITDA</c:v>
                </c:pt>
                <c:pt idx="8">
                  <c:v>LTM - EV / EBITDA</c:v>
                </c:pt>
                <c:pt idx="9">
                  <c:v>FY26E - EV / Revenue</c:v>
                </c:pt>
                <c:pt idx="10">
                  <c:v>FY25E - EV / Revenue</c:v>
                </c:pt>
                <c:pt idx="11">
                  <c:v>LTM - EV / Revenue</c:v>
                </c:pt>
              </c:strCache>
            </c:strRef>
          </c:cat>
          <c:val>
            <c:numRef>
              <c:f>Presentation!$K$3:$K$14</c:f>
              <c:numCache>
                <c:formatCode>_([$$-409]* #,##0.00_);_([$$-409]* \(#,##0.00\);_([$$-409]* "-"??_);_(@_)</c:formatCode>
                <c:ptCount val="12"/>
                <c:pt idx="0">
                  <c:v>594.4812980236843</c:v>
                </c:pt>
                <c:pt idx="1">
                  <c:v>375.53447789129859</c:v>
                </c:pt>
                <c:pt idx="2">
                  <c:v>66.726374203053865</c:v>
                </c:pt>
                <c:pt idx="3">
                  <c:v>384.80454890698684</c:v>
                </c:pt>
                <c:pt idx="4">
                  <c:v>441.80256847528017</c:v>
                </c:pt>
                <c:pt idx="5">
                  <c:v>183.66088914181842</c:v>
                </c:pt>
                <c:pt idx="6">
                  <c:v>1002.1151350462374</c:v>
                </c:pt>
                <c:pt idx="7">
                  <c:v>1174.3923145250697</c:v>
                </c:pt>
                <c:pt idx="8">
                  <c:v>1038.4566893048627</c:v>
                </c:pt>
                <c:pt idx="9">
                  <c:v>2711.9838640865937</c:v>
                </c:pt>
                <c:pt idx="10">
                  <c:v>2951.619623157414</c:v>
                </c:pt>
                <c:pt idx="11">
                  <c:v>3100.4071815078833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1EA-4D92-B7BD-B58B14CD5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9972096"/>
        <c:axId val="899981696"/>
        <c:extLst/>
      </c:barChart>
      <c:catAx>
        <c:axId val="899972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9981696"/>
        <c:crosses val="autoZero"/>
        <c:auto val="1"/>
        <c:lblAlgn val="ctr"/>
        <c:lblOffset val="100"/>
        <c:noMultiLvlLbl val="0"/>
      </c:catAx>
      <c:valAx>
        <c:axId val="89998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997209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60606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solidFill>
                  <a:srgbClr val="60606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REVENUE BY GEOGRAPHY (2023)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60606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99800508465774"/>
          <c:y val="0.19983911083918873"/>
          <c:w val="0.65734542508037175"/>
          <c:h val="0.742393035071652"/>
        </c:manualLayout>
      </c:layout>
      <c:pieChart>
        <c:varyColors val="1"/>
        <c:ser>
          <c:idx val="0"/>
          <c:order val="0"/>
          <c:tx>
            <c:strRef>
              <c:f>Presentation!$I$26</c:f>
              <c:strCache>
                <c:ptCount val="1"/>
                <c:pt idx="0">
                  <c:v>REVENUE BY GEOGRAPHY</c:v>
                </c:pt>
              </c:strCache>
            </c:strRef>
          </c:tx>
          <c:spPr>
            <a:solidFill>
              <a:srgbClr val="D22630"/>
            </a:solidFill>
          </c:spPr>
          <c:dPt>
            <c:idx val="0"/>
            <c:bubble3D val="0"/>
            <c:spPr>
              <a:solidFill>
                <a:srgbClr val="D2263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108-4111-A942-69D3FCFB272C}"/>
              </c:ext>
            </c:extLst>
          </c:dPt>
          <c:dPt>
            <c:idx val="1"/>
            <c:bubble3D val="0"/>
            <c:spPr>
              <a:solidFill>
                <a:srgbClr val="FFB9B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08-4111-A942-69D3FCFB272C}"/>
              </c:ext>
            </c:extLst>
          </c:dPt>
          <c:dPt>
            <c:idx val="2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108-4111-A942-69D3FCFB272C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08-4111-A942-69D3FCFB272C}"/>
              </c:ext>
            </c:extLst>
          </c:dPt>
          <c:dLbls>
            <c:dLbl>
              <c:idx val="0"/>
              <c:layout>
                <c:manualLayout>
                  <c:x val="6.5457975655134948E-2"/>
                  <c:y val="-3.136602355337510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108-4111-A942-69D3FCFB272C}"/>
                </c:ext>
              </c:extLst>
            </c:dLbl>
            <c:dLbl>
              <c:idx val="1"/>
              <c:layout>
                <c:manualLayout>
                  <c:x val="-6.3476098975224229E-2"/>
                  <c:y val="5.9343256810831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108-4111-A942-69D3FCFB272C}"/>
                </c:ext>
              </c:extLst>
            </c:dLbl>
            <c:dLbl>
              <c:idx val="2"/>
              <c:layout>
                <c:manualLayout>
                  <c:x val="-8.4722494153106301E-2"/>
                  <c:y val="4.3803938483053199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sz="1050" b="1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108-4111-A942-69D3FCFB272C}"/>
                </c:ext>
              </c:extLst>
            </c:dLbl>
            <c:dLbl>
              <c:idx val="3"/>
              <c:layout>
                <c:manualLayout>
                  <c:x val="3.7038002863879149E-2"/>
                  <c:y val="-1.432469304229195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08-4111-A942-69D3FCFB272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15875" cap="flat" cmpd="sng" algn="ctr">
                  <a:solidFill>
                    <a:srgbClr val="606060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Presentation!$I$28:$I$31</c:f>
              <c:strCache>
                <c:ptCount val="4"/>
                <c:pt idx="0">
                  <c:v>São Paulo</c:v>
                </c:pt>
                <c:pt idx="1">
                  <c:v>Rio de Janeiro</c:v>
                </c:pt>
                <c:pt idx="2">
                  <c:v>Ceará</c:v>
                </c:pt>
                <c:pt idx="3">
                  <c:v>Santiago</c:v>
                </c:pt>
              </c:strCache>
            </c:strRef>
          </c:cat>
          <c:val>
            <c:numRef>
              <c:f>Presentation!$N$28:$N$31</c:f>
              <c:numCache>
                <c:formatCode>0.0%</c:formatCode>
                <c:ptCount val="4"/>
                <c:pt idx="0">
                  <c:v>0.84757037717019601</c:v>
                </c:pt>
                <c:pt idx="1">
                  <c:v>7.147295845602758E-2</c:v>
                </c:pt>
                <c:pt idx="2">
                  <c:v>3.6610156560516922E-2</c:v>
                </c:pt>
                <c:pt idx="3">
                  <c:v>4.4346507813259467E-2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8-4111-A942-69D3FCFB272C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miter lim="800000"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156882</xdr:colOff>
      <xdr:row>1</xdr:row>
      <xdr:rowOff>3922</xdr:rowOff>
    </xdr:from>
    <xdr:to>
      <xdr:col>11</xdr:col>
      <xdr:colOff>776567</xdr:colOff>
      <xdr:row>23</xdr:row>
      <xdr:rowOff>108697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2D420D-DFAD-4F16-ADDB-9E8135A05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347386</xdr:colOff>
      <xdr:row>32</xdr:row>
      <xdr:rowOff>146795</xdr:rowOff>
    </xdr:from>
    <xdr:to>
      <xdr:col>13</xdr:col>
      <xdr:colOff>1008531</xdr:colOff>
      <xdr:row>50</xdr:row>
      <xdr:rowOff>112057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78B8AB-5D65-DBD1-0E4F-EB8093E3F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0.83527</cdr:x>
      <cdr:y>0.00209</cdr:y>
    </cdr:from>
    <cdr:to>
      <cdr:x>1</cdr:x>
      <cdr:y>0.05858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6D3B210-0681-9D99-3C8E-DAEA03B05F47}"/>
            </a:ext>
          </a:extLst>
        </cdr:cNvPr>
        <cdr:cNvSpPr txBox="1"/>
      </cdr:nvSpPr>
      <cdr:spPr>
        <a:xfrm xmlns:a="http://schemas.openxmlformats.org/drawingml/2006/main">
          <a:off x="5823777" y="9525"/>
          <a:ext cx="1148522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 i="1" baseline="0">
              <a:effectLst/>
            </a:rPr>
            <a:t>(VALUES IN US$ MM)</a:t>
          </a:r>
          <a:endParaRPr lang="en-US" sz="900" kern="12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ugusto\Documents\Breaking%20Into%20IB\M2\7%20-%20Valuation%20and%20DCF%20Cases\07-Valuation-DCF-Analysis-Files\07-STLD-Valuation-DCF-Complete%20@InsightSquad%20Telegram.xlsx" TargetMode="External"/><Relationship Id="rId1" Type="http://schemas.openxmlformats.org/officeDocument/2006/relationships/externalLinkPath" Target="/Users/Augusto/Documents/Breaking%20Into%20IB/M2/7%20-%20Valuation%20and%20DCF%20Cases/07-Valuation-DCF-Analysis-Files/07-STLD-Valuation-DCF-Complete%20@InsightSquad%20Telegram.xlsx" TargetMode="External"/></Relationships>
</file>

<file path=xl/externalLinks/_rels/externalLink2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mackenzie365-my.sharepoint.com/personal/10382749_mackenzista_com_br/Documents/Documentos/BIWS/Financial%20Modeling/7%20-%202-hour%20Valuation%20and%20DCF%20Case%20Study%20(Steel%20Dynamics)/07_Valuation_DCF_Analysis_Files/07-11-WACC-Calculation-Interpretation-After%20@InsightSquad%20Te.xlsx" TargetMode="External"/><Relationship Id="rId2" Type="http://schemas.microsoft.com/office/2019/04/relationships/externalLinkLongPath" Target="https://mackenzie365-my.sharepoint.com/personal/10382749_mackenzista_com_br/Documents/Documentos/BIWS/Financial%20Modeling/7%20-%202-hour%20Valuation%20and%20DCF%20Case%20Study%20(Steel%20Dynamics)/07_Valuation_DCF_Analysis_Files/07-11-WACC-Calculation-Interpretation-After%20@InsightSquad%20Te.xlsx?93AF35D4" TargetMode="External"/><Relationship Id="rId1" Type="http://schemas.openxmlformats.org/officeDocument/2006/relationships/externalLinkPath" Target="file:///\\93AF35D4\07-11-WACC-Calculation-Interpretation-After%20@InsightSquad%20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LD-DCF"/>
      <sheetName val="WACC"/>
      <sheetName val="Public-Comps"/>
      <sheetName val="M&amp;A-Comps"/>
      <sheetName val="ValSum"/>
      <sheetName val="ValGraph"/>
    </sheetNames>
    <sheetDataSet>
      <sheetData sheetId="0">
        <row r="8">
          <cell r="F8" t="str">
            <v>Steel Dynamics Inc.</v>
          </cell>
        </row>
        <row r="9">
          <cell r="F9" t="str">
            <v>STLD</v>
          </cell>
        </row>
      </sheetData>
      <sheetData sheetId="1">
        <row r="6">
          <cell r="F6">
            <v>1.55E-2</v>
          </cell>
        </row>
      </sheetData>
      <sheetData sheetId="2">
        <row r="8">
          <cell r="C8" t="str">
            <v>X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STLD-DCF"/>
      <sheetName val="WACC"/>
      <sheetName val="Public-Comps"/>
      <sheetName val="M&amp;A-Comps"/>
      <sheetName val="ValSum"/>
      <sheetName val="ValGraph"/>
    </sheetNames>
    <sheetDataSet>
      <sheetData sheetId="0">
        <row r="13">
          <cell r="F13">
            <v>0.4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0707-1A5E-4EEB-AEF1-BCFE2E538371}">
  <dimension ref="A1:AE42"/>
  <sheetViews>
    <sheetView showGridLines="0" tabSelected="1" zoomScaleNormal="100" workbookViewId="0">
      <selection activeCell="C25" sqref="C25"/>
    </sheetView>
  </sheetViews>
  <sheetFormatPr defaultRowHeight="15" outlineLevelCol="1" x14ac:dyDescent="0.25"/>
  <cols>
    <col min="1" max="1" width="2.7109375" style="42" customWidth="1"/>
    <col min="2" max="2" width="42.140625" style="5" bestFit="1" customWidth="1"/>
    <col min="3" max="3" width="9.140625" style="5"/>
    <col min="4" max="4" width="16.5703125" style="5" customWidth="1"/>
    <col min="5" max="5" width="13.7109375" style="5" hidden="1" customWidth="1" outlineLevel="1"/>
    <col min="6" max="6" width="13.5703125" style="5" hidden="1" customWidth="1" outlineLevel="1"/>
    <col min="7" max="7" width="13.7109375" style="5" customWidth="1" collapsed="1"/>
    <col min="8" max="11" width="11.7109375" style="5" hidden="1" customWidth="1" outlineLevel="1"/>
    <col min="12" max="12" width="11.5703125" style="5" bestFit="1" customWidth="1" collapsed="1"/>
    <col min="13" max="16" width="9.85546875" style="5" bestFit="1" customWidth="1"/>
    <col min="17" max="18" width="9.28515625" style="5" bestFit="1" customWidth="1"/>
    <col min="19" max="21" width="9.28515625" style="5" customWidth="1"/>
    <col min="22" max="24" width="9.28515625" style="5" bestFit="1" customWidth="1"/>
    <col min="25" max="28" width="11.5703125" style="5" bestFit="1" customWidth="1"/>
    <col min="29" max="31" width="9.28515625" style="5" bestFit="1" customWidth="1"/>
    <col min="32" max="16384" width="9.140625" style="5"/>
  </cols>
  <sheetData>
    <row r="1" spans="2:31" x14ac:dyDescent="0.25">
      <c r="B1" s="22" t="s">
        <v>27</v>
      </c>
      <c r="D1" s="22"/>
    </row>
    <row r="2" spans="2:31" x14ac:dyDescent="0.25">
      <c r="B2" s="22" t="s">
        <v>26</v>
      </c>
    </row>
    <row r="3" spans="2:31" x14ac:dyDescent="0.25">
      <c r="B3" s="43" t="s">
        <v>100</v>
      </c>
      <c r="C3" s="43"/>
    </row>
    <row r="5" spans="2:31" x14ac:dyDescent="0.25">
      <c r="B5" s="44"/>
      <c r="C5" s="44"/>
      <c r="D5" s="44"/>
      <c r="E5" s="45" t="s">
        <v>7</v>
      </c>
      <c r="F5" s="45" t="s">
        <v>10</v>
      </c>
      <c r="G5" s="45"/>
      <c r="H5" s="45"/>
      <c r="I5" s="45"/>
      <c r="J5" s="45" t="s">
        <v>12</v>
      </c>
      <c r="K5" s="45"/>
      <c r="L5" s="45"/>
      <c r="M5" s="46" t="s">
        <v>19</v>
      </c>
      <c r="N5" s="46"/>
      <c r="O5" s="46"/>
      <c r="P5" s="46" t="s">
        <v>3</v>
      </c>
      <c r="Q5" s="46"/>
      <c r="R5" s="46"/>
      <c r="S5" s="46" t="s">
        <v>6</v>
      </c>
      <c r="T5" s="46"/>
      <c r="U5" s="46"/>
      <c r="V5" s="46" t="s">
        <v>20</v>
      </c>
      <c r="W5" s="46"/>
      <c r="X5" s="46"/>
      <c r="Y5" s="45" t="s">
        <v>19</v>
      </c>
      <c r="Z5" s="45" t="s">
        <v>3</v>
      </c>
      <c r="AA5" s="45" t="s">
        <v>6</v>
      </c>
      <c r="AB5" s="45" t="s">
        <v>20</v>
      </c>
      <c r="AC5" s="46" t="s">
        <v>21</v>
      </c>
      <c r="AD5" s="46"/>
      <c r="AE5" s="46"/>
    </row>
    <row r="6" spans="2:31" x14ac:dyDescent="0.25">
      <c r="B6" s="96" t="s">
        <v>22</v>
      </c>
      <c r="C6" s="96" t="s">
        <v>0</v>
      </c>
      <c r="D6" s="96" t="s">
        <v>32</v>
      </c>
      <c r="E6" s="97" t="s">
        <v>8</v>
      </c>
      <c r="F6" s="97" t="s">
        <v>9</v>
      </c>
      <c r="G6" s="97" t="s">
        <v>23</v>
      </c>
      <c r="H6" s="97" t="s">
        <v>24</v>
      </c>
      <c r="I6" s="97" t="s">
        <v>11</v>
      </c>
      <c r="J6" s="97" t="s">
        <v>13</v>
      </c>
      <c r="K6" s="97" t="s">
        <v>58</v>
      </c>
      <c r="L6" s="97" t="s">
        <v>25</v>
      </c>
      <c r="M6" s="98" t="s">
        <v>1</v>
      </c>
      <c r="N6" s="98" t="s">
        <v>59</v>
      </c>
      <c r="O6" s="98" t="s">
        <v>60</v>
      </c>
      <c r="P6" s="99" t="str">
        <f>+$M$6</f>
        <v>LTM</v>
      </c>
      <c r="Q6" s="98" t="str">
        <f>+$N$6</f>
        <v>FY25E</v>
      </c>
      <c r="R6" s="98" t="str">
        <f>+$O$6</f>
        <v>FY26E</v>
      </c>
      <c r="S6" s="99" t="str">
        <f>+$P$6</f>
        <v>LTM</v>
      </c>
      <c r="T6" s="98" t="str">
        <f>+$N$6</f>
        <v>FY25E</v>
      </c>
      <c r="U6" s="98" t="str">
        <f>+$O$6</f>
        <v>FY26E</v>
      </c>
      <c r="V6" s="99" t="str">
        <f>+$S$6</f>
        <v>LTM</v>
      </c>
      <c r="W6" s="98" t="str">
        <f>+$N$6</f>
        <v>FY25E</v>
      </c>
      <c r="X6" s="98" t="str">
        <f>+$O$6</f>
        <v>FY26E</v>
      </c>
      <c r="Y6" s="97" t="s">
        <v>71</v>
      </c>
      <c r="Z6" s="97" t="s">
        <v>71</v>
      </c>
      <c r="AA6" s="97" t="s">
        <v>71</v>
      </c>
      <c r="AB6" s="97" t="s">
        <v>71</v>
      </c>
      <c r="AC6" s="99" t="str">
        <f>+$S$6</f>
        <v>LTM</v>
      </c>
      <c r="AD6" s="98" t="str">
        <f>+$N$6</f>
        <v>FY25E</v>
      </c>
      <c r="AE6" s="98" t="str">
        <f>+$O$6</f>
        <v>FY26E</v>
      </c>
    </row>
    <row r="7" spans="2:31" x14ac:dyDescent="0.25">
      <c r="B7" s="47" t="s">
        <v>4</v>
      </c>
      <c r="C7" s="47" t="s">
        <v>5</v>
      </c>
      <c r="D7" s="47" t="s">
        <v>34</v>
      </c>
      <c r="E7" s="48">
        <v>8.1684104374133408</v>
      </c>
      <c r="F7" s="49">
        <v>640.41609000000005</v>
      </c>
      <c r="G7" s="142">
        <f t="shared" ref="G7:G13" si="0">+(E7*F7)</f>
        <v>5231.1814738434423</v>
      </c>
      <c r="H7" s="49">
        <v>235.07437287280999</v>
      </c>
      <c r="I7" s="49">
        <v>540.19223496785594</v>
      </c>
      <c r="J7" s="49">
        <v>0</v>
      </c>
      <c r="K7" s="49">
        <v>0</v>
      </c>
      <c r="L7" s="142">
        <f>+G7-H7+I7+J7+K7</f>
        <v>5536.2993359384882</v>
      </c>
      <c r="M7" s="49">
        <v>252.57468801210098</v>
      </c>
      <c r="N7" s="49">
        <v>270.97734148493601</v>
      </c>
      <c r="O7" s="49">
        <v>315.07401991680297</v>
      </c>
      <c r="P7" s="49">
        <v>111.251733266104</v>
      </c>
      <c r="Q7" s="49">
        <v>135.65063027858301</v>
      </c>
      <c r="R7" s="49">
        <v>149.97821126938098</v>
      </c>
      <c r="S7" s="49">
        <v>8.9171813941762199</v>
      </c>
      <c r="T7" s="49">
        <v>10.2050926509517</v>
      </c>
      <c r="U7" s="49">
        <v>-2.3087986890205503</v>
      </c>
      <c r="V7" s="49">
        <v>-41.161603428715495</v>
      </c>
      <c r="W7" s="49">
        <v>-43.0076011597126</v>
      </c>
      <c r="X7" s="49">
        <v>-80.055993949325597</v>
      </c>
      <c r="Y7" s="141">
        <f>IFERROR(+O7/N7-1,"N/A")</f>
        <v>0.1627319767410087</v>
      </c>
      <c r="Z7" s="141">
        <f>IFERROR(+R7/Q7-1,"N/A")</f>
        <v>0.10562118997437531</v>
      </c>
      <c r="AA7" s="141">
        <f>IFERROR(+U7/T7-1,"N/A")</f>
        <v>-1.22623985572588</v>
      </c>
      <c r="AB7" s="141">
        <f t="shared" ref="AB7:AB13" si="1">IFERROR(+X7/W7-1,"N/A")</f>
        <v>0.86143825255518092</v>
      </c>
      <c r="AC7" s="141">
        <f t="shared" ref="AC7:AC13" si="2">P7/M7</f>
        <v>0.44047063520780783</v>
      </c>
      <c r="AD7" s="141">
        <f t="shared" ref="AD7:AD13" si="3">Q7/N7</f>
        <v>0.50059768663766302</v>
      </c>
      <c r="AE7" s="141">
        <f t="shared" ref="AE7:AE13" si="4">R7/O7</f>
        <v>0.47600945107750731</v>
      </c>
    </row>
    <row r="8" spans="2:31" x14ac:dyDescent="0.25">
      <c r="B8" s="47" t="s">
        <v>28</v>
      </c>
      <c r="C8" s="47" t="s">
        <v>64</v>
      </c>
      <c r="D8" s="47" t="s">
        <v>35</v>
      </c>
      <c r="E8" s="48">
        <v>5.5404027881092102</v>
      </c>
      <c r="F8" s="49">
        <v>598.64749900000004</v>
      </c>
      <c r="G8" s="142">
        <f t="shared" si="0"/>
        <v>3316.7482725542059</v>
      </c>
      <c r="H8" s="49">
        <v>188.958769595283</v>
      </c>
      <c r="I8" s="49">
        <v>478.95246893682696</v>
      </c>
      <c r="J8" s="49">
        <v>0</v>
      </c>
      <c r="K8" s="49">
        <v>0.53462710416838899</v>
      </c>
      <c r="L8" s="142">
        <f t="shared" ref="L8:L13" si="5">+G8-H8+I8+J8+K8</f>
        <v>3607.276598999918</v>
      </c>
      <c r="M8" s="49">
        <v>221.702687412183</v>
      </c>
      <c r="N8" s="49">
        <v>222.76286607708599</v>
      </c>
      <c r="O8" s="49">
        <v>243.32078821941201</v>
      </c>
      <c r="P8" s="49">
        <v>138.19882097694</v>
      </c>
      <c r="Q8" s="49">
        <v>143.05541780312399</v>
      </c>
      <c r="R8" s="49">
        <v>151.576934732898</v>
      </c>
      <c r="S8" s="49">
        <v>40.175500867840306</v>
      </c>
      <c r="T8" s="49">
        <v>31.6060969226107</v>
      </c>
      <c r="U8" s="49">
        <v>40.758068159902997</v>
      </c>
      <c r="V8" s="49">
        <v>17.394182990329799</v>
      </c>
      <c r="W8" s="49">
        <v>20.9503030553489</v>
      </c>
      <c r="X8" s="49">
        <v>30.4435945119431</v>
      </c>
      <c r="Y8" s="141">
        <f t="shared" ref="Y8:Y12" si="6">IFERROR(+O8/N8-1,"N/A")</f>
        <v>9.2286126967014548E-2</v>
      </c>
      <c r="Z8" s="141">
        <f t="shared" ref="Z8:Z13" si="7">IFERROR(+R8/Q8-1,"N/A")</f>
        <v>5.9567942694078946E-2</v>
      </c>
      <c r="AA8" s="141">
        <f t="shared" ref="AA8:AA13" si="8">IFERROR(+U8/T8-1,"N/A")</f>
        <v>0.28956347440499886</v>
      </c>
      <c r="AB8" s="141">
        <f t="shared" si="1"/>
        <v>0.45313384878079033</v>
      </c>
      <c r="AC8" s="141">
        <f t="shared" si="2"/>
        <v>0.62335203325706601</v>
      </c>
      <c r="AD8" s="141">
        <f t="shared" si="3"/>
        <v>0.64218700505325854</v>
      </c>
      <c r="AE8" s="141">
        <f t="shared" si="4"/>
        <v>0.62295102626502696</v>
      </c>
    </row>
    <row r="9" spans="2:31" x14ac:dyDescent="0.25">
      <c r="B9" s="47" t="s">
        <v>61</v>
      </c>
      <c r="C9" s="52" t="s">
        <v>65</v>
      </c>
      <c r="D9" s="47" t="s">
        <v>69</v>
      </c>
      <c r="E9" s="48">
        <v>1.5571001186361999</v>
      </c>
      <c r="F9" s="49">
        <v>164.24382600000001</v>
      </c>
      <c r="G9" s="142">
        <f t="shared" si="0"/>
        <v>255.74408094986339</v>
      </c>
      <c r="H9" s="49">
        <v>5.1593851550007699</v>
      </c>
      <c r="I9" s="49">
        <v>91.077784082116892</v>
      </c>
      <c r="J9" s="49">
        <v>0</v>
      </c>
      <c r="K9" s="49">
        <v>0</v>
      </c>
      <c r="L9" s="142">
        <f t="shared" si="5"/>
        <v>341.66247987697955</v>
      </c>
      <c r="M9" s="49">
        <v>216.558776499716</v>
      </c>
      <c r="N9" s="49">
        <v>224.89296951565498</v>
      </c>
      <c r="O9" s="49">
        <v>236.240779904059</v>
      </c>
      <c r="P9" s="49">
        <v>24.5370609171094</v>
      </c>
      <c r="Q9" s="49">
        <v>49.001908495383496</v>
      </c>
      <c r="R9" s="49">
        <v>52.6125754371486</v>
      </c>
      <c r="S9" s="49">
        <v>11.1672770413163</v>
      </c>
      <c r="T9" s="49">
        <v>24.887811420023699</v>
      </c>
      <c r="U9" s="49">
        <v>28.627430752566202</v>
      </c>
      <c r="V9" s="49">
        <v>0.78403053592613603</v>
      </c>
      <c r="W9" s="49">
        <v>13.1531438592872</v>
      </c>
      <c r="X9" s="49">
        <v>16.634858410274902</v>
      </c>
      <c r="Y9" s="141">
        <f t="shared" si="6"/>
        <v>5.0458715596327641E-2</v>
      </c>
      <c r="Z9" s="141">
        <f t="shared" si="7"/>
        <v>7.3684210526315796E-2</v>
      </c>
      <c r="AA9" s="141">
        <f t="shared" si="8"/>
        <v>0.15025906735751615</v>
      </c>
      <c r="AB9" s="141">
        <f t="shared" si="1"/>
        <v>0.26470588235293468</v>
      </c>
      <c r="AC9" s="141">
        <f t="shared" si="2"/>
        <v>0.11330439390962102</v>
      </c>
      <c r="AD9" s="141">
        <f t="shared" si="3"/>
        <v>0.21788990825688054</v>
      </c>
      <c r="AE9" s="141">
        <f t="shared" si="4"/>
        <v>0.22270742358078641</v>
      </c>
    </row>
    <row r="10" spans="2:31" x14ac:dyDescent="0.25">
      <c r="B10" s="47" t="s">
        <v>29</v>
      </c>
      <c r="C10" s="52" t="s">
        <v>31</v>
      </c>
      <c r="D10" s="47" t="s">
        <v>34</v>
      </c>
      <c r="E10" s="48">
        <v>43.022816084709397</v>
      </c>
      <c r="F10" s="49">
        <v>25.773731999999999</v>
      </c>
      <c r="G10" s="142">
        <f>+(E10*F10)</f>
        <v>1108.8585316525894</v>
      </c>
      <c r="H10" s="49">
        <v>57.405773351821502</v>
      </c>
      <c r="I10" s="49">
        <v>82.407033908987799</v>
      </c>
      <c r="J10" s="49">
        <v>0</v>
      </c>
      <c r="K10" s="49">
        <v>0</v>
      </c>
      <c r="L10" s="142">
        <f>+G10-H10+I10+J10+K10</f>
        <v>1133.8597922097556</v>
      </c>
      <c r="M10" s="49">
        <v>230.41535358628499</v>
      </c>
      <c r="N10" s="49">
        <v>233.96422538762101</v>
      </c>
      <c r="O10" s="49">
        <v>247.55418504979198</v>
      </c>
      <c r="P10" s="49">
        <v>58.4293457708307</v>
      </c>
      <c r="Q10" s="49">
        <v>71.698594478759588</v>
      </c>
      <c r="R10" s="49">
        <v>76.316582629522287</v>
      </c>
      <c r="S10" s="49">
        <v>35.335308206227097</v>
      </c>
      <c r="T10" s="49">
        <v>36.7432875330896</v>
      </c>
      <c r="U10" s="49">
        <v>40.441144585907004</v>
      </c>
      <c r="V10" s="49">
        <v>22.756838522627</v>
      </c>
      <c r="W10" s="49">
        <v>22.772992562712702</v>
      </c>
      <c r="X10" s="49">
        <v>21.647251985377501</v>
      </c>
      <c r="Y10" s="141">
        <f t="shared" si="6"/>
        <v>5.8085630996173698E-2</v>
      </c>
      <c r="Z10" s="141">
        <f t="shared" si="7"/>
        <v>6.4408349763826367E-2</v>
      </c>
      <c r="AA10" s="141">
        <f t="shared" si="8"/>
        <v>0.10064034279695999</v>
      </c>
      <c r="AB10" s="141">
        <f t="shared" si="1"/>
        <v>-4.9433142097382032E-2</v>
      </c>
      <c r="AC10" s="141">
        <f t="shared" si="2"/>
        <v>0.25358269256545146</v>
      </c>
      <c r="AD10" s="141">
        <f t="shared" si="3"/>
        <v>0.30645110106031254</v>
      </c>
      <c r="AE10" s="141">
        <f t="shared" si="4"/>
        <v>0.30828233671013194</v>
      </c>
    </row>
    <row r="11" spans="2:31" x14ac:dyDescent="0.25">
      <c r="B11" s="47" t="s">
        <v>62</v>
      </c>
      <c r="C11" s="52" t="s">
        <v>66</v>
      </c>
      <c r="D11" s="47" t="s">
        <v>69</v>
      </c>
      <c r="E11" s="48">
        <v>0.47067622633723599</v>
      </c>
      <c r="F11" s="49">
        <v>115.536737</v>
      </c>
      <c r="G11" s="142">
        <f t="shared" si="0"/>
        <v>54.380395374477708</v>
      </c>
      <c r="H11" s="49">
        <v>86.671480889255704</v>
      </c>
      <c r="I11" s="49">
        <v>148.65889513591603</v>
      </c>
      <c r="J11" s="49">
        <v>0</v>
      </c>
      <c r="K11" s="49">
        <v>0</v>
      </c>
      <c r="L11" s="142">
        <f t="shared" si="5"/>
        <v>116.36780962113804</v>
      </c>
      <c r="M11" s="49">
        <v>163.72053437870701</v>
      </c>
      <c r="N11" s="49">
        <v>183.155194202301</v>
      </c>
      <c r="O11" s="49">
        <v>206.86332336101501</v>
      </c>
      <c r="P11" s="49">
        <v>33.246505390209904</v>
      </c>
      <c r="Q11" s="49">
        <v>45.190411100221795</v>
      </c>
      <c r="R11" s="49">
        <v>46.112033837107305</v>
      </c>
      <c r="S11" s="49">
        <v>13.4368391189973</v>
      </c>
      <c r="T11" s="49">
        <v>19.557783566307297</v>
      </c>
      <c r="U11" s="49">
        <v>21.878926600299202</v>
      </c>
      <c r="V11" s="49">
        <v>4.3843812864290506</v>
      </c>
      <c r="W11" s="49">
        <v>8.0569840614844992</v>
      </c>
      <c r="X11" s="49">
        <v>8.3628720276473913</v>
      </c>
      <c r="Y11" s="141">
        <f t="shared" si="6"/>
        <v>0.12944284360577618</v>
      </c>
      <c r="Z11" s="141">
        <f t="shared" si="7"/>
        <v>2.0394210064643259E-2</v>
      </c>
      <c r="AA11" s="141">
        <f t="shared" si="8"/>
        <v>0.11868129259752114</v>
      </c>
      <c r="AB11" s="141">
        <f t="shared" si="1"/>
        <v>3.7965566746638535E-2</v>
      </c>
      <c r="AC11" s="141">
        <f t="shared" si="2"/>
        <v>0.20306863470959841</v>
      </c>
      <c r="AD11" s="141">
        <f t="shared" si="3"/>
        <v>0.24673289391021846</v>
      </c>
      <c r="AE11" s="141">
        <f t="shared" si="4"/>
        <v>0.22291063049699353</v>
      </c>
    </row>
    <row r="12" spans="2:31" x14ac:dyDescent="0.25">
      <c r="B12" s="47" t="s">
        <v>63</v>
      </c>
      <c r="C12" s="52" t="s">
        <v>67</v>
      </c>
      <c r="D12" s="47" t="s">
        <v>70</v>
      </c>
      <c r="E12" s="48">
        <v>18.077381597485601</v>
      </c>
      <c r="F12" s="49">
        <v>26.075823</v>
      </c>
      <c r="G12" s="142">
        <f t="shared" si="0"/>
        <v>471.38260283949177</v>
      </c>
      <c r="H12" s="49">
        <v>24.351307033705403</v>
      </c>
      <c r="I12" s="49">
        <v>257.71175463314199</v>
      </c>
      <c r="J12" s="49">
        <v>0</v>
      </c>
      <c r="K12" s="49">
        <v>0</v>
      </c>
      <c r="L12" s="142">
        <f t="shared" si="5"/>
        <v>704.74305043892832</v>
      </c>
      <c r="M12" s="49">
        <v>163.55999674867201</v>
      </c>
      <c r="N12" s="49">
        <v>175.264625555435</v>
      </c>
      <c r="O12" s="49">
        <v>196.07312235829602</v>
      </c>
      <c r="P12" s="49">
        <v>52.956249051696098</v>
      </c>
      <c r="Q12" s="49">
        <v>61.793291427332797</v>
      </c>
      <c r="R12" s="49">
        <v>70.878942234745907</v>
      </c>
      <c r="S12" s="49">
        <v>26.147215779776701</v>
      </c>
      <c r="T12" s="49">
        <v>31.790755391784998</v>
      </c>
      <c r="U12" s="49">
        <v>40.316462555543495</v>
      </c>
      <c r="V12" s="49">
        <v>12.735998699468901</v>
      </c>
      <c r="W12" s="49">
        <v>17.5987103067086</v>
      </c>
      <c r="X12" s="49">
        <v>23.687731657093298</v>
      </c>
      <c r="Y12" s="141">
        <f t="shared" si="6"/>
        <v>0.11872616471758834</v>
      </c>
      <c r="Z12" s="141">
        <f>IFERROR(+R12/Q12-1,"N/A")</f>
        <v>0.1470329642190622</v>
      </c>
      <c r="AA12" s="141">
        <f>IFERROR(+U12/T12-1,"N/A")</f>
        <v>0.26818196229340341</v>
      </c>
      <c r="AB12" s="141">
        <f>IFERROR(+X12/W12-1,"N/A")</f>
        <v>0.34599247582725257</v>
      </c>
      <c r="AC12" s="141">
        <f t="shared" si="2"/>
        <v>0.32377262230610837</v>
      </c>
      <c r="AD12" s="141">
        <f t="shared" si="3"/>
        <v>0.352571383024397</v>
      </c>
      <c r="AE12" s="141">
        <f t="shared" si="4"/>
        <v>0.36149239315536896</v>
      </c>
    </row>
    <row r="13" spans="2:31" x14ac:dyDescent="0.25">
      <c r="B13" s="47" t="s">
        <v>30</v>
      </c>
      <c r="C13" s="52" t="s">
        <v>68</v>
      </c>
      <c r="D13" s="47" t="s">
        <v>36</v>
      </c>
      <c r="E13" s="48">
        <v>1.0942355670328701</v>
      </c>
      <c r="F13" s="49">
        <v>4071.408183</v>
      </c>
      <c r="G13" s="142">
        <f t="shared" si="0"/>
        <v>4455.079641747272</v>
      </c>
      <c r="H13" s="49">
        <v>66.538018892942588</v>
      </c>
      <c r="I13" s="49">
        <v>2241.0450335865999</v>
      </c>
      <c r="J13" s="49">
        <v>0</v>
      </c>
      <c r="K13" s="49">
        <v>0.26107173293443098</v>
      </c>
      <c r="L13" s="142">
        <f t="shared" si="5"/>
        <v>6629.8477281738633</v>
      </c>
      <c r="M13" s="49">
        <v>367.378263074828</v>
      </c>
      <c r="N13" s="49">
        <v>402.55477357047801</v>
      </c>
      <c r="O13" s="49">
        <v>478.95933434432101</v>
      </c>
      <c r="P13" s="49">
        <v>213.53395606064902</v>
      </c>
      <c r="Q13" s="49">
        <v>284.37341754226998</v>
      </c>
      <c r="R13" s="49">
        <v>340.59293535771195</v>
      </c>
      <c r="S13" s="49">
        <v>179.594566412375</v>
      </c>
      <c r="T13" s="49">
        <v>191.527021181826</v>
      </c>
      <c r="U13" s="49">
        <v>229.31524411751801</v>
      </c>
      <c r="V13" s="49">
        <v>123.03610462436801</v>
      </c>
      <c r="W13" s="49">
        <v>127.672925264998</v>
      </c>
      <c r="X13" s="49">
        <v>156.76275170636401</v>
      </c>
      <c r="Y13" s="141">
        <f>IFERROR(+O13/N13-1,"N/A")</f>
        <v>0.18979916719448942</v>
      </c>
      <c r="Z13" s="141">
        <f t="shared" si="7"/>
        <v>0.19769610781952007</v>
      </c>
      <c r="AA13" s="141">
        <f t="shared" si="8"/>
        <v>0.19729969537727943</v>
      </c>
      <c r="AB13" s="141">
        <f t="shared" si="1"/>
        <v>0.22784647865620022</v>
      </c>
      <c r="AC13" s="141">
        <f t="shared" si="2"/>
        <v>0.58123731729102379</v>
      </c>
      <c r="AD13" s="141">
        <f t="shared" si="3"/>
        <v>0.70642167529155575</v>
      </c>
      <c r="AE13" s="141">
        <f t="shared" si="4"/>
        <v>0.71111034055526257</v>
      </c>
    </row>
    <row r="14" spans="2:31" x14ac:dyDescent="0.25">
      <c r="B14" s="47"/>
      <c r="C14" s="52"/>
      <c r="D14" s="47"/>
      <c r="E14" s="53"/>
      <c r="F14" s="49"/>
      <c r="G14" s="50"/>
      <c r="H14" s="49"/>
      <c r="I14" s="49"/>
      <c r="J14" s="49"/>
      <c r="K14" s="49"/>
      <c r="L14" s="50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51"/>
      <c r="Z14" s="51"/>
      <c r="AA14" s="51"/>
      <c r="AB14" s="51"/>
      <c r="AC14" s="51"/>
      <c r="AD14" s="51"/>
      <c r="AE14" s="51"/>
    </row>
    <row r="15" spans="2:31" x14ac:dyDescent="0.25">
      <c r="B15" s="79" t="s">
        <v>14</v>
      </c>
      <c r="C15" s="79"/>
      <c r="D15" s="79"/>
      <c r="E15" s="143">
        <f t="shared" ref="E15:AE15" si="9">MAX(E7:E13)</f>
        <v>43.022816084709397</v>
      </c>
      <c r="F15" s="144">
        <f t="shared" si="9"/>
        <v>4071.408183</v>
      </c>
      <c r="G15" s="145">
        <f t="shared" si="9"/>
        <v>5231.1814738434423</v>
      </c>
      <c r="H15" s="145">
        <f t="shared" si="9"/>
        <v>235.07437287280999</v>
      </c>
      <c r="I15" s="145">
        <f t="shared" si="9"/>
        <v>2241.0450335865999</v>
      </c>
      <c r="J15" s="145">
        <f t="shared" si="9"/>
        <v>0</v>
      </c>
      <c r="K15" s="145">
        <f t="shared" si="9"/>
        <v>0.53462710416838899</v>
      </c>
      <c r="L15" s="145">
        <f t="shared" si="9"/>
        <v>6629.8477281738633</v>
      </c>
      <c r="M15" s="145">
        <f t="shared" si="9"/>
        <v>367.378263074828</v>
      </c>
      <c r="N15" s="145">
        <f t="shared" si="9"/>
        <v>402.55477357047801</v>
      </c>
      <c r="O15" s="145">
        <f t="shared" si="9"/>
        <v>478.95933434432101</v>
      </c>
      <c r="P15" s="145">
        <f t="shared" si="9"/>
        <v>213.53395606064902</v>
      </c>
      <c r="Q15" s="145">
        <f t="shared" si="9"/>
        <v>284.37341754226998</v>
      </c>
      <c r="R15" s="145">
        <f t="shared" si="9"/>
        <v>340.59293535771195</v>
      </c>
      <c r="S15" s="145">
        <f t="shared" si="9"/>
        <v>179.594566412375</v>
      </c>
      <c r="T15" s="145">
        <f t="shared" si="9"/>
        <v>191.527021181826</v>
      </c>
      <c r="U15" s="145">
        <f t="shared" si="9"/>
        <v>229.31524411751801</v>
      </c>
      <c r="V15" s="145">
        <f t="shared" si="9"/>
        <v>123.03610462436801</v>
      </c>
      <c r="W15" s="145">
        <f t="shared" si="9"/>
        <v>127.672925264998</v>
      </c>
      <c r="X15" s="145">
        <f t="shared" si="9"/>
        <v>156.76275170636401</v>
      </c>
      <c r="Y15" s="146">
        <f t="shared" si="9"/>
        <v>0.18979916719448942</v>
      </c>
      <c r="Z15" s="146">
        <f t="shared" si="9"/>
        <v>0.19769610781952007</v>
      </c>
      <c r="AA15" s="146">
        <f t="shared" si="9"/>
        <v>0.28956347440499886</v>
      </c>
      <c r="AB15" s="146">
        <f t="shared" si="9"/>
        <v>0.86143825255518092</v>
      </c>
      <c r="AC15" s="146">
        <f t="shared" si="9"/>
        <v>0.62335203325706601</v>
      </c>
      <c r="AD15" s="146">
        <f t="shared" si="9"/>
        <v>0.70642167529155575</v>
      </c>
      <c r="AE15" s="146">
        <f t="shared" si="9"/>
        <v>0.71111034055526257</v>
      </c>
    </row>
    <row r="16" spans="2:31" x14ac:dyDescent="0.25">
      <c r="B16" s="47" t="s">
        <v>15</v>
      </c>
      <c r="C16" s="47"/>
      <c r="D16" s="47"/>
      <c r="E16" s="147">
        <f t="shared" ref="E16:AE16" si="10">QUARTILE(E7:E13,3)</f>
        <v>13.12289601744947</v>
      </c>
      <c r="F16" s="142">
        <f t="shared" si="10"/>
        <v>619.53179450000005</v>
      </c>
      <c r="G16" s="148">
        <f t="shared" si="10"/>
        <v>3885.913957150739</v>
      </c>
      <c r="H16" s="148">
        <f t="shared" si="10"/>
        <v>137.81512524226935</v>
      </c>
      <c r="I16" s="148">
        <f t="shared" si="10"/>
        <v>509.57235195234148</v>
      </c>
      <c r="J16" s="148">
        <f t="shared" si="10"/>
        <v>0</v>
      </c>
      <c r="K16" s="148">
        <f t="shared" si="10"/>
        <v>0.13053586646721549</v>
      </c>
      <c r="L16" s="148">
        <f t="shared" si="10"/>
        <v>4571.7879674692031</v>
      </c>
      <c r="M16" s="148">
        <f t="shared" si="10"/>
        <v>241.49502079919299</v>
      </c>
      <c r="N16" s="148">
        <f t="shared" si="10"/>
        <v>252.47078343627851</v>
      </c>
      <c r="O16" s="148">
        <f t="shared" si="10"/>
        <v>281.31410248329746</v>
      </c>
      <c r="P16" s="148">
        <f t="shared" si="10"/>
        <v>124.725277121522</v>
      </c>
      <c r="Q16" s="148">
        <f t="shared" si="10"/>
        <v>139.35302404085348</v>
      </c>
      <c r="R16" s="148">
        <f t="shared" si="10"/>
        <v>150.7775730011395</v>
      </c>
      <c r="S16" s="148">
        <f t="shared" si="10"/>
        <v>37.755404537033698</v>
      </c>
      <c r="T16" s="148">
        <f t="shared" si="10"/>
        <v>34.267021462437299</v>
      </c>
      <c r="U16" s="148">
        <f t="shared" si="10"/>
        <v>40.599606372905001</v>
      </c>
      <c r="V16" s="148">
        <f t="shared" si="10"/>
        <v>20.075510756478401</v>
      </c>
      <c r="W16" s="148">
        <f t="shared" si="10"/>
        <v>21.861647809030799</v>
      </c>
      <c r="X16" s="148">
        <f t="shared" si="10"/>
        <v>27.065663084518199</v>
      </c>
      <c r="Y16" s="141">
        <f t="shared" si="10"/>
        <v>0.14608741017339244</v>
      </c>
      <c r="Z16" s="141">
        <f t="shared" si="10"/>
        <v>0.12632707709671875</v>
      </c>
      <c r="AA16" s="141">
        <f t="shared" si="10"/>
        <v>0.23274082883534142</v>
      </c>
      <c r="AB16" s="141">
        <f t="shared" si="10"/>
        <v>0.39956316230402145</v>
      </c>
      <c r="AC16" s="141">
        <f t="shared" si="10"/>
        <v>0.51085397624941575</v>
      </c>
      <c r="AD16" s="141">
        <f t="shared" si="10"/>
        <v>0.57139234584546084</v>
      </c>
      <c r="AE16" s="141">
        <f t="shared" si="10"/>
        <v>0.54948023867126716</v>
      </c>
    </row>
    <row r="17" spans="2:31" x14ac:dyDescent="0.25">
      <c r="B17" s="86" t="s">
        <v>16</v>
      </c>
      <c r="C17" s="86"/>
      <c r="D17" s="86"/>
      <c r="E17" s="149">
        <f t="shared" ref="E17:AE17" si="11">MEDIAN(E7:E13)</f>
        <v>5.5404027881092102</v>
      </c>
      <c r="F17" s="150">
        <f t="shared" si="11"/>
        <v>164.24382600000001</v>
      </c>
      <c r="G17" s="151">
        <f t="shared" si="11"/>
        <v>1108.8585316525894</v>
      </c>
      <c r="H17" s="151">
        <f t="shared" si="11"/>
        <v>66.538018892942588</v>
      </c>
      <c r="I17" s="151">
        <f t="shared" si="11"/>
        <v>257.71175463314199</v>
      </c>
      <c r="J17" s="151">
        <f t="shared" si="11"/>
        <v>0</v>
      </c>
      <c r="K17" s="151">
        <f t="shared" si="11"/>
        <v>0</v>
      </c>
      <c r="L17" s="151">
        <f t="shared" si="11"/>
        <v>1133.8597922097556</v>
      </c>
      <c r="M17" s="151">
        <f t="shared" si="11"/>
        <v>221.702687412183</v>
      </c>
      <c r="N17" s="151">
        <f t="shared" si="11"/>
        <v>224.89296951565498</v>
      </c>
      <c r="O17" s="151">
        <f t="shared" si="11"/>
        <v>243.32078821941201</v>
      </c>
      <c r="P17" s="151">
        <f t="shared" si="11"/>
        <v>58.4293457708307</v>
      </c>
      <c r="Q17" s="151">
        <f t="shared" si="11"/>
        <v>71.698594478759588</v>
      </c>
      <c r="R17" s="151">
        <f t="shared" si="11"/>
        <v>76.316582629522287</v>
      </c>
      <c r="S17" s="151">
        <f t="shared" si="11"/>
        <v>26.147215779776701</v>
      </c>
      <c r="T17" s="151">
        <f t="shared" si="11"/>
        <v>31.6060969226107</v>
      </c>
      <c r="U17" s="151">
        <f t="shared" si="11"/>
        <v>40.316462555543495</v>
      </c>
      <c r="V17" s="151">
        <f>MEDIAN(V7:V13)</f>
        <v>12.735998699468901</v>
      </c>
      <c r="W17" s="151">
        <f>MEDIAN(W7:W13)</f>
        <v>17.5987103067086</v>
      </c>
      <c r="X17" s="151">
        <f t="shared" si="11"/>
        <v>21.647251985377501</v>
      </c>
      <c r="Y17" s="152">
        <f t="shared" si="11"/>
        <v>0.11872616471758834</v>
      </c>
      <c r="Z17" s="152">
        <f t="shared" si="11"/>
        <v>7.3684210526315796E-2</v>
      </c>
      <c r="AA17" s="152">
        <f>MEDIAN(AA7:AA13)</f>
        <v>0.15025906735751615</v>
      </c>
      <c r="AB17" s="152">
        <f>MEDIAN(AB7:AB13)</f>
        <v>0.26470588235293468</v>
      </c>
      <c r="AC17" s="152">
        <f>MEDIAN(AC7:AC13)</f>
        <v>0.32377262230610837</v>
      </c>
      <c r="AD17" s="152">
        <f t="shared" si="11"/>
        <v>0.352571383024397</v>
      </c>
      <c r="AE17" s="152">
        <f t="shared" si="11"/>
        <v>0.36149239315536896</v>
      </c>
    </row>
    <row r="18" spans="2:31" x14ac:dyDescent="0.25">
      <c r="B18" s="47" t="s">
        <v>17</v>
      </c>
      <c r="C18" s="90"/>
      <c r="D18" s="47"/>
      <c r="E18" s="147">
        <f t="shared" ref="E18:AE18" si="12">QUARTILE(E7:E13,1)</f>
        <v>1.325667842834535</v>
      </c>
      <c r="F18" s="142">
        <f t="shared" si="12"/>
        <v>70.806280000000001</v>
      </c>
      <c r="G18" s="148">
        <f t="shared" si="12"/>
        <v>363.56334189467759</v>
      </c>
      <c r="H18" s="148">
        <f t="shared" si="12"/>
        <v>40.878540192763452</v>
      </c>
      <c r="I18" s="148">
        <f t="shared" si="12"/>
        <v>119.86833960901646</v>
      </c>
      <c r="J18" s="148">
        <f t="shared" si="12"/>
        <v>0</v>
      </c>
      <c r="K18" s="148">
        <f t="shared" si="12"/>
        <v>0</v>
      </c>
      <c r="L18" s="148">
        <f t="shared" si="12"/>
        <v>523.20276515795399</v>
      </c>
      <c r="M18" s="148">
        <f t="shared" si="12"/>
        <v>190.13965543921151</v>
      </c>
      <c r="N18" s="148">
        <f t="shared" si="12"/>
        <v>202.95903013969348</v>
      </c>
      <c r="O18" s="148">
        <f t="shared" si="12"/>
        <v>221.552051632537</v>
      </c>
      <c r="P18" s="148">
        <f t="shared" si="12"/>
        <v>43.101377220952998</v>
      </c>
      <c r="Q18" s="148">
        <f t="shared" si="12"/>
        <v>55.397599961358146</v>
      </c>
      <c r="R18" s="148">
        <f t="shared" si="12"/>
        <v>61.745758835947257</v>
      </c>
      <c r="S18" s="148">
        <f t="shared" si="12"/>
        <v>12.302058080156801</v>
      </c>
      <c r="T18" s="148">
        <f t="shared" si="12"/>
        <v>22.222797493165498</v>
      </c>
      <c r="U18" s="148">
        <f t="shared" si="12"/>
        <v>25.253178676432704</v>
      </c>
      <c r="V18" s="148">
        <f t="shared" si="12"/>
        <v>2.5842059111775932</v>
      </c>
      <c r="W18" s="148">
        <f t="shared" si="12"/>
        <v>10.605063960385849</v>
      </c>
      <c r="X18" s="148">
        <f t="shared" si="12"/>
        <v>12.498865218961146</v>
      </c>
      <c r="Y18" s="141">
        <f t="shared" si="12"/>
        <v>7.5185878981594123E-2</v>
      </c>
      <c r="Z18" s="141">
        <f t="shared" si="12"/>
        <v>6.1988146228952656E-2</v>
      </c>
      <c r="AA18" s="141">
        <f t="shared" si="12"/>
        <v>0.10966081769724056</v>
      </c>
      <c r="AB18" s="141">
        <f t="shared" si="12"/>
        <v>0.13290602270141938</v>
      </c>
      <c r="AC18" s="141">
        <f t="shared" si="12"/>
        <v>0.22832566363752493</v>
      </c>
      <c r="AD18" s="141">
        <f t="shared" si="12"/>
        <v>0.27659199748526553</v>
      </c>
      <c r="AE18" s="141">
        <f t="shared" si="12"/>
        <v>0.26559648360356275</v>
      </c>
    </row>
    <row r="19" spans="2:31" x14ac:dyDescent="0.25">
      <c r="B19" s="91" t="s">
        <v>18</v>
      </c>
      <c r="C19" s="92"/>
      <c r="D19" s="91"/>
      <c r="E19" s="153">
        <f t="shared" ref="E19:AE19" si="13">MIN(E7:E13)</f>
        <v>0.47067622633723599</v>
      </c>
      <c r="F19" s="154">
        <f t="shared" si="13"/>
        <v>25.773731999999999</v>
      </c>
      <c r="G19" s="155">
        <f t="shared" si="13"/>
        <v>54.380395374477708</v>
      </c>
      <c r="H19" s="155">
        <f t="shared" si="13"/>
        <v>5.1593851550007699</v>
      </c>
      <c r="I19" s="155">
        <f t="shared" si="13"/>
        <v>82.407033908987799</v>
      </c>
      <c r="J19" s="155">
        <f t="shared" si="13"/>
        <v>0</v>
      </c>
      <c r="K19" s="155">
        <f t="shared" si="13"/>
        <v>0</v>
      </c>
      <c r="L19" s="155">
        <f t="shared" si="13"/>
        <v>116.36780962113804</v>
      </c>
      <c r="M19" s="155">
        <f t="shared" si="13"/>
        <v>163.55999674867201</v>
      </c>
      <c r="N19" s="155">
        <f t="shared" si="13"/>
        <v>175.264625555435</v>
      </c>
      <c r="O19" s="155">
        <f t="shared" si="13"/>
        <v>196.07312235829602</v>
      </c>
      <c r="P19" s="155">
        <f t="shared" si="13"/>
        <v>24.5370609171094</v>
      </c>
      <c r="Q19" s="155">
        <f t="shared" si="13"/>
        <v>45.190411100221795</v>
      </c>
      <c r="R19" s="155">
        <f t="shared" si="13"/>
        <v>46.112033837107305</v>
      </c>
      <c r="S19" s="155">
        <f t="shared" si="13"/>
        <v>8.9171813941762199</v>
      </c>
      <c r="T19" s="155">
        <f t="shared" si="13"/>
        <v>10.2050926509517</v>
      </c>
      <c r="U19" s="155">
        <f t="shared" si="13"/>
        <v>-2.3087986890205503</v>
      </c>
      <c r="V19" s="155">
        <f t="shared" si="13"/>
        <v>-41.161603428715495</v>
      </c>
      <c r="W19" s="155">
        <f t="shared" si="13"/>
        <v>-43.0076011597126</v>
      </c>
      <c r="X19" s="155">
        <f t="shared" si="13"/>
        <v>-80.055993949325597</v>
      </c>
      <c r="Y19" s="156">
        <f t="shared" si="13"/>
        <v>5.0458715596327641E-2</v>
      </c>
      <c r="Z19" s="156">
        <f t="shared" si="13"/>
        <v>2.0394210064643259E-2</v>
      </c>
      <c r="AA19" s="156">
        <f t="shared" si="13"/>
        <v>-1.22623985572588</v>
      </c>
      <c r="AB19" s="156">
        <f t="shared" si="13"/>
        <v>-4.9433142097382032E-2</v>
      </c>
      <c r="AC19" s="156">
        <f t="shared" si="13"/>
        <v>0.11330439390962102</v>
      </c>
      <c r="AD19" s="156">
        <f t="shared" si="13"/>
        <v>0.21788990825688054</v>
      </c>
      <c r="AE19" s="156">
        <f t="shared" si="13"/>
        <v>0.22270742358078641</v>
      </c>
    </row>
    <row r="21" spans="2:31" ht="15.75" thickBot="1" x14ac:dyDescent="0.3">
      <c r="B21" s="253" t="s">
        <v>27</v>
      </c>
      <c r="C21" s="254"/>
      <c r="D21" s="253" t="s">
        <v>33</v>
      </c>
      <c r="E21" s="255">
        <f>+G21/F21</f>
        <v>8.2549484491357354</v>
      </c>
      <c r="F21" s="256">
        <f>+F17</f>
        <v>164.24382600000001</v>
      </c>
      <c r="G21" s="257">
        <f>+L21-K21-J21-I21+H21</f>
        <v>1355.8243167188198</v>
      </c>
      <c r="H21" s="258">
        <v>87.710708696624195</v>
      </c>
      <c r="I21" s="258">
        <v>929.60222875715795</v>
      </c>
      <c r="J21" s="259">
        <v>0</v>
      </c>
      <c r="K21" s="259">
        <v>0</v>
      </c>
      <c r="L21" s="257">
        <f>+Q35*Q21</f>
        <v>2197.7158367793536</v>
      </c>
      <c r="M21" s="258">
        <v>253.35001461761999</v>
      </c>
      <c r="N21" s="257">
        <f>+M21*(1+(N17/M17-1))</f>
        <v>256.99569896625519</v>
      </c>
      <c r="O21" s="257">
        <f>+N21*(1+(O17/N17-1))</f>
        <v>278.0540279944812</v>
      </c>
      <c r="P21" s="258">
        <v>113.25130268792201</v>
      </c>
      <c r="Q21" s="257">
        <f>+P21*(1+(Q17/P17-1))</f>
        <v>138.97056553500295</v>
      </c>
      <c r="R21" s="257">
        <f>+Q21*(1+(R17/Q17-1))</f>
        <v>147.92143032685817</v>
      </c>
      <c r="S21" s="258">
        <v>42.055581351355997</v>
      </c>
      <c r="T21" s="257">
        <f>+S21*(1+(T17/S17-1))</f>
        <v>50.835729185199249</v>
      </c>
      <c r="U21" s="257">
        <f>+T21*(1+(U17/T17-1))</f>
        <v>64.845614350838446</v>
      </c>
      <c r="V21" s="258">
        <v>27.8895595797004</v>
      </c>
      <c r="W21" s="257">
        <f>+V21*(1+(W17/V17-1))</f>
        <v>38.538028403324546</v>
      </c>
      <c r="X21" s="257">
        <f>+W21*(1+(X17/W17-1))</f>
        <v>47.403610680970743</v>
      </c>
      <c r="Y21" s="260">
        <f>IFERROR(+O21/N21-1,"N/A")</f>
        <v>8.1940394772875402E-2</v>
      </c>
      <c r="Z21" s="260">
        <f>IFERROR(+R21/Q21-1,"N/A")</f>
        <v>6.4408349763826367E-2</v>
      </c>
      <c r="AA21" s="260">
        <f>IFERROR(+U21/T21-1,"N/A")</f>
        <v>0.27559130930530951</v>
      </c>
      <c r="AB21" s="260">
        <f>IFERROR(+X21/W21-1,"N/A")</f>
        <v>0.23004763463409028</v>
      </c>
      <c r="AC21" s="260">
        <f>P21/M21</f>
        <v>0.44701518118659544</v>
      </c>
      <c r="AD21" s="260">
        <f>Q21/N21</f>
        <v>0.54075054988858184</v>
      </c>
      <c r="AE21" s="260">
        <f>R21/O21</f>
        <v>0.53198808660953512</v>
      </c>
    </row>
    <row r="23" spans="2:31" x14ac:dyDescent="0.25">
      <c r="B23" s="44"/>
      <c r="C23" s="44"/>
      <c r="D23" s="44"/>
      <c r="E23" s="45"/>
      <c r="F23" s="45"/>
      <c r="G23" s="45"/>
      <c r="H23" s="45"/>
      <c r="I23" s="45"/>
      <c r="J23" s="45"/>
      <c r="K23" s="45"/>
      <c r="L23" s="45"/>
      <c r="M23" s="46" t="s">
        <v>38</v>
      </c>
      <c r="N23" s="46"/>
      <c r="O23" s="46"/>
      <c r="P23" s="46" t="s">
        <v>39</v>
      </c>
      <c r="Q23" s="46"/>
      <c r="R23" s="46"/>
      <c r="S23" s="46" t="s">
        <v>40</v>
      </c>
      <c r="T23" s="46"/>
      <c r="U23" s="46"/>
      <c r="V23" s="46" t="s">
        <v>41</v>
      </c>
      <c r="W23" s="46"/>
      <c r="X23" s="46"/>
    </row>
    <row r="24" spans="2:31" ht="15.75" thickBot="1" x14ac:dyDescent="0.3">
      <c r="B24" s="75" t="s">
        <v>22</v>
      </c>
      <c r="C24" s="75"/>
      <c r="D24" s="75"/>
      <c r="E24" s="76"/>
      <c r="F24" s="76"/>
      <c r="G24" s="76" t="s">
        <v>23</v>
      </c>
      <c r="H24" s="76"/>
      <c r="I24" s="76"/>
      <c r="J24" s="76"/>
      <c r="K24" s="76"/>
      <c r="L24" s="76" t="s">
        <v>25</v>
      </c>
      <c r="M24" s="77" t="str">
        <f>+$M$6</f>
        <v>LTM</v>
      </c>
      <c r="N24" s="78" t="str">
        <f>+$N$6</f>
        <v>FY25E</v>
      </c>
      <c r="O24" s="78" t="str">
        <f>+$O$6</f>
        <v>FY26E</v>
      </c>
      <c r="P24" s="77" t="str">
        <f>+$M$6</f>
        <v>LTM</v>
      </c>
      <c r="Q24" s="78" t="str">
        <f>+$N$6</f>
        <v>FY25E</v>
      </c>
      <c r="R24" s="78" t="str">
        <f>+$O$6</f>
        <v>FY26E</v>
      </c>
      <c r="S24" s="77" t="str">
        <f>+$M$6</f>
        <v>LTM</v>
      </c>
      <c r="T24" s="78" t="str">
        <f>+$N$6</f>
        <v>FY25E</v>
      </c>
      <c r="U24" s="78" t="str">
        <f>+$O$6</f>
        <v>FY26E</v>
      </c>
      <c r="V24" s="77" t="str">
        <f>+$M$6</f>
        <v>LTM</v>
      </c>
      <c r="W24" s="78" t="str">
        <f>+$N$6</f>
        <v>FY25E</v>
      </c>
      <c r="X24" s="78" t="str">
        <f>+$O$6</f>
        <v>FY26E</v>
      </c>
    </row>
    <row r="25" spans="2:31" x14ac:dyDescent="0.25">
      <c r="B25" s="47" t="str">
        <f t="shared" ref="B25:C31" si="14">+B7</f>
        <v xml:space="preserve">NEXTDC Limited </v>
      </c>
      <c r="C25" s="52" t="str">
        <f t="shared" si="14"/>
        <v>NXT</v>
      </c>
      <c r="D25" s="47"/>
      <c r="E25" s="54"/>
      <c r="F25" s="55"/>
      <c r="G25" s="50">
        <f t="shared" ref="G25:G31" si="15">+G7</f>
        <v>5231.1814738434423</v>
      </c>
      <c r="H25" s="49"/>
      <c r="I25" s="49"/>
      <c r="J25" s="49"/>
      <c r="K25" s="49"/>
      <c r="L25" s="50">
        <f t="shared" ref="L25:L31" si="16">+L7</f>
        <v>5536.2993359384882</v>
      </c>
      <c r="M25" s="56">
        <f t="shared" ref="M25:X26" si="17">IFERROR(IF(OR(+$L7/M7&lt;0,+$L7/M7&gt;=100),"NM",+$L7/M7),"N/A")</f>
        <v>21.919454318689453</v>
      </c>
      <c r="N25" s="56">
        <f t="shared" ref="N25:U25" si="18">IFERROR(IF(OR(+$L7/N7&lt;0,+$L7/N7&gt;=100),"NM",+$L7/N7),"N/A")</f>
        <v>20.430857080521836</v>
      </c>
      <c r="O25" s="56">
        <f t="shared" si="18"/>
        <v>17.57142444623133</v>
      </c>
      <c r="P25" s="56">
        <f t="shared" si="18"/>
        <v>49.763713098259466</v>
      </c>
      <c r="Q25" s="56">
        <f t="shared" si="18"/>
        <v>40.812927478248348</v>
      </c>
      <c r="R25" s="56">
        <f t="shared" si="18"/>
        <v>36.914024304467482</v>
      </c>
      <c r="S25" s="56" t="str">
        <f t="shared" si="18"/>
        <v>NM</v>
      </c>
      <c r="T25" s="56" t="str">
        <f t="shared" si="18"/>
        <v>NM</v>
      </c>
      <c r="U25" s="56" t="str">
        <f t="shared" si="18"/>
        <v>NM</v>
      </c>
      <c r="V25" s="56" t="str">
        <f>IFERROR(IF(OR(+$L7/V7&lt;0,+$L7/V7&gt;=100),"NM",+$L7/V7),"N/A")</f>
        <v>NM</v>
      </c>
      <c r="W25" s="56" t="str">
        <f>IFERROR(IF(OR(+$L7/W7&lt;0,+$L7/W7&gt;=100),"NM",+$L7/W7),"N/A")</f>
        <v>NM</v>
      </c>
      <c r="X25" s="56" t="str">
        <f>IFERROR(IF(OR(+$L7/X7&lt;0,+$L7/X7&gt;=100),"NM",+$L7/X7),"N/A")</f>
        <v>NM</v>
      </c>
    </row>
    <row r="26" spans="2:31" x14ac:dyDescent="0.25">
      <c r="B26" s="47" t="str">
        <f t="shared" si="14"/>
        <v xml:space="preserve">Shanghai @hub Co.,Ltd. </v>
      </c>
      <c r="C26" s="52" t="str">
        <f t="shared" si="14"/>
        <v>603881</v>
      </c>
      <c r="D26" s="47"/>
      <c r="E26" s="54"/>
      <c r="F26" s="55"/>
      <c r="G26" s="50">
        <f t="shared" si="15"/>
        <v>3316.7482725542059</v>
      </c>
      <c r="H26" s="49"/>
      <c r="I26" s="49"/>
      <c r="J26" s="49"/>
      <c r="K26" s="49"/>
      <c r="L26" s="50">
        <f t="shared" si="16"/>
        <v>3607.276598999918</v>
      </c>
      <c r="M26" s="56">
        <f>IFERROR(IF(OR(+$L8/M8&lt;0,+$L8/M8&gt;=100),"NM",+$L8/M8),"N/A")</f>
        <v>16.270784270167088</v>
      </c>
      <c r="N26" s="56">
        <f t="shared" si="17"/>
        <v>16.193347942253705</v>
      </c>
      <c r="O26" s="56">
        <f t="shared" si="17"/>
        <v>14.825188695949372</v>
      </c>
      <c r="P26" s="56">
        <f t="shared" si="17"/>
        <v>26.102079406320204</v>
      </c>
      <c r="Q26" s="56">
        <f t="shared" si="17"/>
        <v>25.215938371270436</v>
      </c>
      <c r="R26" s="56">
        <f t="shared" si="17"/>
        <v>23.7983213300658</v>
      </c>
      <c r="S26" s="56">
        <f t="shared" si="17"/>
        <v>89.787968315971185</v>
      </c>
      <c r="T26" s="56" t="str">
        <f t="shared" si="17"/>
        <v>NM</v>
      </c>
      <c r="U26" s="56">
        <f t="shared" si="17"/>
        <v>88.504601956298984</v>
      </c>
      <c r="V26" s="56" t="str">
        <f t="shared" si="17"/>
        <v>NM</v>
      </c>
      <c r="W26" s="56" t="str">
        <f t="shared" si="17"/>
        <v>NM</v>
      </c>
      <c r="X26" s="56" t="str">
        <f t="shared" si="17"/>
        <v>NM</v>
      </c>
    </row>
    <row r="27" spans="2:31" x14ac:dyDescent="0.25">
      <c r="B27" s="47" t="str">
        <f t="shared" si="14"/>
        <v xml:space="preserve">Redcentric plc </v>
      </c>
      <c r="C27" s="52" t="str">
        <f t="shared" si="14"/>
        <v>RCN</v>
      </c>
      <c r="D27" s="47"/>
      <c r="E27" s="54"/>
      <c r="F27" s="55"/>
      <c r="G27" s="50">
        <f t="shared" si="15"/>
        <v>255.74408094986339</v>
      </c>
      <c r="H27" s="49"/>
      <c r="I27" s="49"/>
      <c r="J27" s="49"/>
      <c r="K27" s="49"/>
      <c r="L27" s="50">
        <f t="shared" si="16"/>
        <v>341.66247987697955</v>
      </c>
      <c r="M27" s="56">
        <f>IFERROR(IF(OR(+$L9/M9&lt;0,+$L9/M9&gt;=100),"NM",+$L9/M9),"N/A")</f>
        <v>1.57768937098436</v>
      </c>
      <c r="N27" s="56">
        <f t="shared" ref="N27:X27" si="19">IFERROR(IF(OR(+$L9/N9&lt;0,+$L9/N9&gt;=100),"NM",+$L9/N9),"N/A")</f>
        <v>1.5192225911410546</v>
      </c>
      <c r="O27" s="56">
        <f t="shared" si="19"/>
        <v>1.4462468334879943</v>
      </c>
      <c r="P27" s="56">
        <f t="shared" si="19"/>
        <v>13.924344118930005</v>
      </c>
      <c r="Q27" s="56">
        <f t="shared" si="19"/>
        <v>6.9724321025000036</v>
      </c>
      <c r="R27" s="56">
        <f t="shared" si="19"/>
        <v>6.4939318601715721</v>
      </c>
      <c r="S27" s="56">
        <f t="shared" si="19"/>
        <v>30.594967655311915</v>
      </c>
      <c r="T27" s="56">
        <f t="shared" si="19"/>
        <v>13.728104657772041</v>
      </c>
      <c r="U27" s="56">
        <f t="shared" si="19"/>
        <v>11.934793688963948</v>
      </c>
      <c r="V27" s="56" t="str">
        <f t="shared" si="19"/>
        <v>NM</v>
      </c>
      <c r="W27" s="56">
        <f t="shared" si="19"/>
        <v>25.975727440686189</v>
      </c>
      <c r="X27" s="56">
        <f t="shared" si="19"/>
        <v>20.538947278682208</v>
      </c>
    </row>
    <row r="28" spans="2:31" x14ac:dyDescent="0.25">
      <c r="B28" s="47" t="str">
        <f t="shared" si="14"/>
        <v xml:space="preserve">Macquarie Technology Group Limited </v>
      </c>
      <c r="C28" s="52" t="str">
        <f t="shared" si="14"/>
        <v>MAQ</v>
      </c>
      <c r="D28" s="47"/>
      <c r="E28" s="54"/>
      <c r="F28" s="55"/>
      <c r="G28" s="50">
        <f t="shared" si="15"/>
        <v>1108.8585316525894</v>
      </c>
      <c r="H28" s="49"/>
      <c r="I28" s="49"/>
      <c r="J28" s="49"/>
      <c r="K28" s="49"/>
      <c r="L28" s="50">
        <f t="shared" si="16"/>
        <v>1133.8597922097556</v>
      </c>
      <c r="M28" s="56">
        <f t="shared" ref="M28:X28" si="20">IFERROR(IF(OR(+$L10/M10&lt;0,+$L10/M10&gt;=100),"NM",+$L10/M10),"N/A")</f>
        <v>4.9209385336604861</v>
      </c>
      <c r="N28" s="56">
        <f t="shared" si="20"/>
        <v>4.8462955835715036</v>
      </c>
      <c r="O28" s="56">
        <f t="shared" si="20"/>
        <v>4.5802489341139436</v>
      </c>
      <c r="P28" s="56">
        <f t="shared" si="20"/>
        <v>19.405656134794597</v>
      </c>
      <c r="Q28" s="56">
        <f t="shared" si="20"/>
        <v>15.814254107110242</v>
      </c>
      <c r="R28" s="56">
        <f t="shared" si="20"/>
        <v>14.857318726050156</v>
      </c>
      <c r="S28" s="56">
        <f t="shared" si="20"/>
        <v>32.088577962649182</v>
      </c>
      <c r="T28" s="56">
        <f t="shared" si="20"/>
        <v>30.858964135657292</v>
      </c>
      <c r="U28" s="56">
        <f t="shared" si="20"/>
        <v>28.037282421647504</v>
      </c>
      <c r="V28" s="56">
        <f>IFERROR(IF(OR(+$L10/V10&lt;0,+$L10/V10&gt;=100),"NM",+$L10/V10),"N/A")</f>
        <v>49.825013746191722</v>
      </c>
      <c r="W28" s="56">
        <f t="shared" si="20"/>
        <v>49.789670333721439</v>
      </c>
      <c r="X28" s="56">
        <f t="shared" si="20"/>
        <v>52.378925185315268</v>
      </c>
    </row>
    <row r="29" spans="2:31" x14ac:dyDescent="0.25">
      <c r="B29" s="47" t="str">
        <f t="shared" si="14"/>
        <v xml:space="preserve">iomart Group plc </v>
      </c>
      <c r="C29" s="52" t="str">
        <f t="shared" si="14"/>
        <v>IOM</v>
      </c>
      <c r="D29" s="47"/>
      <c r="E29" s="54"/>
      <c r="F29" s="55"/>
      <c r="G29" s="50">
        <f t="shared" si="15"/>
        <v>54.380395374477708</v>
      </c>
      <c r="H29" s="49"/>
      <c r="I29" s="49"/>
      <c r="J29" s="49"/>
      <c r="K29" s="49"/>
      <c r="L29" s="50">
        <f t="shared" si="16"/>
        <v>116.36780962113804</v>
      </c>
      <c r="M29" s="56">
        <f t="shared" ref="M29:X29" si="21">IFERROR(IF(OR(+$L11/M11&lt;0,+$L11/M11&gt;=100),"NM",+$L11/M11),"N/A")</f>
        <v>0.71077101026291589</v>
      </c>
      <c r="N29" s="56">
        <f t="shared" si="21"/>
        <v>0.6353508571130444</v>
      </c>
      <c r="O29" s="56">
        <f t="shared" si="21"/>
        <v>0.56253475836339795</v>
      </c>
      <c r="P29" s="56">
        <f t="shared" si="21"/>
        <v>3.5001516176014356</v>
      </c>
      <c r="Q29" s="56">
        <f t="shared" si="21"/>
        <v>2.5750553444415756</v>
      </c>
      <c r="R29" s="56">
        <f t="shared" si="21"/>
        <v>2.5235887454500969</v>
      </c>
      <c r="S29" s="56">
        <f t="shared" si="21"/>
        <v>8.6603559505758057</v>
      </c>
      <c r="T29" s="56">
        <f t="shared" si="21"/>
        <v>5.9499487366046884</v>
      </c>
      <c r="U29" s="56">
        <f t="shared" si="21"/>
        <v>5.3187165781499841</v>
      </c>
      <c r="V29" s="56">
        <f>IFERROR(IF(OR(+$L11/V11&lt;0,+$L11/V11&gt;=100),"NM",+$L11/V11),"N/A")</f>
        <v>26.541443825000037</v>
      </c>
      <c r="W29" s="56">
        <f t="shared" si="21"/>
        <v>14.443097905259759</v>
      </c>
      <c r="X29" s="56">
        <f t="shared" si="21"/>
        <v>13.914814101714068</v>
      </c>
    </row>
    <row r="30" spans="2:31" x14ac:dyDescent="0.25">
      <c r="B30" s="47" t="str">
        <f t="shared" si="14"/>
        <v xml:space="preserve">Wiit S.p.A. </v>
      </c>
      <c r="C30" s="52" t="str">
        <f t="shared" si="14"/>
        <v>WIIT</v>
      </c>
      <c r="D30" s="47"/>
      <c r="E30" s="54"/>
      <c r="F30" s="55"/>
      <c r="G30" s="50">
        <f t="shared" si="15"/>
        <v>471.38260283949177</v>
      </c>
      <c r="H30" s="49"/>
      <c r="I30" s="49"/>
      <c r="J30" s="49"/>
      <c r="K30" s="49"/>
      <c r="L30" s="50">
        <f t="shared" si="16"/>
        <v>704.74305043892832</v>
      </c>
      <c r="M30" s="56">
        <f t="shared" ref="M30:X30" si="22">IFERROR(IF(OR(+$L12/M12&lt;0,+$L12/M12&gt;=100),"NM",+$L12/M12),"N/A")</f>
        <v>4.308773932796317</v>
      </c>
      <c r="N30" s="56">
        <f t="shared" si="22"/>
        <v>4.0210227717402276</v>
      </c>
      <c r="O30" s="56">
        <f t="shared" si="22"/>
        <v>3.5942868760518314</v>
      </c>
      <c r="P30" s="56">
        <f>IFERROR(IF(OR(+$L12/P12&lt;0,+$L12/P12&gt;=100),"NM",+$L12/P12),"N/A")</f>
        <v>13.30802432307763</v>
      </c>
      <c r="Q30" s="56">
        <f t="shared" si="22"/>
        <v>11.404847260283693</v>
      </c>
      <c r="R30" s="56">
        <f t="shared" si="22"/>
        <v>9.9429115082568611</v>
      </c>
      <c r="S30" s="56">
        <f t="shared" si="22"/>
        <v>26.952890754204304</v>
      </c>
      <c r="T30" s="56">
        <f>IFERROR(IF(OR(+$L12/T12&lt;0,+$L12/T12&gt;=100),"NM",+$L12/T12),"N/A")</f>
        <v>22.168175677292648</v>
      </c>
      <c r="U30" s="56">
        <f t="shared" si="22"/>
        <v>17.480279909677403</v>
      </c>
      <c r="V30" s="56">
        <f t="shared" si="22"/>
        <v>55.334730088211813</v>
      </c>
      <c r="W30" s="56">
        <f t="shared" si="22"/>
        <v>40.045153204793728</v>
      </c>
      <c r="X30" s="56">
        <f t="shared" si="22"/>
        <v>29.75139454637873</v>
      </c>
    </row>
    <row r="31" spans="2:31" x14ac:dyDescent="0.25">
      <c r="B31" s="47" t="str">
        <f t="shared" si="14"/>
        <v xml:space="preserve">SUNeVision Holdings Ltd. </v>
      </c>
      <c r="C31" s="52" t="str">
        <f t="shared" si="14"/>
        <v>1686</v>
      </c>
      <c r="D31" s="47"/>
      <c r="E31" s="54"/>
      <c r="F31" s="55"/>
      <c r="G31" s="50">
        <f t="shared" si="15"/>
        <v>4455.079641747272</v>
      </c>
      <c r="H31" s="49"/>
      <c r="I31" s="49"/>
      <c r="J31" s="49"/>
      <c r="K31" s="49"/>
      <c r="L31" s="50">
        <f t="shared" si="16"/>
        <v>6629.8477281738633</v>
      </c>
      <c r="M31" s="56">
        <f t="shared" ref="M31:X31" si="23">IFERROR(IF(OR(+$L13/M13&lt;0,+$L13/M13&gt;=100),"NM",+$L13/M13),"N/A")</f>
        <v>18.046379970018773</v>
      </c>
      <c r="N31" s="56">
        <f t="shared" si="23"/>
        <v>16.469430158212074</v>
      </c>
      <c r="O31" s="56">
        <f t="shared" si="23"/>
        <v>13.842193382137335</v>
      </c>
      <c r="P31" s="56">
        <f t="shared" si="23"/>
        <v>31.048212895427366</v>
      </c>
      <c r="Q31" s="56">
        <f t="shared" si="23"/>
        <v>23.313879987352848</v>
      </c>
      <c r="R31" s="56">
        <f t="shared" si="23"/>
        <v>19.465605536447146</v>
      </c>
      <c r="S31" s="56">
        <f t="shared" si="23"/>
        <v>36.915636483961201</v>
      </c>
      <c r="T31" s="56">
        <f t="shared" si="23"/>
        <v>34.615730392840099</v>
      </c>
      <c r="U31" s="56">
        <f t="shared" si="23"/>
        <v>28.911500208752983</v>
      </c>
      <c r="V31" s="56">
        <f t="shared" si="23"/>
        <v>53.885383875041697</v>
      </c>
      <c r="W31" s="56">
        <f t="shared" si="23"/>
        <v>51.928376469897181</v>
      </c>
      <c r="X31" s="56">
        <f t="shared" si="23"/>
        <v>42.292238787645083</v>
      </c>
    </row>
    <row r="32" spans="2:31" x14ac:dyDescent="0.25"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</row>
    <row r="33" spans="2:24" x14ac:dyDescent="0.25">
      <c r="B33" s="79" t="s">
        <v>14</v>
      </c>
      <c r="C33" s="79"/>
      <c r="D33" s="79"/>
      <c r="E33" s="80"/>
      <c r="F33" s="80"/>
      <c r="G33" s="81">
        <f>MAX(G25:G31)</f>
        <v>5231.1814738434423</v>
      </c>
      <c r="H33" s="81"/>
      <c r="I33" s="81"/>
      <c r="J33" s="81"/>
      <c r="K33" s="81"/>
      <c r="L33" s="81">
        <f t="shared" ref="L33:X33" si="24">MAX(L25:L31)</f>
        <v>6629.8477281738633</v>
      </c>
      <c r="M33" s="82">
        <f t="shared" si="24"/>
        <v>21.919454318689453</v>
      </c>
      <c r="N33" s="82">
        <f t="shared" si="24"/>
        <v>20.430857080521836</v>
      </c>
      <c r="O33" s="82">
        <f t="shared" si="24"/>
        <v>17.57142444623133</v>
      </c>
      <c r="P33" s="82">
        <f t="shared" si="24"/>
        <v>49.763713098259466</v>
      </c>
      <c r="Q33" s="82">
        <f t="shared" si="24"/>
        <v>40.812927478248348</v>
      </c>
      <c r="R33" s="82">
        <f t="shared" si="24"/>
        <v>36.914024304467482</v>
      </c>
      <c r="S33" s="82">
        <f t="shared" si="24"/>
        <v>89.787968315971185</v>
      </c>
      <c r="T33" s="82">
        <f t="shared" si="24"/>
        <v>34.615730392840099</v>
      </c>
      <c r="U33" s="82">
        <f>MAX(U25:U31)</f>
        <v>88.504601956298984</v>
      </c>
      <c r="V33" s="82">
        <f t="shared" si="24"/>
        <v>55.334730088211813</v>
      </c>
      <c r="W33" s="82">
        <f t="shared" si="24"/>
        <v>51.928376469897181</v>
      </c>
      <c r="X33" s="82">
        <f t="shared" si="24"/>
        <v>52.378925185315268</v>
      </c>
    </row>
    <row r="34" spans="2:24" x14ac:dyDescent="0.25">
      <c r="B34" s="47" t="s">
        <v>15</v>
      </c>
      <c r="C34" s="47"/>
      <c r="D34" s="47"/>
      <c r="E34" s="83"/>
      <c r="F34" s="83"/>
      <c r="G34" s="84">
        <f>QUARTILE(G25:G31,3)</f>
        <v>3885.913957150739</v>
      </c>
      <c r="H34" s="84"/>
      <c r="I34" s="84"/>
      <c r="J34" s="84"/>
      <c r="K34" s="84"/>
      <c r="L34" s="84">
        <f t="shared" ref="L34:X34" si="25">QUARTILE(L25:L31,3)</f>
        <v>4571.7879674692031</v>
      </c>
      <c r="M34" s="85">
        <f t="shared" si="25"/>
        <v>17.15858212009293</v>
      </c>
      <c r="N34" s="85">
        <f t="shared" si="25"/>
        <v>16.33138905023289</v>
      </c>
      <c r="O34" s="85">
        <f t="shared" si="25"/>
        <v>14.333691039043353</v>
      </c>
      <c r="P34" s="85">
        <f t="shared" si="25"/>
        <v>28.575146150873785</v>
      </c>
      <c r="Q34" s="85">
        <f t="shared" si="25"/>
        <v>24.264909179311644</v>
      </c>
      <c r="R34" s="85">
        <f t="shared" si="25"/>
        <v>21.631963433256473</v>
      </c>
      <c r="S34" s="85">
        <f t="shared" si="25"/>
        <v>35.708871853633198</v>
      </c>
      <c r="T34" s="85">
        <f t="shared" si="25"/>
        <v>30.858964135657292</v>
      </c>
      <c r="U34" s="85">
        <f t="shared" si="25"/>
        <v>28.692945761976613</v>
      </c>
      <c r="V34" s="85">
        <f t="shared" si="25"/>
        <v>54.247720428334226</v>
      </c>
      <c r="W34" s="85">
        <f t="shared" si="25"/>
        <v>49.789670333721439</v>
      </c>
      <c r="X34" s="85">
        <f t="shared" si="25"/>
        <v>42.292238787645083</v>
      </c>
    </row>
    <row r="35" spans="2:24" x14ac:dyDescent="0.25">
      <c r="B35" s="86" t="s">
        <v>16</v>
      </c>
      <c r="C35" s="86"/>
      <c r="D35" s="86"/>
      <c r="E35" s="87"/>
      <c r="F35" s="87"/>
      <c r="G35" s="88">
        <f>MEDIAN(G25:G31)</f>
        <v>1108.8585316525894</v>
      </c>
      <c r="H35" s="88"/>
      <c r="I35" s="88"/>
      <c r="J35" s="88"/>
      <c r="K35" s="88"/>
      <c r="L35" s="88">
        <f t="shared" ref="L35:X35" si="26">MEDIAN(L25:L31)</f>
        <v>1133.8597922097556</v>
      </c>
      <c r="M35" s="89">
        <f t="shared" si="26"/>
        <v>4.9209385336604861</v>
      </c>
      <c r="N35" s="89">
        <f t="shared" ref="N35:U35" si="27">MEDIAN(N25:N31)</f>
        <v>4.8462955835715036</v>
      </c>
      <c r="O35" s="89">
        <f t="shared" si="27"/>
        <v>4.5802489341139436</v>
      </c>
      <c r="P35" s="89">
        <f t="shared" si="27"/>
        <v>19.405656134794597</v>
      </c>
      <c r="Q35" s="89">
        <f t="shared" si="27"/>
        <v>15.814254107110242</v>
      </c>
      <c r="R35" s="89">
        <f t="shared" si="27"/>
        <v>14.857318726050156</v>
      </c>
      <c r="S35" s="89">
        <f t="shared" si="27"/>
        <v>31.341772808980551</v>
      </c>
      <c r="T35" s="89">
        <f t="shared" si="27"/>
        <v>22.168175677292648</v>
      </c>
      <c r="U35" s="89">
        <f t="shared" si="27"/>
        <v>22.758781165662455</v>
      </c>
      <c r="V35" s="89">
        <f t="shared" si="26"/>
        <v>51.855198810616713</v>
      </c>
      <c r="W35" s="89">
        <f t="shared" si="26"/>
        <v>40.045153204793728</v>
      </c>
      <c r="X35" s="89">
        <f t="shared" si="26"/>
        <v>29.75139454637873</v>
      </c>
    </row>
    <row r="36" spans="2:24" x14ac:dyDescent="0.25">
      <c r="B36" s="47" t="s">
        <v>17</v>
      </c>
      <c r="C36" s="90"/>
      <c r="D36" s="47"/>
      <c r="E36" s="83"/>
      <c r="F36" s="83"/>
      <c r="G36" s="84">
        <f>QUARTILE(G25:G31,1)</f>
        <v>363.56334189467759</v>
      </c>
      <c r="H36" s="84"/>
      <c r="I36" s="84"/>
      <c r="J36" s="84"/>
      <c r="K36" s="84"/>
      <c r="L36" s="84">
        <f t="shared" ref="L36:X36" si="28">QUARTILE(L25:L31,1)</f>
        <v>523.20276515795399</v>
      </c>
      <c r="M36" s="85">
        <f t="shared" si="28"/>
        <v>2.9432316518903385</v>
      </c>
      <c r="N36" s="85">
        <f t="shared" si="28"/>
        <v>2.7701226814406414</v>
      </c>
      <c r="O36" s="85">
        <f t="shared" si="28"/>
        <v>2.520266854769913</v>
      </c>
      <c r="P36" s="85">
        <f t="shared" si="28"/>
        <v>13.616184221003817</v>
      </c>
      <c r="Q36" s="85">
        <f t="shared" si="28"/>
        <v>9.1886396813918481</v>
      </c>
      <c r="R36" s="85">
        <f t="shared" si="28"/>
        <v>8.218421684214217</v>
      </c>
      <c r="S36" s="85">
        <f t="shared" si="28"/>
        <v>27.863409979481208</v>
      </c>
      <c r="T36" s="85">
        <f t="shared" si="28"/>
        <v>13.728104657772041</v>
      </c>
      <c r="U36" s="85">
        <f t="shared" si="28"/>
        <v>13.321165244142312</v>
      </c>
      <c r="V36" s="85">
        <f t="shared" si="28"/>
        <v>44.004121265893801</v>
      </c>
      <c r="W36" s="85">
        <f t="shared" si="28"/>
        <v>25.975727440686189</v>
      </c>
      <c r="X36" s="85">
        <f t="shared" si="28"/>
        <v>20.538947278682208</v>
      </c>
    </row>
    <row r="37" spans="2:24" x14ac:dyDescent="0.25">
      <c r="B37" s="91" t="s">
        <v>18</v>
      </c>
      <c r="C37" s="92"/>
      <c r="D37" s="91"/>
      <c r="E37" s="93"/>
      <c r="F37" s="93"/>
      <c r="G37" s="94">
        <f>MIN(G25:G31)</f>
        <v>54.380395374477708</v>
      </c>
      <c r="H37" s="94"/>
      <c r="I37" s="94"/>
      <c r="J37" s="94"/>
      <c r="K37" s="94"/>
      <c r="L37" s="94">
        <f t="shared" ref="L37:X37" si="29">MIN(L25:L31)</f>
        <v>116.36780962113804</v>
      </c>
      <c r="M37" s="95">
        <f t="shared" si="29"/>
        <v>0.71077101026291589</v>
      </c>
      <c r="N37" s="95">
        <f t="shared" si="29"/>
        <v>0.6353508571130444</v>
      </c>
      <c r="O37" s="95">
        <f t="shared" si="29"/>
        <v>0.56253475836339795</v>
      </c>
      <c r="P37" s="95">
        <f t="shared" si="29"/>
        <v>3.5001516176014356</v>
      </c>
      <c r="Q37" s="95">
        <f t="shared" si="29"/>
        <v>2.5750553444415756</v>
      </c>
      <c r="R37" s="95">
        <f t="shared" si="29"/>
        <v>2.5235887454500969</v>
      </c>
      <c r="S37" s="95">
        <f t="shared" si="29"/>
        <v>8.6603559505758057</v>
      </c>
      <c r="T37" s="95">
        <f t="shared" si="29"/>
        <v>5.9499487366046884</v>
      </c>
      <c r="U37" s="95">
        <f t="shared" si="29"/>
        <v>5.3187165781499841</v>
      </c>
      <c r="V37" s="95">
        <f t="shared" si="29"/>
        <v>26.541443825000037</v>
      </c>
      <c r="W37" s="95">
        <f t="shared" si="29"/>
        <v>14.443097905259759</v>
      </c>
      <c r="X37" s="95">
        <f t="shared" si="29"/>
        <v>13.914814101714068</v>
      </c>
    </row>
    <row r="38" spans="2:24" x14ac:dyDescent="0.25"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</row>
    <row r="39" spans="2:24" ht="15.75" thickBot="1" x14ac:dyDescent="0.3">
      <c r="B39" s="261" t="str">
        <f>B21</f>
        <v>Ascenty Data Centers</v>
      </c>
      <c r="C39" s="261"/>
      <c r="D39" s="261"/>
      <c r="E39" s="262"/>
      <c r="F39" s="257"/>
      <c r="G39" s="263">
        <f>+G21</f>
        <v>1355.8243167188198</v>
      </c>
      <c r="H39" s="263"/>
      <c r="I39" s="263"/>
      <c r="J39" s="263"/>
      <c r="K39" s="263"/>
      <c r="L39" s="263">
        <f>+L21</f>
        <v>2197.7158367793536</v>
      </c>
      <c r="M39" s="264">
        <f>IFERROR(IF(OR(+$L21/M21&lt;0,+$L21/M21&gt;=100),"NM",+$L21/M21),"N/A")</f>
        <v>8.6746228931399738</v>
      </c>
      <c r="N39" s="264">
        <f t="shared" ref="N39:U39" si="30">IFERROR(IF(OR(+$L21/N21&lt;0,+$L21/N21&gt;=100),"NM",+$L21/N21),"-")</f>
        <v>8.5515666044976282</v>
      </c>
      <c r="O39" s="264">
        <f t="shared" si="30"/>
        <v>7.9039165612194395</v>
      </c>
      <c r="P39" s="264">
        <f t="shared" si="30"/>
        <v>19.405656134794597</v>
      </c>
      <c r="Q39" s="264">
        <f t="shared" si="30"/>
        <v>15.814254107110242</v>
      </c>
      <c r="R39" s="264">
        <f t="shared" si="30"/>
        <v>14.857318726050158</v>
      </c>
      <c r="S39" s="264">
        <f t="shared" si="30"/>
        <v>52.257411885913513</v>
      </c>
      <c r="T39" s="264">
        <f t="shared" si="30"/>
        <v>43.231716589976948</v>
      </c>
      <c r="U39" s="264">
        <f t="shared" si="30"/>
        <v>33.891510764149885</v>
      </c>
      <c r="V39" s="264">
        <f>IFERROR(IF(OR(+$G21/V21&lt;0,+$G21/V21&gt;=100),"NM",+$G21/V21),"-")</f>
        <v>48.614045440346985</v>
      </c>
      <c r="W39" s="264">
        <f>IFERROR(IF(OR(+$G21/W21&lt;0,+$G21/W21&gt;=100),"NM",+$G21/W21),"-")</f>
        <v>35.181465500239689</v>
      </c>
      <c r="X39" s="264">
        <f>IFERROR(IF(OR(+$G21/X21&lt;0,+$G21/X21&gt;=100),"NM",+$G21/X21),"-")</f>
        <v>28.601709811592244</v>
      </c>
    </row>
    <row r="42" spans="2:24" x14ac:dyDescent="0.25">
      <c r="B42" s="22"/>
    </row>
  </sheetData>
  <pageMargins left="0.7" right="0.7" top="0.75" bottom="0.75" header="0.3" footer="0.3"/>
  <pageSetup paperSize="9" orientation="portrait" r:id="rId1"/>
  <ignoredErrors>
    <ignoredError sqref="C8:C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78BF-B4A4-4AE4-9B39-7D1DA249A9D3}">
  <dimension ref="A1:M59"/>
  <sheetViews>
    <sheetView showGridLines="0" zoomScaleNormal="100" workbookViewId="0">
      <selection activeCell="F27" sqref="F27"/>
    </sheetView>
  </sheetViews>
  <sheetFormatPr defaultRowHeight="15" x14ac:dyDescent="0.25"/>
  <cols>
    <col min="1" max="1" width="2.7109375" style="5" customWidth="1"/>
    <col min="2" max="2" width="24.7109375" style="5" customWidth="1"/>
    <col min="3" max="12" width="14.7109375" style="5" customWidth="1"/>
    <col min="13" max="13" width="11.7109375" style="5" customWidth="1"/>
    <col min="14" max="14" width="9.5703125" style="5" customWidth="1"/>
    <col min="15" max="15" width="10.28515625" style="5" bestFit="1" customWidth="1"/>
    <col min="16" max="16" width="12.140625" style="5" bestFit="1" customWidth="1"/>
    <col min="17" max="17" width="10.28515625" style="5" bestFit="1" customWidth="1"/>
    <col min="18" max="16384" width="9.140625" style="5"/>
  </cols>
  <sheetData>
    <row r="1" spans="1:13" x14ac:dyDescent="0.25">
      <c r="A1" s="22" t="s">
        <v>52</v>
      </c>
    </row>
    <row r="2" spans="1:13" x14ac:dyDescent="0.25">
      <c r="A2" s="43" t="s">
        <v>51</v>
      </c>
    </row>
    <row r="4" spans="1:13" x14ac:dyDescent="0.25">
      <c r="B4" s="45"/>
      <c r="C4" s="45" t="s">
        <v>14</v>
      </c>
      <c r="D4" s="45" t="s">
        <v>15</v>
      </c>
      <c r="E4" s="45" t="s">
        <v>16</v>
      </c>
      <c r="F4" s="45" t="s">
        <v>17</v>
      </c>
      <c r="G4" s="45" t="s">
        <v>18</v>
      </c>
      <c r="H4" s="45" t="s">
        <v>2</v>
      </c>
      <c r="I4" s="45" t="s">
        <v>18</v>
      </c>
      <c r="J4" s="45" t="s">
        <v>17</v>
      </c>
      <c r="K4" s="45" t="s">
        <v>16</v>
      </c>
      <c r="L4" s="45" t="s">
        <v>15</v>
      </c>
      <c r="M4" s="45" t="s">
        <v>14</v>
      </c>
    </row>
    <row r="5" spans="1:13" x14ac:dyDescent="0.25">
      <c r="B5" s="97" t="s">
        <v>42</v>
      </c>
      <c r="C5" s="97" t="s">
        <v>42</v>
      </c>
      <c r="D5" s="97" t="s">
        <v>42</v>
      </c>
      <c r="E5" s="97" t="s">
        <v>42</v>
      </c>
      <c r="F5" s="97" t="s">
        <v>42</v>
      </c>
      <c r="G5" s="97" t="s">
        <v>42</v>
      </c>
      <c r="H5" s="97" t="s">
        <v>43</v>
      </c>
      <c r="I5" s="97" t="s">
        <v>42</v>
      </c>
      <c r="J5" s="97" t="s">
        <v>42</v>
      </c>
      <c r="K5" s="97" t="s">
        <v>42</v>
      </c>
      <c r="L5" s="97" t="s">
        <v>42</v>
      </c>
      <c r="M5" s="97" t="s">
        <v>42</v>
      </c>
    </row>
    <row r="6" spans="1:13" x14ac:dyDescent="0.25">
      <c r="B6" s="67" t="s">
        <v>82</v>
      </c>
      <c r="C6" s="68" cm="1">
        <f t="array" ref="C6:G6">+TRANSPOSE(Comps!M33:M37)</f>
        <v>21.919454318689453</v>
      </c>
      <c r="D6" s="68">
        <v>17.15858212009293</v>
      </c>
      <c r="E6" s="68">
        <v>4.9209385336604861</v>
      </c>
      <c r="F6" s="68">
        <v>2.9432316518903385</v>
      </c>
      <c r="G6" s="68">
        <v>0.71077101026291589</v>
      </c>
      <c r="H6" s="69">
        <f>+Comps!M21</f>
        <v>253.35001461761999</v>
      </c>
      <c r="I6" s="70">
        <f t="shared" ref="I6:I17" si="0">+$H6*G6</f>
        <v>180.07384583989028</v>
      </c>
      <c r="J6" s="70">
        <f t="shared" ref="J6:J17" si="1">+$H6*F6</f>
        <v>745.66778202945909</v>
      </c>
      <c r="K6" s="70">
        <f t="shared" ref="K6:K17" si="2">+$H6*E6</f>
        <v>1246.7198494352936</v>
      </c>
      <c r="L6" s="70">
        <f t="shared" ref="L6:L17" si="3">+$H6*D6</f>
        <v>4347.1270309431766</v>
      </c>
      <c r="M6" s="70">
        <f t="shared" ref="M6:M17" si="4">+$H6*C6</f>
        <v>5553.2940720502265</v>
      </c>
    </row>
    <row r="7" spans="1:13" x14ac:dyDescent="0.25">
      <c r="B7" s="57" t="s">
        <v>81</v>
      </c>
      <c r="C7" s="58" cm="1">
        <f t="array" ref="C7:G7">+TRANSPOSE(Comps!N33:N37)</f>
        <v>20.430857080521836</v>
      </c>
      <c r="D7" s="58">
        <v>16.33138905023289</v>
      </c>
      <c r="E7" s="58">
        <v>4.8462955835715036</v>
      </c>
      <c r="F7" s="58">
        <v>2.7701226814406414</v>
      </c>
      <c r="G7" s="58">
        <v>0.6353508571130444</v>
      </c>
      <c r="H7" s="59">
        <f>+Comps!N21</f>
        <v>256.99569896625519</v>
      </c>
      <c r="I7" s="62">
        <f t="shared" si="0"/>
        <v>163.28243761257616</v>
      </c>
      <c r="J7" s="62">
        <f t="shared" si="1"/>
        <v>711.90961473911466</v>
      </c>
      <c r="K7" s="62">
        <f t="shared" si="2"/>
        <v>1245.4771208970342</v>
      </c>
      <c r="L7" s="62">
        <f t="shared" si="3"/>
        <v>4197.0967440544482</v>
      </c>
      <c r="M7" s="62">
        <f t="shared" si="4"/>
        <v>5250.6423958883734</v>
      </c>
    </row>
    <row r="8" spans="1:13" ht="15.75" thickBot="1" x14ac:dyDescent="0.3">
      <c r="B8" s="63" t="s">
        <v>80</v>
      </c>
      <c r="C8" s="64" cm="1">
        <f t="array" ref="C8:G8">+TRANSPOSE(Comps!O33:O37)</f>
        <v>17.57142444623133</v>
      </c>
      <c r="D8" s="64">
        <v>14.333691039043353</v>
      </c>
      <c r="E8" s="64">
        <v>4.5802489341139436</v>
      </c>
      <c r="F8" s="64">
        <v>2.520266854769913</v>
      </c>
      <c r="G8" s="64">
        <v>0.56253475836339795</v>
      </c>
      <c r="H8" s="65">
        <f>+Comps!O21</f>
        <v>278.0540279944812</v>
      </c>
      <c r="I8" s="66">
        <f t="shared" si="0"/>
        <v>156.41505544984497</v>
      </c>
      <c r="J8" s="66">
        <f t="shared" si="1"/>
        <v>700.7703505897565</v>
      </c>
      <c r="K8" s="66">
        <f t="shared" si="2"/>
        <v>1273.5566653478111</v>
      </c>
      <c r="L8" s="66">
        <f t="shared" si="3"/>
        <v>3985.540529434405</v>
      </c>
      <c r="M8" s="66">
        <f t="shared" si="4"/>
        <v>4885.8053448753171</v>
      </c>
    </row>
    <row r="9" spans="1:13" ht="15.75" thickBot="1" x14ac:dyDescent="0.3">
      <c r="B9" s="71" t="s">
        <v>79</v>
      </c>
      <c r="C9" s="72" cm="1">
        <f t="array" ref="C9:G9">+TRANSPOSE(Comps!P33:P37)</f>
        <v>49.763713098259466</v>
      </c>
      <c r="D9" s="72">
        <v>28.575146150873785</v>
      </c>
      <c r="E9" s="72">
        <v>19.405656134794597</v>
      </c>
      <c r="F9" s="72">
        <v>13.616184221003817</v>
      </c>
      <c r="G9" s="72">
        <v>3.5001516176014356</v>
      </c>
      <c r="H9" s="73">
        <f>+Comps!P21</f>
        <v>113.25130268792201</v>
      </c>
      <c r="I9" s="74">
        <f t="shared" si="0"/>
        <v>396.3967302986</v>
      </c>
      <c r="J9" s="74">
        <f t="shared" si="1"/>
        <v>1542.0506006674107</v>
      </c>
      <c r="K9" s="74">
        <f t="shared" si="2"/>
        <v>2197.7158367793536</v>
      </c>
      <c r="L9" s="74">
        <f t="shared" si="3"/>
        <v>3236.1725260842163</v>
      </c>
      <c r="M9" s="140">
        <f t="shared" si="4"/>
        <v>5635.8053349658921</v>
      </c>
    </row>
    <row r="10" spans="1:13" x14ac:dyDescent="0.25">
      <c r="B10" s="67" t="s">
        <v>78</v>
      </c>
      <c r="C10" s="68" cm="1">
        <f t="array" ref="C10:G10">+TRANSPOSE(Comps!Q33:Q37)</f>
        <v>40.812927478248348</v>
      </c>
      <c r="D10" s="68">
        <v>24.264909179311644</v>
      </c>
      <c r="E10" s="68">
        <v>15.814254107110242</v>
      </c>
      <c r="F10" s="68">
        <v>9.1886396813918481</v>
      </c>
      <c r="G10" s="68">
        <v>2.5750553444415756</v>
      </c>
      <c r="H10" s="69">
        <f>+Comps!Q21</f>
        <v>138.97056553500295</v>
      </c>
      <c r="I10" s="70">
        <f t="shared" si="0"/>
        <v>357.85689750097754</v>
      </c>
      <c r="J10" s="70">
        <f t="shared" si="1"/>
        <v>1276.9504530203944</v>
      </c>
      <c r="K10" s="70">
        <f t="shared" si="2"/>
        <v>2197.7158367793536</v>
      </c>
      <c r="L10" s="70">
        <f t="shared" si="3"/>
        <v>3372.1081513044232</v>
      </c>
      <c r="M10" s="70">
        <f t="shared" si="4"/>
        <v>5671.7956127912348</v>
      </c>
    </row>
    <row r="11" spans="1:13" x14ac:dyDescent="0.25">
      <c r="B11" s="57" t="s">
        <v>77</v>
      </c>
      <c r="C11" s="58" cm="1">
        <f t="array" ref="C11:G11">+TRANSPOSE(Comps!R33:R37)</f>
        <v>36.914024304467482</v>
      </c>
      <c r="D11" s="58">
        <v>21.631963433256473</v>
      </c>
      <c r="E11" s="58">
        <v>14.857318726050156</v>
      </c>
      <c r="F11" s="58">
        <v>8.218421684214217</v>
      </c>
      <c r="G11" s="58">
        <v>2.5235887454500969</v>
      </c>
      <c r="H11" s="59">
        <f>+Comps!R21</f>
        <v>147.92143032685817</v>
      </c>
      <c r="I11" s="62">
        <f t="shared" si="0"/>
        <v>373.29285678373992</v>
      </c>
      <c r="J11" s="62">
        <f t="shared" si="1"/>
        <v>1215.6806905582337</v>
      </c>
      <c r="K11" s="62">
        <f t="shared" si="2"/>
        <v>2197.7158367793536</v>
      </c>
      <c r="L11" s="62">
        <f t="shared" si="3"/>
        <v>3199.830971825591</v>
      </c>
      <c r="M11" s="62">
        <f t="shared" si="4"/>
        <v>5460.3752742372362</v>
      </c>
    </row>
    <row r="12" spans="1:13" x14ac:dyDescent="0.25">
      <c r="B12" s="57" t="s">
        <v>76</v>
      </c>
      <c r="C12" s="58" cm="1">
        <f t="array" ref="C12:G12">+TRANSPOSE(Comps!S33:S37)</f>
        <v>89.787968315971185</v>
      </c>
      <c r="D12" s="58">
        <v>35.708871853633198</v>
      </c>
      <c r="E12" s="58">
        <v>31.341772808980551</v>
      </c>
      <c r="F12" s="58">
        <v>27.863409979481208</v>
      </c>
      <c r="G12" s="58">
        <v>8.6603559505758057</v>
      </c>
      <c r="H12" s="59">
        <f>+Comps!S21</f>
        <v>42.055581351355997</v>
      </c>
      <c r="I12" s="62">
        <f t="shared" si="0"/>
        <v>364.21630421114077</v>
      </c>
      <c r="J12" s="62">
        <f t="shared" si="1"/>
        <v>1171.8119051182564</v>
      </c>
      <c r="K12" s="62">
        <f t="shared" si="2"/>
        <v>1318.0964760637989</v>
      </c>
      <c r="L12" s="62">
        <f t="shared" si="3"/>
        <v>1501.7573652056174</v>
      </c>
      <c r="M12" s="62">
        <f t="shared" si="4"/>
        <v>3776.0852058853006</v>
      </c>
    </row>
    <row r="13" spans="1:13" x14ac:dyDescent="0.25">
      <c r="B13" s="57" t="s">
        <v>75</v>
      </c>
      <c r="C13" s="58" cm="1">
        <f t="array" ref="C13:G13">+TRANSPOSE(Comps!T33:T37)</f>
        <v>34.615730392840099</v>
      </c>
      <c r="D13" s="58">
        <v>30.858964135657292</v>
      </c>
      <c r="E13" s="58">
        <v>22.168175677292648</v>
      </c>
      <c r="F13" s="58">
        <v>13.728104657772041</v>
      </c>
      <c r="G13" s="58">
        <v>5.9499487366046884</v>
      </c>
      <c r="H13" s="59">
        <f>+Comps!T21</f>
        <v>50.835729185199249</v>
      </c>
      <c r="I13" s="62">
        <f t="shared" si="0"/>
        <v>302.46998263985438</v>
      </c>
      <c r="J13" s="62">
        <f t="shared" si="1"/>
        <v>697.87821060857186</v>
      </c>
      <c r="K13" s="62">
        <f t="shared" si="2"/>
        <v>1126.9353752607701</v>
      </c>
      <c r="L13" s="62">
        <f t="shared" si="3"/>
        <v>1568.7379437360503</v>
      </c>
      <c r="M13" s="62">
        <f t="shared" si="4"/>
        <v>1759.7158957982901</v>
      </c>
    </row>
    <row r="14" spans="1:13" x14ac:dyDescent="0.25">
      <c r="B14" s="57" t="s">
        <v>74</v>
      </c>
      <c r="C14" s="58" cm="1">
        <f t="array" ref="C14:G14">+TRANSPOSE(Comps!U33:U37)</f>
        <v>88.504601956298984</v>
      </c>
      <c r="D14" s="58">
        <v>28.692945761976613</v>
      </c>
      <c r="E14" s="58">
        <v>22.758781165662455</v>
      </c>
      <c r="F14" s="58">
        <v>13.321165244142312</v>
      </c>
      <c r="G14" s="58">
        <v>5.3187165781499841</v>
      </c>
      <c r="H14" s="59">
        <f>+Comps!U21</f>
        <v>64.845614350838446</v>
      </c>
      <c r="I14" s="62">
        <f t="shared" si="0"/>
        <v>344.89544406812496</v>
      </c>
      <c r="J14" s="62">
        <f t="shared" si="1"/>
        <v>863.81914412544506</v>
      </c>
      <c r="K14" s="62">
        <f t="shared" si="2"/>
        <v>1475.8071465636731</v>
      </c>
      <c r="L14" s="62">
        <f t="shared" si="3"/>
        <v>1860.6116954706599</v>
      </c>
      <c r="M14" s="62">
        <f t="shared" si="4"/>
        <v>5739.1352867326259</v>
      </c>
    </row>
    <row r="15" spans="1:13" x14ac:dyDescent="0.25">
      <c r="B15" s="57" t="s">
        <v>83</v>
      </c>
      <c r="C15" s="58" cm="1">
        <f t="array" ref="C15:G15">+TRANSPOSE(Comps!V33:V37)</f>
        <v>55.334730088211813</v>
      </c>
      <c r="D15" s="58">
        <v>54.247720428334226</v>
      </c>
      <c r="E15" s="58">
        <v>51.855198810616713</v>
      </c>
      <c r="F15" s="58">
        <v>44.004121265893801</v>
      </c>
      <c r="G15" s="58">
        <v>26.541443825000037</v>
      </c>
      <c r="H15" s="59">
        <f>+Comps!V21</f>
        <v>27.8895595797004</v>
      </c>
      <c r="I15" s="62">
        <f t="shared" si="0"/>
        <v>740.22917888860979</v>
      </c>
      <c r="J15" s="62">
        <f t="shared" si="1"/>
        <v>1227.2555617975065</v>
      </c>
      <c r="K15" s="62">
        <f t="shared" si="2"/>
        <v>1446.2186567459041</v>
      </c>
      <c r="L15" s="62">
        <f t="shared" si="3"/>
        <v>1512.945030948958</v>
      </c>
      <c r="M15" s="62">
        <f t="shared" si="4"/>
        <v>1543.2612516218237</v>
      </c>
    </row>
    <row r="16" spans="1:13" x14ac:dyDescent="0.25">
      <c r="B16" s="57" t="s">
        <v>73</v>
      </c>
      <c r="C16" s="58" cm="1">
        <f t="array" ref="C16:G16">+TRANSPOSE(Comps!W33:W37)</f>
        <v>51.928376469897181</v>
      </c>
      <c r="D16" s="58">
        <v>49.789670333721439</v>
      </c>
      <c r="E16" s="58">
        <v>40.045153204793728</v>
      </c>
      <c r="F16" s="58">
        <v>25.975727440686189</v>
      </c>
      <c r="G16" s="58">
        <v>14.443097905259759</v>
      </c>
      <c r="H16" s="59">
        <f>+Comps!W21</f>
        <v>38.538028403324546</v>
      </c>
      <c r="I16" s="62">
        <f t="shared" si="0"/>
        <v>556.60851730489787</v>
      </c>
      <c r="J16" s="62">
        <f t="shared" si="1"/>
        <v>1001.0533219061812</v>
      </c>
      <c r="K16" s="62">
        <f t="shared" si="2"/>
        <v>1543.2612516218237</v>
      </c>
      <c r="L16" s="62">
        <f t="shared" si="3"/>
        <v>1918.7957295131223</v>
      </c>
      <c r="M16" s="62">
        <f t="shared" si="4"/>
        <v>2001.2172473354276</v>
      </c>
    </row>
    <row r="17" spans="2:13" x14ac:dyDescent="0.25">
      <c r="B17" s="101" t="s">
        <v>72</v>
      </c>
      <c r="C17" s="102" cm="1">
        <f t="array" ref="C17:G17">+TRANSPOSE(Comps!X33:X37)</f>
        <v>52.378925185315268</v>
      </c>
      <c r="D17" s="102">
        <v>42.292238787645083</v>
      </c>
      <c r="E17" s="102">
        <v>29.75139454637873</v>
      </c>
      <c r="F17" s="102">
        <v>20.538947278682208</v>
      </c>
      <c r="G17" s="102">
        <v>13.914814101714068</v>
      </c>
      <c r="H17" s="103">
        <f>+Comps!X21</f>
        <v>47.403610680970743</v>
      </c>
      <c r="I17" s="104">
        <f t="shared" si="0"/>
        <v>659.61243037573536</v>
      </c>
      <c r="J17" s="104">
        <f t="shared" si="1"/>
        <v>973.62026059563493</v>
      </c>
      <c r="K17" s="104">
        <f t="shared" si="2"/>
        <v>1410.3235242924934</v>
      </c>
      <c r="L17" s="104">
        <f t="shared" si="3"/>
        <v>2004.8048223161777</v>
      </c>
      <c r="M17" s="104">
        <f t="shared" si="4"/>
        <v>2482.9501773723782</v>
      </c>
    </row>
    <row r="18" spans="2:13" ht="12.75" customHeight="1" x14ac:dyDescent="0.25"/>
    <row r="19" spans="2:13" ht="12.75" customHeight="1" x14ac:dyDescent="0.25">
      <c r="B19" s="105" t="s">
        <v>44</v>
      </c>
      <c r="C19" s="106"/>
      <c r="D19" s="106"/>
      <c r="E19" s="107">
        <f>+K9</f>
        <v>2197.7158367793536</v>
      </c>
    </row>
    <row r="20" spans="2:13" ht="12.75" customHeight="1" x14ac:dyDescent="0.25">
      <c r="B20" s="5" t="s">
        <v>45</v>
      </c>
      <c r="E20" s="60">
        <f>+Comps!H21</f>
        <v>87.710708696624195</v>
      </c>
    </row>
    <row r="21" spans="2:13" ht="12.75" customHeight="1" x14ac:dyDescent="0.25">
      <c r="B21" s="5" t="s">
        <v>46</v>
      </c>
      <c r="E21" s="60">
        <f>-Comps!I21</f>
        <v>-929.60222875715795</v>
      </c>
    </row>
    <row r="22" spans="2:13" x14ac:dyDescent="0.25">
      <c r="B22" s="5" t="s">
        <v>47</v>
      </c>
      <c r="E22" s="60">
        <f>-Comps!J21</f>
        <v>0</v>
      </c>
    </row>
    <row r="23" spans="2:13" x14ac:dyDescent="0.25">
      <c r="B23" s="5" t="s">
        <v>48</v>
      </c>
      <c r="E23" s="60">
        <f>-Comps!K21</f>
        <v>0</v>
      </c>
    </row>
    <row r="24" spans="2:13" x14ac:dyDescent="0.25">
      <c r="B24" s="110" t="s">
        <v>49</v>
      </c>
      <c r="C24" s="111"/>
      <c r="D24" s="111"/>
      <c r="E24" s="112">
        <f>SUM(E19:E23)</f>
        <v>1355.82431671882</v>
      </c>
    </row>
    <row r="26" spans="2:13" ht="15.75" thickBot="1" x14ac:dyDescent="0.3">
      <c r="B26" s="108" t="s">
        <v>50</v>
      </c>
      <c r="C26" s="108"/>
      <c r="D26" s="108"/>
      <c r="E26" s="109">
        <f>E24/Diluted_Shares</f>
        <v>8.2549484491357372</v>
      </c>
    </row>
    <row r="28" spans="2:13" ht="12.75" customHeight="1" x14ac:dyDescent="0.25"/>
    <row r="29" spans="2:13" ht="12.75" customHeight="1" x14ac:dyDescent="0.25"/>
    <row r="30" spans="2:13" ht="12.75" customHeight="1" x14ac:dyDescent="0.25"/>
    <row r="35" spans="3:13" x14ac:dyDescent="0.25">
      <c r="M35" s="61"/>
    </row>
    <row r="36" spans="3:13" x14ac:dyDescent="0.25">
      <c r="M36" s="61"/>
    </row>
    <row r="37" spans="3:13" x14ac:dyDescent="0.25">
      <c r="M37" s="61"/>
    </row>
    <row r="38" spans="3:13" x14ac:dyDescent="0.25">
      <c r="M38" s="61"/>
    </row>
    <row r="39" spans="3:13" x14ac:dyDescent="0.25">
      <c r="M39" s="61"/>
    </row>
    <row r="46" spans="3:13" x14ac:dyDescent="0.25">
      <c r="C46" s="61"/>
      <c r="D46" s="61"/>
      <c r="E46" s="61"/>
      <c r="F46" s="61"/>
      <c r="G46" s="61"/>
    </row>
    <row r="47" spans="3:13" x14ac:dyDescent="0.25">
      <c r="C47" s="61"/>
      <c r="D47" s="61"/>
      <c r="E47" s="61"/>
      <c r="F47" s="61"/>
      <c r="G47" s="61"/>
      <c r="I47" s="61"/>
      <c r="J47" s="61"/>
      <c r="K47" s="61"/>
      <c r="L47" s="61"/>
    </row>
    <row r="48" spans="3:13" x14ac:dyDescent="0.25">
      <c r="C48" s="61"/>
      <c r="D48" s="61"/>
      <c r="E48" s="61"/>
      <c r="F48" s="61"/>
      <c r="G48" s="61"/>
      <c r="I48" s="61"/>
      <c r="J48" s="61"/>
      <c r="K48" s="61"/>
      <c r="L48" s="61"/>
    </row>
    <row r="49" spans="3:12" x14ac:dyDescent="0.25">
      <c r="C49" s="61"/>
      <c r="D49" s="61"/>
      <c r="E49" s="61"/>
      <c r="F49" s="61"/>
      <c r="G49" s="61"/>
      <c r="I49" s="61"/>
      <c r="J49" s="61"/>
      <c r="K49" s="61"/>
      <c r="L49" s="61"/>
    </row>
    <row r="50" spans="3:12" x14ac:dyDescent="0.25">
      <c r="C50" s="61"/>
      <c r="D50" s="61"/>
      <c r="E50" s="61"/>
      <c r="F50" s="61"/>
      <c r="G50" s="61"/>
      <c r="I50" s="61"/>
      <c r="J50" s="61"/>
      <c r="K50" s="61"/>
      <c r="L50" s="61"/>
    </row>
    <row r="51" spans="3:12" x14ac:dyDescent="0.25">
      <c r="C51" s="61"/>
      <c r="D51" s="61"/>
      <c r="E51" s="61"/>
      <c r="F51" s="61"/>
      <c r="G51" s="61"/>
      <c r="I51" s="61"/>
      <c r="J51" s="61"/>
      <c r="K51" s="61"/>
      <c r="L51" s="61"/>
    </row>
    <row r="52" spans="3:12" x14ac:dyDescent="0.25">
      <c r="C52" s="61"/>
      <c r="D52" s="61"/>
      <c r="E52" s="61"/>
      <c r="F52" s="61"/>
      <c r="G52" s="61"/>
      <c r="I52" s="61"/>
      <c r="J52" s="61"/>
      <c r="K52" s="61"/>
      <c r="L52" s="61"/>
    </row>
    <row r="53" spans="3:12" x14ac:dyDescent="0.25">
      <c r="C53" s="61"/>
      <c r="D53" s="61"/>
      <c r="E53" s="61"/>
      <c r="F53" s="61"/>
      <c r="G53" s="61"/>
      <c r="I53" s="61"/>
      <c r="J53" s="61"/>
      <c r="K53" s="61"/>
      <c r="L53" s="61"/>
    </row>
    <row r="54" spans="3:12" x14ac:dyDescent="0.25">
      <c r="C54" s="61"/>
      <c r="D54" s="61"/>
      <c r="E54" s="61"/>
      <c r="F54" s="61"/>
      <c r="G54" s="61"/>
      <c r="I54" s="61"/>
      <c r="J54" s="61"/>
      <c r="K54" s="61"/>
      <c r="L54" s="61"/>
    </row>
    <row r="55" spans="3:12" x14ac:dyDescent="0.25">
      <c r="C55" s="61"/>
      <c r="D55" s="61"/>
      <c r="E55" s="61"/>
      <c r="F55" s="61"/>
      <c r="G55" s="61"/>
      <c r="I55" s="61"/>
      <c r="J55" s="61"/>
      <c r="K55" s="61"/>
      <c r="L55" s="61"/>
    </row>
    <row r="56" spans="3:12" x14ac:dyDescent="0.25">
      <c r="C56" s="61"/>
      <c r="D56" s="61"/>
      <c r="E56" s="61"/>
      <c r="F56" s="61"/>
      <c r="G56" s="61"/>
      <c r="I56" s="61"/>
      <c r="J56" s="61"/>
      <c r="K56" s="61"/>
      <c r="L56" s="61"/>
    </row>
    <row r="57" spans="3:12" x14ac:dyDescent="0.25">
      <c r="C57" s="61"/>
      <c r="D57" s="61"/>
      <c r="E57" s="61"/>
      <c r="F57" s="61"/>
      <c r="G57" s="61"/>
      <c r="I57" s="61"/>
      <c r="J57" s="61"/>
      <c r="K57" s="61"/>
      <c r="L57" s="61"/>
    </row>
    <row r="58" spans="3:12" x14ac:dyDescent="0.25">
      <c r="C58" s="61"/>
      <c r="D58" s="61"/>
      <c r="E58" s="61"/>
      <c r="F58" s="61"/>
      <c r="G58" s="61"/>
      <c r="I58" s="61"/>
      <c r="J58" s="61"/>
      <c r="K58" s="61"/>
      <c r="L58" s="61"/>
    </row>
    <row r="59" spans="3:12" x14ac:dyDescent="0.25">
      <c r="C59" s="61"/>
      <c r="D59" s="61"/>
      <c r="E59" s="61"/>
      <c r="F59" s="61"/>
      <c r="G59" s="6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694A-B1BE-4FBD-A7F8-CB6F43F83F6F}">
  <dimension ref="B2:Z46"/>
  <sheetViews>
    <sheetView showGridLines="0" zoomScale="85" zoomScaleNormal="85" workbookViewId="0">
      <selection activeCell="G32" sqref="G32"/>
    </sheetView>
  </sheetViews>
  <sheetFormatPr defaultRowHeight="15" x14ac:dyDescent="0.25"/>
  <cols>
    <col min="1" max="1" width="2.7109375" customWidth="1"/>
    <col min="2" max="2" width="20" bestFit="1" customWidth="1"/>
    <col min="3" max="3" width="14" customWidth="1"/>
    <col min="4" max="6" width="11.42578125" customWidth="1"/>
    <col min="7" max="7" width="9.42578125" customWidth="1"/>
    <col min="8" max="8" width="11.42578125" customWidth="1"/>
    <col min="9" max="10" width="10.7109375" customWidth="1"/>
    <col min="11" max="12" width="12.28515625" customWidth="1"/>
    <col min="13" max="13" width="9.85546875" customWidth="1"/>
    <col min="14" max="14" width="22.140625" customWidth="1"/>
    <col min="15" max="15" width="15.28515625" customWidth="1"/>
    <col min="16" max="17" width="13.28515625" customWidth="1"/>
    <col min="18" max="18" width="19.28515625" bestFit="1" customWidth="1"/>
    <col min="19" max="19" width="13.28515625" customWidth="1"/>
    <col min="20" max="20" width="13.5703125" customWidth="1"/>
    <col min="21" max="21" width="3.5703125" customWidth="1"/>
    <col min="22" max="22" width="29" bestFit="1" customWidth="1"/>
    <col min="23" max="23" width="14.7109375" bestFit="1" customWidth="1"/>
    <col min="24" max="24" width="22" bestFit="1" customWidth="1"/>
    <col min="25" max="25" width="20.7109375" bestFit="1" customWidth="1"/>
    <col min="26" max="26" width="26.7109375" bestFit="1" customWidth="1"/>
  </cols>
  <sheetData>
    <row r="2" spans="2:26" ht="15.75" x14ac:dyDescent="0.25">
      <c r="C2" s="4" t="s">
        <v>53</v>
      </c>
      <c r="D2" s="4" t="s">
        <v>54</v>
      </c>
      <c r="E2" s="100" t="s">
        <v>55</v>
      </c>
      <c r="F2" s="100" t="s">
        <v>56</v>
      </c>
      <c r="G2" s="100" t="s">
        <v>57</v>
      </c>
      <c r="H2" s="1" t="s">
        <v>53</v>
      </c>
      <c r="I2" s="1" t="s">
        <v>54</v>
      </c>
      <c r="J2" s="2" t="s">
        <v>55</v>
      </c>
      <c r="K2" s="2" t="s">
        <v>56</v>
      </c>
      <c r="L2" s="2" t="s">
        <v>57</v>
      </c>
      <c r="M2" s="1"/>
      <c r="N2" s="6" t="s">
        <v>93</v>
      </c>
      <c r="O2" s="6"/>
      <c r="P2" s="6"/>
      <c r="Q2" s="6"/>
      <c r="R2" s="6"/>
      <c r="S2" s="8" t="s">
        <v>3</v>
      </c>
      <c r="T2" s="6"/>
    </row>
    <row r="3" spans="2:26" ht="16.5" thickBot="1" x14ac:dyDescent="0.3">
      <c r="B3" s="1" t="s">
        <v>72</v>
      </c>
      <c r="C3" s="3">
        <f>+Valuation!I17</f>
        <v>659.61243037573536</v>
      </c>
      <c r="D3" s="3">
        <f>+Valuation!J17</f>
        <v>973.62026059563493</v>
      </c>
      <c r="E3" s="3">
        <f>+Valuation!K17</f>
        <v>1410.3235242924934</v>
      </c>
      <c r="F3" s="3">
        <f>+Valuation!L17</f>
        <v>2004.8048223161777</v>
      </c>
      <c r="G3" s="3">
        <f>+Valuation!M17</f>
        <v>2482.9501773723782</v>
      </c>
      <c r="H3" s="2">
        <f>+C3</f>
        <v>659.61243037573536</v>
      </c>
      <c r="I3" s="2">
        <f>+D3-C3</f>
        <v>314.00783021989957</v>
      </c>
      <c r="J3" s="2">
        <f t="shared" ref="J3:L3" si="0">+E3-D3</f>
        <v>436.70326369685847</v>
      </c>
      <c r="K3" s="2">
        <f t="shared" si="0"/>
        <v>594.4812980236843</v>
      </c>
      <c r="L3" s="2">
        <f t="shared" si="0"/>
        <v>478.14535505620051</v>
      </c>
      <c r="M3" s="2"/>
      <c r="N3" s="7" t="s">
        <v>2</v>
      </c>
      <c r="O3" s="8" t="s">
        <v>32</v>
      </c>
      <c r="P3" s="8" t="s">
        <v>84</v>
      </c>
      <c r="Q3" s="8" t="s">
        <v>25</v>
      </c>
      <c r="R3" s="8" t="s">
        <v>3</v>
      </c>
      <c r="S3" s="114" t="s">
        <v>101</v>
      </c>
      <c r="T3" s="8" t="s">
        <v>85</v>
      </c>
    </row>
    <row r="4" spans="2:26" ht="15.75" x14ac:dyDescent="0.25">
      <c r="B4" s="1" t="s">
        <v>73</v>
      </c>
      <c r="C4" s="3">
        <f>+Valuation!I16</f>
        <v>556.60851730489787</v>
      </c>
      <c r="D4" s="3">
        <f>+Valuation!J16</f>
        <v>1001.0533219061812</v>
      </c>
      <c r="E4" s="3">
        <f>+Valuation!K16</f>
        <v>1543.2612516218237</v>
      </c>
      <c r="F4" s="3">
        <f>+Valuation!L16</f>
        <v>1918.7957295131223</v>
      </c>
      <c r="G4" s="3">
        <f>+Valuation!M16</f>
        <v>2001.2172473354276</v>
      </c>
      <c r="H4" s="2">
        <f t="shared" ref="H4:H14" si="1">+C4</f>
        <v>556.60851730489787</v>
      </c>
      <c r="I4" s="2">
        <f t="shared" ref="I4:I14" si="2">+D4-C4</f>
        <v>444.44480460128329</v>
      </c>
      <c r="J4" s="2">
        <f t="shared" ref="J4:J14" si="3">+E4-D4</f>
        <v>542.20792971564254</v>
      </c>
      <c r="K4" s="2">
        <f t="shared" ref="K4:K14" si="4">+F4-E4</f>
        <v>375.53447789129859</v>
      </c>
      <c r="L4" s="2">
        <f t="shared" ref="L4:L14" si="5">+G4-F4</f>
        <v>82.421517822305304</v>
      </c>
      <c r="M4" s="2"/>
      <c r="N4" s="9" t="s">
        <v>86</v>
      </c>
      <c r="O4" s="10" t="s">
        <v>34</v>
      </c>
      <c r="P4" s="11">
        <v>5231.1814738434396</v>
      </c>
      <c r="Q4" s="11">
        <v>5536.2993359384882</v>
      </c>
      <c r="R4" s="11">
        <v>111.251733266104</v>
      </c>
      <c r="S4" s="113">
        <f>+Comps!Z7</f>
        <v>0.10562118997437531</v>
      </c>
      <c r="T4" s="12">
        <f>+Q4/R4</f>
        <v>49.763713098259466</v>
      </c>
    </row>
    <row r="5" spans="2:26" ht="15.75" x14ac:dyDescent="0.25">
      <c r="B5" s="1" t="s">
        <v>73</v>
      </c>
      <c r="C5" s="3">
        <f>+Valuation!I15</f>
        <v>740.22917888860979</v>
      </c>
      <c r="D5" s="3">
        <f>+Valuation!J15</f>
        <v>1227.2555617975065</v>
      </c>
      <c r="E5" s="3">
        <f>+Valuation!K15</f>
        <v>1446.2186567459041</v>
      </c>
      <c r="F5" s="3">
        <f>+Valuation!L15</f>
        <v>1512.945030948958</v>
      </c>
      <c r="G5" s="3">
        <f>+Valuation!M15</f>
        <v>1543.2612516218237</v>
      </c>
      <c r="H5" s="2">
        <f t="shared" si="1"/>
        <v>740.22917888860979</v>
      </c>
      <c r="I5" s="2">
        <f t="shared" si="2"/>
        <v>487.02638290889672</v>
      </c>
      <c r="J5" s="2">
        <f t="shared" si="3"/>
        <v>218.96309494839761</v>
      </c>
      <c r="K5" s="2">
        <f t="shared" si="4"/>
        <v>66.726374203053865</v>
      </c>
      <c r="L5" s="2">
        <f t="shared" si="5"/>
        <v>30.316220672865711</v>
      </c>
      <c r="M5" s="2"/>
      <c r="N5" s="13" t="s">
        <v>91</v>
      </c>
      <c r="O5" s="14" t="s">
        <v>35</v>
      </c>
      <c r="P5" s="15">
        <v>3316.7482725542059</v>
      </c>
      <c r="Q5" s="15">
        <v>3607.276598999918</v>
      </c>
      <c r="R5" s="15">
        <v>138.19882097694</v>
      </c>
      <c r="S5" s="113">
        <f>+Comps!Z8</f>
        <v>5.9567942694078946E-2</v>
      </c>
      <c r="T5" s="16">
        <f>+Q5/R5</f>
        <v>26.102079406320204</v>
      </c>
    </row>
    <row r="6" spans="2:26" ht="15.75" x14ac:dyDescent="0.25">
      <c r="B6" s="1" t="s">
        <v>74</v>
      </c>
      <c r="C6" s="3">
        <f>+Valuation!I14</f>
        <v>344.89544406812496</v>
      </c>
      <c r="D6" s="3">
        <f>+Valuation!J14</f>
        <v>863.81914412544506</v>
      </c>
      <c r="E6" s="3">
        <f>+Valuation!K14</f>
        <v>1475.8071465636731</v>
      </c>
      <c r="F6" s="3">
        <f>+Valuation!L14</f>
        <v>1860.6116954706599</v>
      </c>
      <c r="G6" s="3">
        <f>+Valuation!M14</f>
        <v>5739.1352867326259</v>
      </c>
      <c r="H6" s="2">
        <f t="shared" si="1"/>
        <v>344.89544406812496</v>
      </c>
      <c r="I6" s="2">
        <f t="shared" si="2"/>
        <v>518.92370005732005</v>
      </c>
      <c r="J6" s="2">
        <f t="shared" si="3"/>
        <v>611.98800243822802</v>
      </c>
      <c r="K6" s="2">
        <f t="shared" si="4"/>
        <v>384.80454890698684</v>
      </c>
      <c r="L6" s="2">
        <f t="shared" si="5"/>
        <v>3878.523591261966</v>
      </c>
      <c r="M6" s="2"/>
      <c r="N6" s="13" t="s">
        <v>88</v>
      </c>
      <c r="O6" s="14" t="s">
        <v>69</v>
      </c>
      <c r="P6" s="15">
        <v>255.74408094986339</v>
      </c>
      <c r="Q6" s="15">
        <v>341.66247987697955</v>
      </c>
      <c r="R6" s="15">
        <v>24.5370609171094</v>
      </c>
      <c r="S6" s="113">
        <f>+Comps!Z9</f>
        <v>7.3684210526315796E-2</v>
      </c>
      <c r="T6" s="16">
        <f t="shared" ref="T6:T10" si="6">+Q6/R6</f>
        <v>13.924344118930005</v>
      </c>
    </row>
    <row r="7" spans="2:26" ht="15.75" x14ac:dyDescent="0.25">
      <c r="B7" s="1" t="s">
        <v>75</v>
      </c>
      <c r="C7" s="3">
        <f>+Valuation!I13</f>
        <v>302.46998263985438</v>
      </c>
      <c r="D7" s="3">
        <f>+Valuation!J13</f>
        <v>697.87821060857186</v>
      </c>
      <c r="E7" s="3">
        <f>+Valuation!K13</f>
        <v>1126.9353752607701</v>
      </c>
      <c r="F7" s="3">
        <f>+Valuation!L13</f>
        <v>1568.7379437360503</v>
      </c>
      <c r="G7" s="3">
        <f>+Valuation!M13</f>
        <v>1759.7158957982901</v>
      </c>
      <c r="H7" s="2">
        <f t="shared" si="1"/>
        <v>302.46998263985438</v>
      </c>
      <c r="I7" s="2">
        <f t="shared" si="2"/>
        <v>395.40822796871748</v>
      </c>
      <c r="J7" s="2">
        <f t="shared" si="3"/>
        <v>429.05716465219825</v>
      </c>
      <c r="K7" s="2">
        <f t="shared" si="4"/>
        <v>441.80256847528017</v>
      </c>
      <c r="L7" s="2">
        <f t="shared" si="5"/>
        <v>190.97795206223986</v>
      </c>
      <c r="M7" s="2"/>
      <c r="N7" s="13" t="s">
        <v>87</v>
      </c>
      <c r="O7" s="14" t="s">
        <v>34</v>
      </c>
      <c r="P7" s="15">
        <v>1108.8585316525894</v>
      </c>
      <c r="Q7" s="15">
        <v>1133.8597922097556</v>
      </c>
      <c r="R7" s="15">
        <v>58.4293457708307</v>
      </c>
      <c r="S7" s="113">
        <f>+Comps!Z10</f>
        <v>6.4408349763826367E-2</v>
      </c>
      <c r="T7" s="16">
        <f t="shared" si="6"/>
        <v>19.405656134794597</v>
      </c>
    </row>
    <row r="8" spans="2:26" ht="15.75" x14ac:dyDescent="0.25">
      <c r="B8" s="1" t="s">
        <v>76</v>
      </c>
      <c r="C8" s="3">
        <f>+Valuation!I12</f>
        <v>364.21630421114077</v>
      </c>
      <c r="D8" s="3">
        <f>+Valuation!J12</f>
        <v>1171.8119051182564</v>
      </c>
      <c r="E8" s="3">
        <f>+Valuation!K12</f>
        <v>1318.0964760637989</v>
      </c>
      <c r="F8" s="3">
        <f>+Valuation!L12</f>
        <v>1501.7573652056174</v>
      </c>
      <c r="G8" s="3">
        <f>+Valuation!M12</f>
        <v>3776.0852058853006</v>
      </c>
      <c r="H8" s="2">
        <f t="shared" si="1"/>
        <v>364.21630421114077</v>
      </c>
      <c r="I8" s="2">
        <f t="shared" si="2"/>
        <v>807.59560090711557</v>
      </c>
      <c r="J8" s="2">
        <f t="shared" si="3"/>
        <v>146.28457094554255</v>
      </c>
      <c r="K8" s="2">
        <f t="shared" si="4"/>
        <v>183.66088914181842</v>
      </c>
      <c r="L8" s="2">
        <f t="shared" si="5"/>
        <v>2274.3278406796835</v>
      </c>
      <c r="M8" s="2"/>
      <c r="N8" s="13" t="s">
        <v>90</v>
      </c>
      <c r="O8" s="14" t="s">
        <v>69</v>
      </c>
      <c r="P8" s="15">
        <v>54.380395374477708</v>
      </c>
      <c r="Q8" s="15">
        <v>116.36780962113804</v>
      </c>
      <c r="R8" s="15">
        <v>33.246505390209904</v>
      </c>
      <c r="S8" s="113">
        <f>+Comps!Z11</f>
        <v>2.0394210064643259E-2</v>
      </c>
      <c r="T8" s="16">
        <f t="shared" si="6"/>
        <v>3.5001516176014356</v>
      </c>
    </row>
    <row r="9" spans="2:26" ht="15.75" x14ac:dyDescent="0.25">
      <c r="B9" s="1" t="s">
        <v>77</v>
      </c>
      <c r="C9" s="3">
        <f>+Valuation!I11</f>
        <v>373.29285678373992</v>
      </c>
      <c r="D9" s="3">
        <f>+Valuation!J11</f>
        <v>1215.6806905582337</v>
      </c>
      <c r="E9" s="3">
        <f>+Valuation!K11</f>
        <v>2197.7158367793536</v>
      </c>
      <c r="F9" s="3">
        <f>+Valuation!L11</f>
        <v>3199.830971825591</v>
      </c>
      <c r="G9" s="3">
        <f>+Valuation!M11</f>
        <v>5460.3752742372362</v>
      </c>
      <c r="H9" s="2">
        <f t="shared" si="1"/>
        <v>373.29285678373992</v>
      </c>
      <c r="I9" s="2">
        <f t="shared" si="2"/>
        <v>842.38783377449374</v>
      </c>
      <c r="J9" s="2">
        <f t="shared" si="3"/>
        <v>982.03514622111993</v>
      </c>
      <c r="K9" s="2">
        <f t="shared" si="4"/>
        <v>1002.1151350462374</v>
      </c>
      <c r="L9" s="2">
        <f t="shared" si="5"/>
        <v>2260.5443024116453</v>
      </c>
      <c r="M9" s="2"/>
      <c r="N9" s="13" t="s">
        <v>63</v>
      </c>
      <c r="O9" s="14" t="s">
        <v>70</v>
      </c>
      <c r="P9" s="15">
        <v>471.38260283949177</v>
      </c>
      <c r="Q9" s="15">
        <v>704.74305043892832</v>
      </c>
      <c r="R9" s="15">
        <v>52.956249051696098</v>
      </c>
      <c r="S9" s="113">
        <f>+Comps!Z12</f>
        <v>0.1470329642190622</v>
      </c>
      <c r="T9" s="16">
        <f t="shared" si="6"/>
        <v>13.30802432307763</v>
      </c>
    </row>
    <row r="10" spans="2:26" ht="16.5" thickBot="1" x14ac:dyDescent="0.3">
      <c r="B10" s="1" t="s">
        <v>78</v>
      </c>
      <c r="C10" s="3">
        <f>+Valuation!I10</f>
        <v>357.85689750097754</v>
      </c>
      <c r="D10" s="3">
        <f>+Valuation!J10</f>
        <v>1276.9504530203944</v>
      </c>
      <c r="E10" s="3">
        <f>+Valuation!K10</f>
        <v>2197.7158367793536</v>
      </c>
      <c r="F10" s="3">
        <f>+Valuation!L10</f>
        <v>3372.1081513044232</v>
      </c>
      <c r="G10" s="3">
        <f>+Valuation!M10</f>
        <v>5671.7956127912348</v>
      </c>
      <c r="H10" s="2">
        <f t="shared" si="1"/>
        <v>357.85689750097754</v>
      </c>
      <c r="I10" s="2">
        <f t="shared" si="2"/>
        <v>919.0935555194169</v>
      </c>
      <c r="J10" s="2">
        <f t="shared" si="3"/>
        <v>920.76538375895916</v>
      </c>
      <c r="K10" s="2">
        <f t="shared" si="4"/>
        <v>1174.3923145250697</v>
      </c>
      <c r="L10" s="2">
        <f t="shared" si="5"/>
        <v>2299.6874614868116</v>
      </c>
      <c r="M10" s="2"/>
      <c r="N10" s="17" t="s">
        <v>89</v>
      </c>
      <c r="O10" s="18" t="s">
        <v>36</v>
      </c>
      <c r="P10" s="19">
        <v>4455.079641747272</v>
      </c>
      <c r="Q10" s="19">
        <v>6629.8477281738633</v>
      </c>
      <c r="R10" s="19">
        <v>213.53395606064902</v>
      </c>
      <c r="S10" s="115">
        <f>+Comps!Z13</f>
        <v>0.19769610781952007</v>
      </c>
      <c r="T10" s="20">
        <f t="shared" si="6"/>
        <v>31.048212895427366</v>
      </c>
    </row>
    <row r="11" spans="2:26" ht="16.5" thickBot="1" x14ac:dyDescent="0.3">
      <c r="B11" s="1" t="s">
        <v>79</v>
      </c>
      <c r="C11" s="3">
        <f>+Valuation!I9</f>
        <v>396.3967302986</v>
      </c>
      <c r="D11" s="3">
        <f>+Valuation!J9</f>
        <v>1542.0506006674107</v>
      </c>
      <c r="E11" s="3">
        <f>+Valuation!K9</f>
        <v>2197.7158367793536</v>
      </c>
      <c r="F11" s="3">
        <f>+Valuation!L9</f>
        <v>3236.1725260842163</v>
      </c>
      <c r="G11" s="3">
        <f>+Valuation!M9</f>
        <v>5635.8053349658921</v>
      </c>
      <c r="H11" s="2">
        <f t="shared" si="1"/>
        <v>396.3967302986</v>
      </c>
      <c r="I11" s="2">
        <f t="shared" si="2"/>
        <v>1145.6538703688107</v>
      </c>
      <c r="J11" s="2">
        <f t="shared" si="3"/>
        <v>655.66523611194293</v>
      </c>
      <c r="K11" s="2">
        <f t="shared" si="4"/>
        <v>1038.4566893048627</v>
      </c>
      <c r="L11" s="2">
        <f t="shared" si="5"/>
        <v>2399.6328088816758</v>
      </c>
      <c r="M11" s="2"/>
      <c r="N11" s="6"/>
      <c r="O11" s="6"/>
      <c r="P11" s="6"/>
      <c r="Q11" s="6"/>
      <c r="R11" s="6"/>
      <c r="S11" s="6"/>
      <c r="T11" s="6"/>
    </row>
    <row r="12" spans="2:26" ht="15.75" x14ac:dyDescent="0.25">
      <c r="B12" s="1" t="s">
        <v>80</v>
      </c>
      <c r="C12" s="3">
        <f>+Valuation!I8</f>
        <v>156.41505544984497</v>
      </c>
      <c r="D12" s="3">
        <f>+Valuation!J8</f>
        <v>700.7703505897565</v>
      </c>
      <c r="E12" s="3">
        <f>+Valuation!K8</f>
        <v>1273.5566653478111</v>
      </c>
      <c r="F12" s="3">
        <f>+Valuation!L8</f>
        <v>3985.540529434405</v>
      </c>
      <c r="G12" s="3">
        <f>+Valuation!M8</f>
        <v>4885.8053448753171</v>
      </c>
      <c r="H12" s="2">
        <f t="shared" si="1"/>
        <v>156.41505544984497</v>
      </c>
      <c r="I12" s="2">
        <f t="shared" si="2"/>
        <v>544.3552951399115</v>
      </c>
      <c r="J12" s="2">
        <f t="shared" si="3"/>
        <v>572.78631475805457</v>
      </c>
      <c r="K12" s="2">
        <f t="shared" si="4"/>
        <v>2711.9838640865937</v>
      </c>
      <c r="L12" s="2">
        <f t="shared" si="5"/>
        <v>900.26481544091212</v>
      </c>
      <c r="M12" s="2"/>
      <c r="N12" s="6"/>
      <c r="O12" s="6"/>
      <c r="P12" s="6"/>
      <c r="Q12" s="6"/>
      <c r="R12" s="39" t="s">
        <v>16</v>
      </c>
      <c r="S12" s="133">
        <f>MEDIAN(S4:S10)</f>
        <v>7.3684210526315796E-2</v>
      </c>
      <c r="T12" s="40">
        <f>MEDIAN(T4:T10)</f>
        <v>19.405656134794597</v>
      </c>
      <c r="V12" s="23" t="s">
        <v>119</v>
      </c>
      <c r="W12" s="23" t="s">
        <v>120</v>
      </c>
      <c r="X12" s="23" t="s">
        <v>121</v>
      </c>
      <c r="Y12" s="23" t="s">
        <v>122</v>
      </c>
      <c r="Z12" s="23" t="s">
        <v>123</v>
      </c>
    </row>
    <row r="13" spans="2:26" ht="16.5" thickBot="1" x14ac:dyDescent="0.3">
      <c r="B13" s="1" t="s">
        <v>81</v>
      </c>
      <c r="C13" s="3">
        <f>+Valuation!I7</f>
        <v>163.28243761257616</v>
      </c>
      <c r="D13" s="3">
        <f>+Valuation!J7</f>
        <v>711.90961473911466</v>
      </c>
      <c r="E13" s="3">
        <f>+Valuation!K7</f>
        <v>1245.4771208970342</v>
      </c>
      <c r="F13" s="3">
        <f>+Valuation!L7</f>
        <v>4197.0967440544482</v>
      </c>
      <c r="G13" s="3">
        <f>+Valuation!M7</f>
        <v>5250.6423958883734</v>
      </c>
      <c r="H13" s="2">
        <f t="shared" si="1"/>
        <v>163.28243761257616</v>
      </c>
      <c r="I13" s="2">
        <f t="shared" si="2"/>
        <v>548.62717712653853</v>
      </c>
      <c r="J13" s="2">
        <f t="shared" si="3"/>
        <v>533.56750615791952</v>
      </c>
      <c r="K13" s="2">
        <f t="shared" si="4"/>
        <v>2951.619623157414</v>
      </c>
      <c r="L13" s="2">
        <f t="shared" si="5"/>
        <v>1053.5456518339251</v>
      </c>
      <c r="M13" s="2"/>
      <c r="N13" s="6"/>
      <c r="O13" s="6"/>
      <c r="P13" s="6"/>
      <c r="Q13" s="6"/>
      <c r="R13" s="21" t="s">
        <v>92</v>
      </c>
      <c r="S13" s="134">
        <f>AVERAGE(S4:S10)</f>
        <v>9.5486425008831713E-2</v>
      </c>
      <c r="T13" s="41">
        <f>AVERAGE(T4:T10)</f>
        <v>22.436025942058674</v>
      </c>
      <c r="V13" s="6" t="s">
        <v>124</v>
      </c>
      <c r="W13" s="6" t="s">
        <v>125</v>
      </c>
      <c r="X13" s="6" t="s">
        <v>125</v>
      </c>
      <c r="Y13" s="6" t="s">
        <v>126</v>
      </c>
      <c r="Z13" s="37">
        <v>8999.999999406582</v>
      </c>
    </row>
    <row r="14" spans="2:26" ht="15.75" x14ac:dyDescent="0.25">
      <c r="B14" s="1" t="s">
        <v>82</v>
      </c>
      <c r="C14" s="3">
        <f>+Valuation!I6</f>
        <v>180.07384583989028</v>
      </c>
      <c r="D14" s="3">
        <f>+Valuation!J6</f>
        <v>745.66778202945909</v>
      </c>
      <c r="E14" s="3">
        <f>+Valuation!K6</f>
        <v>1246.7198494352936</v>
      </c>
      <c r="F14" s="3">
        <f>+Valuation!L6</f>
        <v>4347.1270309431766</v>
      </c>
      <c r="G14" s="3">
        <f>+Valuation!M6</f>
        <v>5553.2940720502265</v>
      </c>
      <c r="H14" s="2">
        <f t="shared" si="1"/>
        <v>180.07384583989028</v>
      </c>
      <c r="I14" s="2">
        <f t="shared" si="2"/>
        <v>565.59393618956881</v>
      </c>
      <c r="J14" s="2">
        <f t="shared" si="3"/>
        <v>501.05206740583446</v>
      </c>
      <c r="K14" s="2">
        <f t="shared" si="4"/>
        <v>3100.4071815078833</v>
      </c>
      <c r="L14" s="2">
        <f t="shared" si="5"/>
        <v>1206.16704110705</v>
      </c>
      <c r="M14" s="2"/>
      <c r="V14" s="6" t="s">
        <v>127</v>
      </c>
      <c r="W14" s="6" t="s">
        <v>125</v>
      </c>
      <c r="X14" s="6" t="s">
        <v>125</v>
      </c>
      <c r="Y14" s="6" t="s">
        <v>126</v>
      </c>
      <c r="Z14" s="37">
        <v>8999.999999406582</v>
      </c>
    </row>
    <row r="15" spans="2:26" ht="15.75" x14ac:dyDescent="0.25">
      <c r="Q15" s="23" t="s">
        <v>94</v>
      </c>
      <c r="R15" s="6"/>
      <c r="T15" s="29"/>
      <c r="U15" s="6"/>
      <c r="V15" s="6" t="s">
        <v>128</v>
      </c>
      <c r="W15" s="6" t="s">
        <v>129</v>
      </c>
      <c r="X15" s="6" t="s">
        <v>112</v>
      </c>
      <c r="Y15" s="6" t="s">
        <v>33</v>
      </c>
      <c r="Z15" s="37">
        <v>4999.9487097600004</v>
      </c>
    </row>
    <row r="16" spans="2:26" ht="16.5" thickBot="1" x14ac:dyDescent="0.3">
      <c r="Q16" s="24" t="s">
        <v>95</v>
      </c>
      <c r="R16" s="24"/>
      <c r="S16" s="24"/>
      <c r="T16" s="30"/>
      <c r="V16" s="6" t="s">
        <v>130</v>
      </c>
      <c r="W16" s="6" t="s">
        <v>131</v>
      </c>
      <c r="X16" s="6" t="s">
        <v>114</v>
      </c>
      <c r="Y16" s="6" t="s">
        <v>33</v>
      </c>
      <c r="Z16" s="37">
        <v>8999.999999406582</v>
      </c>
    </row>
    <row r="17" spans="2:26" ht="15.75" x14ac:dyDescent="0.25">
      <c r="Q17" s="6" t="s">
        <v>3</v>
      </c>
      <c r="R17" s="6"/>
      <c r="T17" s="131">
        <v>113.25130268792201</v>
      </c>
      <c r="V17" s="6" t="s">
        <v>132</v>
      </c>
      <c r="W17" s="6" t="s">
        <v>133</v>
      </c>
      <c r="X17" s="6" t="s">
        <v>112</v>
      </c>
      <c r="Y17" s="6" t="s">
        <v>33</v>
      </c>
      <c r="Z17" s="37">
        <v>1999.9999998681296</v>
      </c>
    </row>
    <row r="18" spans="2:26" ht="15.75" x14ac:dyDescent="0.25">
      <c r="Q18" s="27" t="s">
        <v>96</v>
      </c>
      <c r="R18" s="6"/>
      <c r="T18" s="32">
        <f>+T12</f>
        <v>19.405656134794597</v>
      </c>
      <c r="V18" s="6" t="s">
        <v>134</v>
      </c>
      <c r="W18" s="6" t="s">
        <v>133</v>
      </c>
      <c r="X18" s="6" t="s">
        <v>112</v>
      </c>
      <c r="Y18" s="6" t="s">
        <v>33</v>
      </c>
      <c r="Z18" s="37">
        <v>22999.999998483487</v>
      </c>
    </row>
    <row r="19" spans="2:26" ht="15.75" x14ac:dyDescent="0.25">
      <c r="Q19" s="27" t="s">
        <v>99</v>
      </c>
      <c r="R19" s="6"/>
      <c r="T19" s="33">
        <v>3.3700000000000001E-2</v>
      </c>
      <c r="V19" s="6" t="s">
        <v>135</v>
      </c>
      <c r="W19" s="6" t="s">
        <v>133</v>
      </c>
      <c r="X19" s="6" t="s">
        <v>112</v>
      </c>
      <c r="Y19" s="6" t="s">
        <v>33</v>
      </c>
      <c r="Z19" s="37">
        <v>22999.999998483487</v>
      </c>
    </row>
    <row r="20" spans="2:26" ht="15.75" x14ac:dyDescent="0.25">
      <c r="Q20" s="27" t="s">
        <v>97</v>
      </c>
      <c r="R20" s="6"/>
      <c r="S20" s="6"/>
      <c r="T20" s="34">
        <f>+T18*(1-T19)</f>
        <v>18.751685523052021</v>
      </c>
      <c r="V20" s="6" t="s">
        <v>136</v>
      </c>
      <c r="W20" s="6" t="s">
        <v>133</v>
      </c>
      <c r="X20" s="6" t="s">
        <v>112</v>
      </c>
      <c r="Y20" s="6" t="s">
        <v>33</v>
      </c>
      <c r="Z20" s="37">
        <v>3999.9999997362593</v>
      </c>
    </row>
    <row r="21" spans="2:26" ht="15.75" x14ac:dyDescent="0.25">
      <c r="Q21" s="23" t="s">
        <v>37</v>
      </c>
      <c r="R21" s="6"/>
      <c r="S21" s="6"/>
      <c r="T21" s="31">
        <f>+T17*T20</f>
        <v>2123.6528130798897</v>
      </c>
      <c r="V21" s="6" t="s">
        <v>137</v>
      </c>
      <c r="W21" s="6" t="s">
        <v>133</v>
      </c>
      <c r="X21" s="6" t="s">
        <v>112</v>
      </c>
      <c r="Y21" s="6" t="s">
        <v>33</v>
      </c>
      <c r="Z21" s="37">
        <v>2999.999999802194</v>
      </c>
    </row>
    <row r="22" spans="2:26" ht="15.75" x14ac:dyDescent="0.25">
      <c r="Q22" s="6" t="s">
        <v>98</v>
      </c>
      <c r="R22" s="6"/>
      <c r="T22" s="132">
        <v>-841.89152006053405</v>
      </c>
      <c r="V22" s="6" t="s">
        <v>138</v>
      </c>
      <c r="W22" s="6" t="s">
        <v>133</v>
      </c>
      <c r="X22" s="6" t="s">
        <v>112</v>
      </c>
      <c r="Y22" s="6" t="s">
        <v>33</v>
      </c>
      <c r="Z22" s="37">
        <v>1999.9999998681296</v>
      </c>
    </row>
    <row r="23" spans="2:26" ht="16.5" thickBot="1" x14ac:dyDescent="0.3">
      <c r="Q23" s="28" t="s">
        <v>23</v>
      </c>
      <c r="R23" s="24"/>
      <c r="S23" s="24"/>
      <c r="T23" s="35">
        <f>+SUM(T21:T22)</f>
        <v>1281.7612930193557</v>
      </c>
      <c r="V23" s="6" t="s">
        <v>139</v>
      </c>
      <c r="W23" s="6" t="s">
        <v>140</v>
      </c>
      <c r="X23" s="6" t="s">
        <v>112</v>
      </c>
      <c r="Y23" s="6" t="s">
        <v>33</v>
      </c>
      <c r="Z23" s="37">
        <v>7989.6614400000008</v>
      </c>
    </row>
    <row r="24" spans="2:26" ht="15.75" x14ac:dyDescent="0.25">
      <c r="N24" s="25"/>
      <c r="O24" s="25"/>
      <c r="P24" s="25"/>
      <c r="Q24" s="38"/>
      <c r="R24" s="6"/>
      <c r="S24" s="6"/>
      <c r="T24" s="6"/>
      <c r="U24" s="6"/>
      <c r="V24" s="6" t="s">
        <v>141</v>
      </c>
      <c r="W24" s="6" t="s">
        <v>140</v>
      </c>
      <c r="X24" s="6" t="s">
        <v>112</v>
      </c>
      <c r="Y24" s="6" t="s">
        <v>33</v>
      </c>
      <c r="Z24" s="37">
        <v>8500.6281600000002</v>
      </c>
    </row>
    <row r="25" spans="2:26" ht="15.75" x14ac:dyDescent="0.25">
      <c r="U25" s="6"/>
      <c r="V25" s="6" t="s">
        <v>142</v>
      </c>
      <c r="W25" s="6" t="s">
        <v>143</v>
      </c>
      <c r="X25" s="6" t="s">
        <v>112</v>
      </c>
      <c r="Y25" s="6" t="s">
        <v>33</v>
      </c>
      <c r="Z25" s="37">
        <v>7999.9999994725185</v>
      </c>
    </row>
    <row r="26" spans="2:26" ht="16.5" thickBot="1" x14ac:dyDescent="0.3">
      <c r="B26" s="23" t="s">
        <v>110</v>
      </c>
      <c r="C26" s="6"/>
      <c r="D26" s="6"/>
      <c r="E26" s="6"/>
      <c r="F26" s="6"/>
      <c r="G26" s="8" t="s">
        <v>118</v>
      </c>
      <c r="I26" s="23" t="s">
        <v>117</v>
      </c>
      <c r="N26" s="8" t="s">
        <v>118</v>
      </c>
      <c r="R26" s="23" t="s">
        <v>121</v>
      </c>
      <c r="S26" s="8" t="s">
        <v>172</v>
      </c>
      <c r="T26" s="8" t="s">
        <v>174</v>
      </c>
      <c r="V26" s="6" t="s">
        <v>144</v>
      </c>
      <c r="W26" s="6" t="s">
        <v>145</v>
      </c>
      <c r="X26" s="6" t="s">
        <v>146</v>
      </c>
      <c r="Y26" s="6" t="s">
        <v>147</v>
      </c>
      <c r="Z26" s="37">
        <v>19999.999998681302</v>
      </c>
    </row>
    <row r="27" spans="2:26" ht="16.5" thickBot="1" x14ac:dyDescent="0.3">
      <c r="B27" s="24" t="s">
        <v>95</v>
      </c>
      <c r="C27" s="114">
        <v>2021</v>
      </c>
      <c r="D27" s="114">
        <v>2022</v>
      </c>
      <c r="E27" s="114">
        <v>2023</v>
      </c>
      <c r="F27" s="114" t="s">
        <v>173</v>
      </c>
      <c r="G27" s="114" t="s">
        <v>19</v>
      </c>
      <c r="I27" s="24" t="s">
        <v>95</v>
      </c>
      <c r="J27" s="24"/>
      <c r="K27" s="114">
        <v>2021</v>
      </c>
      <c r="L27" s="114">
        <v>2022</v>
      </c>
      <c r="M27" s="114">
        <v>2023</v>
      </c>
      <c r="N27" s="114" t="s">
        <v>19</v>
      </c>
      <c r="R27" s="135" t="s">
        <v>112</v>
      </c>
      <c r="S27" s="10">
        <f>COUNTIF($X$13:$X$46,R27)</f>
        <v>23</v>
      </c>
      <c r="T27" s="11">
        <f>SUMIF($X$13:$X$46, R27,$Z$13:$Z$46)</f>
        <v>224934.8947030812</v>
      </c>
      <c r="V27" s="6" t="s">
        <v>148</v>
      </c>
      <c r="W27" s="6" t="s">
        <v>145</v>
      </c>
      <c r="X27" s="6" t="s">
        <v>146</v>
      </c>
      <c r="Y27" s="6" t="s">
        <v>147</v>
      </c>
      <c r="Z27" s="37">
        <v>23999.999998417552</v>
      </c>
    </row>
    <row r="28" spans="2:26" ht="15.75" x14ac:dyDescent="0.25">
      <c r="B28" s="125" t="s">
        <v>102</v>
      </c>
      <c r="C28" s="117">
        <v>194.13918646400001</v>
      </c>
      <c r="D28" s="117">
        <v>231.30809590000001</v>
      </c>
      <c r="E28" s="117">
        <v>269.89395763199997</v>
      </c>
      <c r="F28" s="121">
        <f>(E28/C28)^(1/2)-1</f>
        <v>0.17907105541063517</v>
      </c>
      <c r="G28" s="157">
        <f t="shared" ref="G28:G36" si="7">E28/$E$34</f>
        <v>0.82880723355610053</v>
      </c>
      <c r="I28" s="26" t="s">
        <v>112</v>
      </c>
      <c r="J28" s="6"/>
      <c r="K28" s="117">
        <v>194.88823981200002</v>
      </c>
      <c r="L28" s="117">
        <v>233.060732758</v>
      </c>
      <c r="M28" s="117">
        <v>276.00401420799994</v>
      </c>
      <c r="N28" s="128">
        <f>M28/$M$32</f>
        <v>0.84757037717019601</v>
      </c>
      <c r="R28" s="6" t="s">
        <v>114</v>
      </c>
      <c r="S28" s="14">
        <f>COUNTIF($X$13:$X$46,R28)</f>
        <v>1</v>
      </c>
      <c r="T28" s="15">
        <f>SUMIF($X$13:$X$46, R28,$Z$13:$Z$46)</f>
        <v>8999.999999406582</v>
      </c>
      <c r="V28" s="6" t="s">
        <v>149</v>
      </c>
      <c r="W28" s="6" t="s">
        <v>145</v>
      </c>
      <c r="X28" s="6" t="s">
        <v>146</v>
      </c>
      <c r="Y28" s="6" t="s">
        <v>147</v>
      </c>
      <c r="Z28" s="37">
        <v>19999.999998681295</v>
      </c>
    </row>
    <row r="29" spans="2:26" ht="15.75" x14ac:dyDescent="0.25">
      <c r="B29" s="125" t="s">
        <v>103</v>
      </c>
      <c r="C29" s="117">
        <v>12.245240547</v>
      </c>
      <c r="D29" s="117">
        <v>15.664883136</v>
      </c>
      <c r="E29" s="117">
        <v>16.790233512</v>
      </c>
      <c r="F29" s="121">
        <f t="shared" ref="F29:F32" si="8">(E29/C29)^(1/2)-1</f>
        <v>0.17096713918265172</v>
      </c>
      <c r="G29" s="157">
        <f t="shared" si="7"/>
        <v>5.1560498463681485E-2</v>
      </c>
      <c r="I29" s="26" t="s">
        <v>113</v>
      </c>
      <c r="J29" s="6"/>
      <c r="K29" s="117">
        <v>14.678735962999999</v>
      </c>
      <c r="L29" s="117">
        <v>17.863779794000003</v>
      </c>
      <c r="M29" s="117">
        <v>23.274555095999997</v>
      </c>
      <c r="N29" s="128">
        <f>M29/$M$32</f>
        <v>7.147295845602758E-2</v>
      </c>
      <c r="R29" s="6" t="s">
        <v>113</v>
      </c>
      <c r="S29" s="14">
        <f>COUNTIF($X$13:$X$46,R29)</f>
        <v>2</v>
      </c>
      <c r="T29" s="15">
        <f>SUMIF($X$13:$X$46, R29,$Z$13:$Z$46)</f>
        <v>10499.99999930768</v>
      </c>
      <c r="V29" s="6" t="s">
        <v>150</v>
      </c>
      <c r="W29" s="6" t="s">
        <v>113</v>
      </c>
      <c r="X29" s="6" t="s">
        <v>113</v>
      </c>
      <c r="Y29" s="6" t="s">
        <v>33</v>
      </c>
      <c r="Z29" s="37">
        <v>6999.9999995384533</v>
      </c>
    </row>
    <row r="30" spans="2:26" ht="15.75" x14ac:dyDescent="0.25">
      <c r="B30" s="125" t="s">
        <v>104</v>
      </c>
      <c r="C30" s="117">
        <v>3.9494190400000004</v>
      </c>
      <c r="D30" s="117">
        <v>1.5578347539999999</v>
      </c>
      <c r="E30" s="117">
        <v>13.322872576</v>
      </c>
      <c r="F30" s="121">
        <f t="shared" si="8"/>
        <v>0.83667506219179222</v>
      </c>
      <c r="G30" s="157">
        <f t="shared" si="7"/>
        <v>4.0912709790231309E-2</v>
      </c>
      <c r="I30" s="26" t="s">
        <v>114</v>
      </c>
      <c r="J30" s="6"/>
      <c r="K30" s="117">
        <v>12.683240027</v>
      </c>
      <c r="L30" s="117">
        <v>13.250035540000002</v>
      </c>
      <c r="M30" s="117">
        <v>11.921783067999998</v>
      </c>
      <c r="N30" s="113">
        <f>M30/$M$32</f>
        <v>3.6610156560516922E-2</v>
      </c>
      <c r="R30" s="6" t="s">
        <v>115</v>
      </c>
      <c r="S30" s="14">
        <f>COUNTIF($X$13:$X$46,R30)</f>
        <v>3</v>
      </c>
      <c r="T30" s="15">
        <f>SUMIF($X$13:$X$46, R30,$Z$13:$Z$46)</f>
        <v>50999.9999966373</v>
      </c>
      <c r="V30" s="6" t="s">
        <v>151</v>
      </c>
      <c r="W30" s="6" t="s">
        <v>113</v>
      </c>
      <c r="X30" s="6" t="s">
        <v>113</v>
      </c>
      <c r="Y30" s="6" t="s">
        <v>33</v>
      </c>
      <c r="Z30" s="37">
        <v>3499.9999997692266</v>
      </c>
    </row>
    <row r="31" spans="2:26" ht="15.75" x14ac:dyDescent="0.25">
      <c r="B31" s="125" t="s">
        <v>105</v>
      </c>
      <c r="C31" s="117">
        <v>6.4022161280000009</v>
      </c>
      <c r="D31" s="117">
        <v>9.6624947999999993</v>
      </c>
      <c r="E31" s="117">
        <v>8.5187364080000005</v>
      </c>
      <c r="F31" s="121">
        <f t="shared" si="8"/>
        <v>0.15351281731959321</v>
      </c>
      <c r="G31" s="157">
        <f t="shared" si="7"/>
        <v>2.6159868185470628E-2</v>
      </c>
      <c r="I31" s="127" t="s">
        <v>115</v>
      </c>
      <c r="J31" s="126"/>
      <c r="K31" s="118">
        <v>7.528580045</v>
      </c>
      <c r="L31" s="118">
        <v>9.8799979459999996</v>
      </c>
      <c r="M31" s="118">
        <v>14.441059411999998</v>
      </c>
      <c r="N31" s="129">
        <f>M31/$M$32</f>
        <v>4.4346507813259467E-2</v>
      </c>
      <c r="R31" s="6" t="s">
        <v>125</v>
      </c>
      <c r="S31" s="14">
        <f>COUNTIF($X$13:$X$46,R31)</f>
        <v>2</v>
      </c>
      <c r="T31" s="15">
        <f>SUMIF($X$13:$X$46, R31,$Z$13:$Z$46)</f>
        <v>17999.999998813164</v>
      </c>
      <c r="V31" s="6" t="s">
        <v>152</v>
      </c>
      <c r="W31" s="6" t="s">
        <v>153</v>
      </c>
      <c r="X31" s="6" t="s">
        <v>115</v>
      </c>
      <c r="Y31" s="6" t="s">
        <v>116</v>
      </c>
      <c r="Z31" s="37">
        <v>6999.9999995384533</v>
      </c>
    </row>
    <row r="32" spans="2:26" ht="16.5" thickBot="1" x14ac:dyDescent="0.3">
      <c r="B32" s="125" t="s">
        <v>106</v>
      </c>
      <c r="C32" s="117">
        <v>7.6584951450000007</v>
      </c>
      <c r="D32" s="117">
        <v>8.0827351079999996</v>
      </c>
      <c r="E32" s="117">
        <v>7.5966980959999999</v>
      </c>
      <c r="F32" s="121">
        <f t="shared" si="8"/>
        <v>-4.042714315408702E-3</v>
      </c>
      <c r="G32" s="157">
        <f t="shared" si="7"/>
        <v>2.332841530928793E-2</v>
      </c>
      <c r="I32" s="28" t="s">
        <v>108</v>
      </c>
      <c r="J32" s="24"/>
      <c r="K32" s="120">
        <f>SUM(K28:K31)</f>
        <v>229.77879584700005</v>
      </c>
      <c r="L32" s="120">
        <f>SUM(L28:L31)</f>
        <v>274.05454603800001</v>
      </c>
      <c r="M32" s="120">
        <f>SUM(M28:M31)</f>
        <v>325.64141178399996</v>
      </c>
      <c r="N32" s="130">
        <f>SUM(N28:N31)</f>
        <v>0.99999999999999989</v>
      </c>
      <c r="R32" s="126" t="s">
        <v>146</v>
      </c>
      <c r="S32" s="136">
        <f>COUNTIF($X$13:$X$46,R32)</f>
        <v>3</v>
      </c>
      <c r="T32" s="116">
        <f>SUMIF($X$13:$X$46, R32,$Z$13:$Z$46)</f>
        <v>63999.999995780148</v>
      </c>
      <c r="V32" s="6" t="s">
        <v>154</v>
      </c>
      <c r="W32" s="6" t="s">
        <v>153</v>
      </c>
      <c r="X32" s="6" t="s">
        <v>115</v>
      </c>
      <c r="Y32" s="6" t="s">
        <v>116</v>
      </c>
      <c r="Z32" s="37">
        <v>21999.999998549425</v>
      </c>
    </row>
    <row r="33" spans="2:26" ht="16.5" thickBot="1" x14ac:dyDescent="0.3">
      <c r="B33" s="125" t="s">
        <v>107</v>
      </c>
      <c r="C33" s="118">
        <v>5.3842385230000005</v>
      </c>
      <c r="D33" s="118">
        <v>7.7785023400000011</v>
      </c>
      <c r="E33" s="118">
        <v>9.5189135599999997</v>
      </c>
      <c r="F33" s="122">
        <f>(E33/C33)^(1/2)-1</f>
        <v>0.32963226755729225</v>
      </c>
      <c r="G33" s="158">
        <f t="shared" si="7"/>
        <v>2.9231274695228127E-2</v>
      </c>
      <c r="R33" s="137" t="s">
        <v>108</v>
      </c>
      <c r="S33" s="138">
        <f>SUM(S27:S32)</f>
        <v>34</v>
      </c>
      <c r="T33" s="139">
        <f>SUM(T27:T32)</f>
        <v>377434.89469302609</v>
      </c>
      <c r="V33" s="6" t="s">
        <v>155</v>
      </c>
      <c r="W33" s="6" t="s">
        <v>153</v>
      </c>
      <c r="X33" s="6" t="s">
        <v>115</v>
      </c>
      <c r="Y33" s="6" t="s">
        <v>116</v>
      </c>
      <c r="Z33" s="37">
        <v>21999.999998549425</v>
      </c>
    </row>
    <row r="34" spans="2:26" ht="15.75" x14ac:dyDescent="0.25">
      <c r="B34" s="23" t="s">
        <v>108</v>
      </c>
      <c r="C34" s="119">
        <f>+SUM(C28:C33)</f>
        <v>229.778795847</v>
      </c>
      <c r="D34" s="119">
        <f>+SUM(D28:D33)</f>
        <v>274.05454603800001</v>
      </c>
      <c r="E34" s="119">
        <f>+SUM(E28:E33)</f>
        <v>325.64141178399996</v>
      </c>
      <c r="F34" s="124">
        <f>(E34/C34)^(1/2)-1</f>
        <v>0.19046008872146203</v>
      </c>
      <c r="G34" s="159">
        <f t="shared" si="7"/>
        <v>1</v>
      </c>
      <c r="V34" s="6" t="s">
        <v>156</v>
      </c>
      <c r="W34" s="6" t="s">
        <v>157</v>
      </c>
      <c r="X34" s="6" t="s">
        <v>112</v>
      </c>
      <c r="Y34" s="6" t="s">
        <v>33</v>
      </c>
      <c r="Z34" s="37">
        <v>7500.0624192000005</v>
      </c>
    </row>
    <row r="35" spans="2:26" ht="15.75" x14ac:dyDescent="0.25">
      <c r="B35" s="125" t="s">
        <v>111</v>
      </c>
      <c r="C35" s="118">
        <v>-22.061254317</v>
      </c>
      <c r="D35" s="118">
        <v>-26.162077787999998</v>
      </c>
      <c r="E35" s="118">
        <v>-30.475950804000004</v>
      </c>
      <c r="F35" s="122">
        <f t="shared" ref="F35" si="9">(E35/C35)^(1/2)-1</f>
        <v>0.1753400399181162</v>
      </c>
      <c r="G35" s="158">
        <f t="shared" si="7"/>
        <v>-9.3587454485717855E-2</v>
      </c>
      <c r="V35" s="6" t="s">
        <v>158</v>
      </c>
      <c r="W35" s="6" t="s">
        <v>157</v>
      </c>
      <c r="X35" s="6" t="s">
        <v>112</v>
      </c>
      <c r="Y35" s="6" t="s">
        <v>33</v>
      </c>
      <c r="Z35" s="37">
        <v>6967.7280000000001</v>
      </c>
    </row>
    <row r="36" spans="2:26" ht="16.5" thickBot="1" x14ac:dyDescent="0.3">
      <c r="B36" s="28" t="s">
        <v>109</v>
      </c>
      <c r="C36" s="120">
        <f>+SUM(C34:C35)</f>
        <v>207.71754153000001</v>
      </c>
      <c r="D36" s="120">
        <f>+SUM(D34:D35)</f>
        <v>247.89246825000001</v>
      </c>
      <c r="E36" s="120">
        <f>+SUM(E34:E35)</f>
        <v>295.16546097999998</v>
      </c>
      <c r="F36" s="123">
        <f>(E36/C36)^(1/2)-1</f>
        <v>0.19205469205516623</v>
      </c>
      <c r="G36" s="160">
        <f t="shared" si="7"/>
        <v>0.90641254551428219</v>
      </c>
      <c r="V36" s="6" t="s">
        <v>159</v>
      </c>
      <c r="W36" s="6" t="s">
        <v>157</v>
      </c>
      <c r="X36" s="6" t="s">
        <v>112</v>
      </c>
      <c r="Y36" s="6" t="s">
        <v>33</v>
      </c>
      <c r="Z36" s="37">
        <v>6967.7280000000001</v>
      </c>
    </row>
    <row r="37" spans="2:26" ht="15.75" x14ac:dyDescent="0.25">
      <c r="B37" s="6"/>
      <c r="C37" s="117"/>
      <c r="D37" s="117"/>
      <c r="E37" s="117"/>
      <c r="F37" s="5"/>
      <c r="V37" s="6" t="s">
        <v>160</v>
      </c>
      <c r="W37" s="6" t="s">
        <v>161</v>
      </c>
      <c r="X37" s="6" t="s">
        <v>112</v>
      </c>
      <c r="Y37" s="6" t="s">
        <v>33</v>
      </c>
      <c r="Z37" s="37">
        <v>11999.914064640001</v>
      </c>
    </row>
    <row r="38" spans="2:26" ht="15.75" x14ac:dyDescent="0.25">
      <c r="D38" s="36"/>
      <c r="E38" s="36"/>
      <c r="F38" s="36"/>
      <c r="G38" s="5"/>
      <c r="V38" s="6" t="s">
        <v>162</v>
      </c>
      <c r="W38" s="6" t="s">
        <v>161</v>
      </c>
      <c r="X38" s="6" t="s">
        <v>112</v>
      </c>
      <c r="Y38" s="6" t="s">
        <v>33</v>
      </c>
      <c r="Z38" s="37">
        <v>9011.5948800000006</v>
      </c>
    </row>
    <row r="39" spans="2:26" ht="15.75" x14ac:dyDescent="0.25">
      <c r="V39" s="6" t="s">
        <v>163</v>
      </c>
      <c r="W39" s="6" t="s">
        <v>161</v>
      </c>
      <c r="X39" s="6" t="s">
        <v>112</v>
      </c>
      <c r="Y39" s="6" t="s">
        <v>33</v>
      </c>
      <c r="Z39" s="37">
        <v>11009.010240000001</v>
      </c>
    </row>
    <row r="40" spans="2:26" ht="15.75" x14ac:dyDescent="0.25">
      <c r="V40" s="6" t="s">
        <v>164</v>
      </c>
      <c r="W40" s="6" t="s">
        <v>161</v>
      </c>
      <c r="X40" s="6" t="s">
        <v>112</v>
      </c>
      <c r="Y40" s="6" t="s">
        <v>33</v>
      </c>
      <c r="Z40" s="37">
        <v>11009.010240000001</v>
      </c>
    </row>
    <row r="41" spans="2:26" ht="15.75" x14ac:dyDescent="0.25">
      <c r="V41" s="6" t="s">
        <v>165</v>
      </c>
      <c r="W41" s="6" t="s">
        <v>161</v>
      </c>
      <c r="X41" s="6" t="s">
        <v>112</v>
      </c>
      <c r="Y41" s="6" t="s">
        <v>33</v>
      </c>
      <c r="Z41" s="37">
        <v>11984.492160000002</v>
      </c>
    </row>
    <row r="42" spans="2:26" ht="15.75" x14ac:dyDescent="0.25">
      <c r="V42" s="6" t="s">
        <v>166</v>
      </c>
      <c r="W42" s="6" t="s">
        <v>157</v>
      </c>
      <c r="X42" s="6" t="s">
        <v>112</v>
      </c>
      <c r="Y42" s="6" t="s">
        <v>33</v>
      </c>
      <c r="Z42" s="37">
        <v>3499.6575168000004</v>
      </c>
    </row>
    <row r="43" spans="2:26" ht="15.75" x14ac:dyDescent="0.25">
      <c r="V43" s="6" t="s">
        <v>167</v>
      </c>
      <c r="W43" s="6" t="s">
        <v>157</v>
      </c>
      <c r="X43" s="6" t="s">
        <v>112</v>
      </c>
      <c r="Y43" s="6" t="s">
        <v>33</v>
      </c>
      <c r="Z43" s="37">
        <v>8500.6281600000002</v>
      </c>
    </row>
    <row r="44" spans="2:26" ht="15.75" x14ac:dyDescent="0.25">
      <c r="V44" s="6" t="s">
        <v>168</v>
      </c>
      <c r="W44" s="6" t="s">
        <v>157</v>
      </c>
      <c r="X44" s="6" t="s">
        <v>112</v>
      </c>
      <c r="Y44" s="6" t="s">
        <v>33</v>
      </c>
      <c r="Z44" s="37">
        <v>3994.8307200000004</v>
      </c>
    </row>
    <row r="45" spans="2:26" ht="15.75" x14ac:dyDescent="0.25">
      <c r="V45" s="6" t="s">
        <v>169</v>
      </c>
      <c r="W45" s="6" t="s">
        <v>170</v>
      </c>
      <c r="X45" s="6" t="s">
        <v>112</v>
      </c>
      <c r="Y45" s="6" t="s">
        <v>33</v>
      </c>
      <c r="Z45" s="37">
        <v>20999.99999861536</v>
      </c>
    </row>
    <row r="46" spans="2:26" ht="15.75" x14ac:dyDescent="0.25">
      <c r="V46" s="6" t="s">
        <v>171</v>
      </c>
      <c r="W46" s="6" t="s">
        <v>170</v>
      </c>
      <c r="X46" s="6" t="s">
        <v>112</v>
      </c>
      <c r="Y46" s="6" t="s">
        <v>33</v>
      </c>
      <c r="Z46" s="37">
        <v>24999.999998351614</v>
      </c>
    </row>
  </sheetData>
  <autoFilter ref="V12:Z46" xr:uid="{C489694A-B1BE-4FBD-A7F8-CB6F43F83F6F}"/>
  <pageMargins left="0.7" right="0.7" top="0.75" bottom="0.75" header="0.3" footer="0.3"/>
  <ignoredErrors>
    <ignoredError sqref="C34:G34 K32:M32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F44-002E-4DB8-A107-0A6252292599}">
  <dimension ref="B1:W112"/>
  <sheetViews>
    <sheetView showGridLines="0" zoomScale="85" zoomScaleNormal="85" workbookViewId="0">
      <selection activeCell="H60" sqref="H60"/>
    </sheetView>
  </sheetViews>
  <sheetFormatPr defaultRowHeight="15.75" outlineLevelRow="1" x14ac:dyDescent="0.25"/>
  <cols>
    <col min="1" max="1" width="2.85546875" style="6" customWidth="1"/>
    <col min="2" max="3" width="9.140625" style="6"/>
    <col min="4" max="4" width="10.85546875" style="6" customWidth="1"/>
    <col min="5" max="20" width="13.85546875" style="6" customWidth="1"/>
    <col min="21" max="21" width="10.28515625" style="6" customWidth="1"/>
    <col min="22" max="16384" width="9.140625" style="6"/>
  </cols>
  <sheetData>
    <row r="1" spans="2:21" x14ac:dyDescent="0.25">
      <c r="B1" s="23" t="s">
        <v>234</v>
      </c>
    </row>
    <row r="2" spans="2:21" x14ac:dyDescent="0.25">
      <c r="B2" s="23" t="s">
        <v>235</v>
      </c>
    </row>
    <row r="3" spans="2:21" x14ac:dyDescent="0.25">
      <c r="B3" s="25" t="s">
        <v>236</v>
      </c>
    </row>
    <row r="5" spans="2:21" x14ac:dyDescent="0.25">
      <c r="B5" s="221" t="s">
        <v>202</v>
      </c>
    </row>
    <row r="6" spans="2:21" x14ac:dyDescent="0.25">
      <c r="B6" s="185" t="s">
        <v>204</v>
      </c>
      <c r="C6" s="185"/>
      <c r="D6" s="185"/>
      <c r="E6" s="247">
        <f>IFERROR((E16-D16)/D16, 0)</f>
        <v>0</v>
      </c>
      <c r="F6" s="247">
        <f t="shared" ref="F6:J6" si="0">IFERROR((F16-E16)/E16, 0)</f>
        <v>0.17757730346605882</v>
      </c>
      <c r="G6" s="247">
        <f t="shared" si="0"/>
        <v>0.22596809320608388</v>
      </c>
      <c r="H6" s="247">
        <f t="shared" si="0"/>
        <v>0.19341700486719904</v>
      </c>
      <c r="I6" s="247">
        <f t="shared" si="0"/>
        <v>0.19069517896834529</v>
      </c>
      <c r="J6" s="247">
        <f t="shared" si="0"/>
        <v>-2.2546711161553806E-2</v>
      </c>
      <c r="K6" s="250">
        <v>0.2</v>
      </c>
      <c r="L6" s="250">
        <v>0.2</v>
      </c>
      <c r="M6" s="250">
        <v>0.15</v>
      </c>
      <c r="N6" s="250">
        <v>0.15</v>
      </c>
      <c r="O6" s="250">
        <v>0.1</v>
      </c>
      <c r="P6" s="250">
        <v>0.1</v>
      </c>
      <c r="Q6" s="250">
        <v>0.06</v>
      </c>
      <c r="R6" s="250">
        <v>0.06</v>
      </c>
      <c r="S6" s="250">
        <v>0.03</v>
      </c>
      <c r="T6" s="250">
        <v>0.03</v>
      </c>
    </row>
    <row r="7" spans="2:21" x14ac:dyDescent="0.25">
      <c r="B7" s="186" t="s">
        <v>206</v>
      </c>
      <c r="C7" s="186"/>
      <c r="D7" s="186"/>
      <c r="E7" s="248">
        <f>IFERROR(-E18/E$16, 0)</f>
        <v>0.36554513799598276</v>
      </c>
      <c r="F7" s="248">
        <f t="shared" ref="F7:J7" si="1">IFERROR(-F18/F$16, 0)</f>
        <v>0.22030797197679289</v>
      </c>
      <c r="G7" s="248">
        <f t="shared" si="1"/>
        <v>0.37396553965250795</v>
      </c>
      <c r="H7" s="248">
        <f t="shared" si="1"/>
        <v>0.39500106900961307</v>
      </c>
      <c r="I7" s="248">
        <f t="shared" si="1"/>
        <v>0.4445581285043958</v>
      </c>
      <c r="J7" s="248">
        <f t="shared" si="1"/>
        <v>0.4223805067415341</v>
      </c>
      <c r="K7" s="251">
        <v>0.42</v>
      </c>
      <c r="L7" s="251">
        <v>0.42</v>
      </c>
      <c r="M7" s="251">
        <v>0.4</v>
      </c>
      <c r="N7" s="251">
        <v>0.4</v>
      </c>
      <c r="O7" s="251">
        <v>0.4</v>
      </c>
      <c r="P7" s="251">
        <v>0.38</v>
      </c>
      <c r="Q7" s="251">
        <v>0.38</v>
      </c>
      <c r="R7" s="251">
        <v>0.38</v>
      </c>
      <c r="S7" s="251">
        <v>0.38</v>
      </c>
      <c r="T7" s="251">
        <v>0.38</v>
      </c>
    </row>
    <row r="8" spans="2:21" x14ac:dyDescent="0.25">
      <c r="B8" s="186" t="s">
        <v>207</v>
      </c>
      <c r="C8" s="186"/>
      <c r="D8" s="186"/>
      <c r="E8" s="248">
        <f>IFERROR(-E21/E$16, 0)</f>
        <v>5.0972678810961833E-2</v>
      </c>
      <c r="F8" s="248">
        <f>IFERROR(-F21/F$16, 0)</f>
        <v>0.17744686627594713</v>
      </c>
      <c r="G8" s="248">
        <f>IFERROR(-G21/G$16, 0)</f>
        <v>4.1359156929861293E-2</v>
      </c>
      <c r="H8" s="248">
        <f>IFERROR(-H21/H$16, 0)</f>
        <v>4.7762542709959541E-2</v>
      </c>
      <c r="I8" s="248">
        <f>IFERROR(-I21/I$16, 0)</f>
        <v>7.8156285467450404E-2</v>
      </c>
      <c r="J8" s="248">
        <f>IFERROR(-J21/J$16, 0)</f>
        <v>6.7720356313472674E-2</v>
      </c>
      <c r="K8" s="251">
        <v>7.0000000000000007E-2</v>
      </c>
      <c r="L8" s="251">
        <v>7.0000000000000007E-2</v>
      </c>
      <c r="M8" s="251">
        <v>0.06</v>
      </c>
      <c r="N8" s="251">
        <v>0.06</v>
      </c>
      <c r="O8" s="251">
        <v>0.06</v>
      </c>
      <c r="P8" s="251">
        <v>0.05</v>
      </c>
      <c r="Q8" s="251">
        <v>0.05</v>
      </c>
      <c r="R8" s="251">
        <v>0.05</v>
      </c>
      <c r="S8" s="251">
        <v>0.05</v>
      </c>
      <c r="T8" s="251">
        <v>0.05</v>
      </c>
    </row>
    <row r="9" spans="2:21" x14ac:dyDescent="0.25">
      <c r="B9" s="186" t="s">
        <v>205</v>
      </c>
      <c r="C9" s="186"/>
      <c r="D9" s="186"/>
      <c r="E9" s="248">
        <f>IFERROR(-E24/E$16, 0)</f>
        <v>0.27780596465134377</v>
      </c>
      <c r="F9" s="248">
        <f t="shared" ref="F9:J9" si="2">IFERROR(-F24/F$16, 0)</f>
        <v>0.41535492324309004</v>
      </c>
      <c r="G9" s="248">
        <f t="shared" si="2"/>
        <v>0.26645869139261591</v>
      </c>
      <c r="H9" s="248">
        <f t="shared" si="2"/>
        <v>0.28072192437866339</v>
      </c>
      <c r="I9" s="248">
        <f t="shared" si="2"/>
        <v>0.31128690732302272</v>
      </c>
      <c r="J9" s="248">
        <f t="shared" si="2"/>
        <v>0.32726768569546982</v>
      </c>
      <c r="K9" s="251">
        <v>0.34</v>
      </c>
      <c r="L9" s="251">
        <v>0.33</v>
      </c>
      <c r="M9" s="251">
        <v>0.31</v>
      </c>
      <c r="N9" s="251">
        <v>0.3</v>
      </c>
      <c r="O9" s="251">
        <v>0.28000000000000003</v>
      </c>
      <c r="P9" s="251">
        <v>0.28000000000000003</v>
      </c>
      <c r="Q9" s="251">
        <v>0.26</v>
      </c>
      <c r="R9" s="251">
        <v>0.25</v>
      </c>
      <c r="S9" s="251">
        <v>0.24</v>
      </c>
      <c r="T9" s="251">
        <v>0.24</v>
      </c>
    </row>
    <row r="10" spans="2:21" x14ac:dyDescent="0.25">
      <c r="B10" s="186" t="s">
        <v>248</v>
      </c>
      <c r="C10" s="186"/>
      <c r="D10" s="186"/>
      <c r="E10" s="248">
        <f>IFERROR(-E33/E$16, 0)</f>
        <v>1.8113371466698176</v>
      </c>
      <c r="F10" s="248">
        <f>IFERROR(-F33/F$16, 0)</f>
        <v>0.7594950156700957</v>
      </c>
      <c r="G10" s="248">
        <f>IFERROR(-G33/G$16, 0)</f>
        <v>0.69291873077311916</v>
      </c>
      <c r="H10" s="248">
        <f>IFERROR(-H33/H$16, 0)</f>
        <v>0.78019145357069375</v>
      </c>
      <c r="I10" s="248">
        <f>IFERROR(-I33/I$16, 0)</f>
        <v>0.6457879491132078</v>
      </c>
      <c r="J10" s="248">
        <f>IFERROR(-J33/J$16, 0)</f>
        <v>0.47610134830681783</v>
      </c>
      <c r="K10" s="251">
        <v>0.42610134830681784</v>
      </c>
      <c r="L10" s="251">
        <v>0.37610134830681785</v>
      </c>
      <c r="M10" s="251">
        <v>0.32610134830681786</v>
      </c>
      <c r="N10" s="251">
        <v>0.30610134830681784</v>
      </c>
      <c r="O10" s="251">
        <v>0.28610134830681783</v>
      </c>
      <c r="P10" s="251">
        <v>0.26610134830681781</v>
      </c>
      <c r="Q10" s="251">
        <v>0.24610134830681782</v>
      </c>
      <c r="R10" s="251">
        <v>0.22610134830681783</v>
      </c>
      <c r="S10" s="251">
        <v>0.20610134830681784</v>
      </c>
      <c r="T10" s="251">
        <v>0.19610134830681783</v>
      </c>
    </row>
    <row r="11" spans="2:21" x14ac:dyDescent="0.25">
      <c r="B11" s="186" t="s">
        <v>203</v>
      </c>
      <c r="C11" s="186"/>
      <c r="D11" s="186"/>
      <c r="E11" s="248">
        <f>IFERROR(-E28/E$26, 0)</f>
        <v>-8.364975784998066E-2</v>
      </c>
      <c r="F11" s="248">
        <f>IFERROR(-F28/F$26, 0)</f>
        <v>0.16671403758092521</v>
      </c>
      <c r="G11" s="248">
        <f>IFERROR(-G28/G$26, 0)</f>
        <v>9.3904597648981042E-2</v>
      </c>
      <c r="H11" s="248">
        <f>IFERROR(-H28/H$26, 0)</f>
        <v>-0.15821492136667351</v>
      </c>
      <c r="I11" s="248">
        <f>IFERROR(-I28/I$26, 0)</f>
        <v>0.48915239708553537</v>
      </c>
      <c r="J11" s="248">
        <f>IFERROR(-J28/J$26, 0)</f>
        <v>0.37423848475071653</v>
      </c>
      <c r="K11" s="251">
        <v>0.34</v>
      </c>
      <c r="L11" s="251">
        <v>0.34</v>
      </c>
      <c r="M11" s="251">
        <v>0.34</v>
      </c>
      <c r="N11" s="251">
        <v>0.34</v>
      </c>
      <c r="O11" s="251">
        <v>0.34</v>
      </c>
      <c r="P11" s="251">
        <v>0.34</v>
      </c>
      <c r="Q11" s="251">
        <v>0.34</v>
      </c>
      <c r="R11" s="251">
        <v>0.34</v>
      </c>
      <c r="S11" s="251">
        <v>0.34</v>
      </c>
      <c r="T11" s="251">
        <v>0.34</v>
      </c>
    </row>
    <row r="12" spans="2:21" x14ac:dyDescent="0.25">
      <c r="B12" s="126" t="s">
        <v>249</v>
      </c>
      <c r="C12" s="126"/>
      <c r="D12" s="126"/>
      <c r="E12" s="249">
        <f>IFERROR(E46/E$16, 0)</f>
        <v>0.26939623716821537</v>
      </c>
      <c r="F12" s="249">
        <f>IFERROR(F46/F$16, 0)</f>
        <v>0.2145593191328623</v>
      </c>
      <c r="G12" s="249">
        <f>IFERROR(G46/G$16, 0)</f>
        <v>0.16827703076782349</v>
      </c>
      <c r="H12" s="249">
        <f>IFERROR(H46/H$16, 0)</f>
        <v>4.6330473228368717E-2</v>
      </c>
      <c r="I12" s="249">
        <f>IFERROR(I46/I$16, 0)</f>
        <v>0.20552572290075041</v>
      </c>
      <c r="J12" s="249">
        <f>IFERROR(J46/J$16, 0)</f>
        <v>0.20809677307545665</v>
      </c>
      <c r="K12" s="252">
        <v>0.2</v>
      </c>
      <c r="L12" s="252">
        <v>0.2</v>
      </c>
      <c r="M12" s="252">
        <v>0.18</v>
      </c>
      <c r="N12" s="252">
        <v>0.18</v>
      </c>
      <c r="O12" s="252">
        <v>0.18</v>
      </c>
      <c r="P12" s="252">
        <v>0.16</v>
      </c>
      <c r="Q12" s="252">
        <v>0.16</v>
      </c>
      <c r="R12" s="252">
        <v>0.16</v>
      </c>
      <c r="S12" s="252">
        <v>0.14000000000000001</v>
      </c>
      <c r="T12" s="252">
        <v>0.14000000000000001</v>
      </c>
    </row>
    <row r="14" spans="2:21" x14ac:dyDescent="0.25">
      <c r="E14" s="222" t="s">
        <v>175</v>
      </c>
      <c r="F14" s="222"/>
      <c r="G14" s="222"/>
      <c r="H14" s="222"/>
      <c r="I14" s="222"/>
      <c r="J14" s="222"/>
      <c r="K14" s="215" t="s">
        <v>176</v>
      </c>
      <c r="L14" s="215"/>
      <c r="M14" s="215"/>
      <c r="N14" s="215"/>
      <c r="O14" s="215"/>
      <c r="P14" s="215"/>
      <c r="Q14" s="215"/>
      <c r="R14" s="215"/>
      <c r="S14" s="215"/>
      <c r="T14" s="215"/>
      <c r="U14" s="167" t="s">
        <v>173</v>
      </c>
    </row>
    <row r="15" spans="2:21" x14ac:dyDescent="0.25">
      <c r="E15" s="228">
        <v>2019</v>
      </c>
      <c r="F15" s="197">
        <f>E15+1</f>
        <v>2020</v>
      </c>
      <c r="G15" s="197">
        <f t="shared" ref="G15:N15" si="3">F15+1</f>
        <v>2021</v>
      </c>
      <c r="H15" s="197">
        <f t="shared" si="3"/>
        <v>2022</v>
      </c>
      <c r="I15" s="197">
        <f t="shared" si="3"/>
        <v>2023</v>
      </c>
      <c r="J15" s="197">
        <f t="shared" si="3"/>
        <v>2024</v>
      </c>
      <c r="K15" s="197">
        <f t="shared" si="3"/>
        <v>2025</v>
      </c>
      <c r="L15" s="197">
        <f t="shared" si="3"/>
        <v>2026</v>
      </c>
      <c r="M15" s="197">
        <f t="shared" si="3"/>
        <v>2027</v>
      </c>
      <c r="N15" s="197">
        <f t="shared" si="3"/>
        <v>2028</v>
      </c>
      <c r="O15" s="197">
        <f t="shared" ref="O15" si="4">N15+1</f>
        <v>2029</v>
      </c>
      <c r="P15" s="197">
        <f t="shared" ref="P15" si="5">O15+1</f>
        <v>2030</v>
      </c>
      <c r="Q15" s="197">
        <f t="shared" ref="Q15" si="6">P15+1</f>
        <v>2031</v>
      </c>
      <c r="R15" s="197">
        <f t="shared" ref="R15" si="7">Q15+1</f>
        <v>2032</v>
      </c>
      <c r="S15" s="197">
        <f t="shared" ref="S15" si="8">R15+1</f>
        <v>2033</v>
      </c>
      <c r="T15" s="197">
        <f t="shared" ref="T15" si="9">S15+1</f>
        <v>2034</v>
      </c>
      <c r="U15" s="229" t="s">
        <v>208</v>
      </c>
    </row>
    <row r="16" spans="2:21" x14ac:dyDescent="0.25">
      <c r="B16" s="23" t="s">
        <v>109</v>
      </c>
      <c r="E16" s="230">
        <v>143.881</v>
      </c>
      <c r="F16" s="230">
        <v>169.43100000000001</v>
      </c>
      <c r="G16" s="230">
        <v>207.71700000000001</v>
      </c>
      <c r="H16" s="230">
        <v>247.893</v>
      </c>
      <c r="I16" s="230">
        <v>295.16500000000002</v>
      </c>
      <c r="J16" s="230">
        <v>288.51</v>
      </c>
      <c r="K16" s="169">
        <f>J16*(1+K6)</f>
        <v>346.21199999999999</v>
      </c>
      <c r="L16" s="169">
        <f t="shared" ref="L16:T16" si="10">K16*(1+L6)</f>
        <v>415.45439999999996</v>
      </c>
      <c r="M16" s="169">
        <f>L16*(1+M6)</f>
        <v>477.77255999999994</v>
      </c>
      <c r="N16" s="169">
        <f>M16*(1+N6)</f>
        <v>549.43844399999989</v>
      </c>
      <c r="O16" s="169">
        <f>N16*(1+O6)</f>
        <v>604.38228839999988</v>
      </c>
      <c r="P16" s="169">
        <f>O16*(1+P6)</f>
        <v>664.82051723999996</v>
      </c>
      <c r="Q16" s="169">
        <f>P16*(1+Q6)</f>
        <v>704.7097482744</v>
      </c>
      <c r="R16" s="169">
        <f>Q16*(1+R6)</f>
        <v>746.99233317086407</v>
      </c>
      <c r="S16" s="169">
        <f>R16*(1+S6)</f>
        <v>769.40210316599007</v>
      </c>
      <c r="T16" s="169">
        <f>S16*(1+T6)</f>
        <v>792.4841662609698</v>
      </c>
      <c r="U16" s="198">
        <f>+IFERROR((T16/K16)^(1/($T$15-$K$15))-1, 0)</f>
        <v>9.6379589225738194E-2</v>
      </c>
    </row>
    <row r="17" spans="2:23" x14ac:dyDescent="0.25">
      <c r="C17" s="161" t="s">
        <v>177</v>
      </c>
      <c r="E17" s="181">
        <f>IFERROR(E16/D16-1, 0)</f>
        <v>0</v>
      </c>
      <c r="F17" s="181">
        <f t="shared" ref="F17" si="11">IFERROR(F16/E16-1, 0)</f>
        <v>0.17757730346605882</v>
      </c>
      <c r="G17" s="181">
        <f>IFERROR(G16/F16-1, 0)</f>
        <v>0.22596809320608391</v>
      </c>
      <c r="H17" s="181">
        <f>IFERROR(H16/G16-1, 0)</f>
        <v>0.19341700486719904</v>
      </c>
      <c r="I17" s="181">
        <f>IFERROR(I16/H16-1, 0)</f>
        <v>0.19069517896834531</v>
      </c>
      <c r="J17" s="181">
        <f>IFERROR(J16/I16-1, 0)</f>
        <v>-2.2546711161553823E-2</v>
      </c>
      <c r="K17" s="181">
        <f>IFERROR(K16/J16-1, 0)</f>
        <v>0.19999999999999996</v>
      </c>
      <c r="L17" s="181">
        <f>IFERROR(L16/K16-1, 0)</f>
        <v>0.19999999999999996</v>
      </c>
      <c r="M17" s="181">
        <f>IFERROR(M16/L16-1, 0)</f>
        <v>0.14999999999999991</v>
      </c>
      <c r="N17" s="181">
        <f>IFERROR(N16/M16-1, 0)</f>
        <v>0.14999999999999991</v>
      </c>
      <c r="O17" s="181">
        <f>IFERROR(O16/N16-1, 0)</f>
        <v>0.10000000000000009</v>
      </c>
      <c r="P17" s="181">
        <f>IFERROR(P16/O16-1, 0)</f>
        <v>0.10000000000000009</v>
      </c>
      <c r="Q17" s="181">
        <f>IFERROR(Q16/P16-1, 0)</f>
        <v>6.0000000000000053E-2</v>
      </c>
      <c r="R17" s="181">
        <f>IFERROR(R16/Q16-1, 0)</f>
        <v>6.0000000000000053E-2</v>
      </c>
      <c r="S17" s="181">
        <f>IFERROR(S16/R16-1, 0)</f>
        <v>3.0000000000000027E-2</v>
      </c>
      <c r="T17" s="181">
        <f>IFERROR(T16/S16-1, 0)</f>
        <v>3.0000000000000027E-2</v>
      </c>
      <c r="U17" s="198"/>
    </row>
    <row r="18" spans="2:23" x14ac:dyDescent="0.25">
      <c r="B18" s="6" t="s">
        <v>178</v>
      </c>
      <c r="E18" s="231">
        <v>-52.594999999999999</v>
      </c>
      <c r="F18" s="231">
        <v>-37.326999999999998</v>
      </c>
      <c r="G18" s="231">
        <v>-77.679000000000002</v>
      </c>
      <c r="H18" s="231">
        <v>-97.918000000000006</v>
      </c>
      <c r="I18" s="231">
        <v>-131.21799999999999</v>
      </c>
      <c r="J18" s="231">
        <v>-121.861</v>
      </c>
      <c r="K18" s="170">
        <f>K16*-J7</f>
        <v>-146.23320000000001</v>
      </c>
      <c r="L18" s="170">
        <f>L16*-L7</f>
        <v>-174.49084799999997</v>
      </c>
      <c r="M18" s="170">
        <f t="shared" ref="M18:T18" si="12">M16*-M7</f>
        <v>-191.10902399999998</v>
      </c>
      <c r="N18" s="170">
        <f t="shared" si="12"/>
        <v>-219.77537759999996</v>
      </c>
      <c r="O18" s="170">
        <f t="shared" si="12"/>
        <v>-241.75291535999997</v>
      </c>
      <c r="P18" s="170">
        <f t="shared" si="12"/>
        <v>-252.63179655119998</v>
      </c>
      <c r="Q18" s="170">
        <f t="shared" si="12"/>
        <v>-267.78970434427202</v>
      </c>
      <c r="R18" s="170">
        <f t="shared" si="12"/>
        <v>-283.85708660492833</v>
      </c>
      <c r="S18" s="170">
        <f t="shared" si="12"/>
        <v>-292.37279920307623</v>
      </c>
      <c r="T18" s="170">
        <f>T16*-T7</f>
        <v>-301.14398317916852</v>
      </c>
      <c r="U18" s="198">
        <f>+IFERROR((T18/K18)^(1/($T$15-$K$15))-1, 0)</f>
        <v>8.3574284193237869E-2</v>
      </c>
    </row>
    <row r="19" spans="2:23" x14ac:dyDescent="0.25">
      <c r="B19" s="23" t="s">
        <v>179</v>
      </c>
      <c r="E19" s="171">
        <f>+SUM(E16, E18)</f>
        <v>91.286000000000001</v>
      </c>
      <c r="F19" s="171">
        <f t="shared" ref="F19:J19" si="13">+SUM(F16, F18)</f>
        <v>132.10400000000001</v>
      </c>
      <c r="G19" s="171">
        <f t="shared" si="13"/>
        <v>130.03800000000001</v>
      </c>
      <c r="H19" s="171">
        <f t="shared" si="13"/>
        <v>149.97499999999999</v>
      </c>
      <c r="I19" s="171">
        <f t="shared" si="13"/>
        <v>163.94700000000003</v>
      </c>
      <c r="J19" s="171">
        <f t="shared" si="13"/>
        <v>166.649</v>
      </c>
      <c r="K19" s="171">
        <f>+SUM(K16, K18)</f>
        <v>199.97879999999998</v>
      </c>
      <c r="L19" s="171">
        <f>+SUM(L16, L18)</f>
        <v>240.96355199999999</v>
      </c>
      <c r="M19" s="171">
        <f>+SUM(M16, M18)</f>
        <v>286.66353599999997</v>
      </c>
      <c r="N19" s="171">
        <f>+SUM(N16, N18)</f>
        <v>329.66306639999993</v>
      </c>
      <c r="O19" s="171">
        <f>+SUM(O16, O18)</f>
        <v>362.6293730399999</v>
      </c>
      <c r="P19" s="171">
        <f>+SUM(P16, P18)</f>
        <v>412.1887206888</v>
      </c>
      <c r="Q19" s="171">
        <f>+SUM(Q16, Q18)</f>
        <v>436.92004393012797</v>
      </c>
      <c r="R19" s="171">
        <f>+SUM(R16, R18)</f>
        <v>463.13524656593574</v>
      </c>
      <c r="S19" s="171">
        <f t="shared" ref="S19:T19" si="14">+SUM(S16, S18)</f>
        <v>477.02930396291384</v>
      </c>
      <c r="T19" s="171">
        <f t="shared" si="14"/>
        <v>491.34018308180129</v>
      </c>
      <c r="U19" s="198"/>
    </row>
    <row r="20" spans="2:23" x14ac:dyDescent="0.25">
      <c r="C20" s="161" t="s">
        <v>180</v>
      </c>
      <c r="E20" s="181">
        <f>+E19/E$16</f>
        <v>0.63445486200401724</v>
      </c>
      <c r="F20" s="181">
        <f>+F19/F$16</f>
        <v>0.77969202802320714</v>
      </c>
      <c r="G20" s="181">
        <f>+G19/G$16</f>
        <v>0.62603446034749199</v>
      </c>
      <c r="H20" s="181">
        <f>+H19/H$16</f>
        <v>0.60499893099038693</v>
      </c>
      <c r="I20" s="181">
        <f>+I19/I$16</f>
        <v>0.5554418714956042</v>
      </c>
      <c r="J20" s="181">
        <f>+J19/J$16</f>
        <v>0.57761949325846595</v>
      </c>
      <c r="K20" s="181">
        <f t="shared" ref="K20:T20" si="15">+K19/K$16</f>
        <v>0.57761949325846584</v>
      </c>
      <c r="L20" s="181">
        <f t="shared" si="15"/>
        <v>0.58000000000000007</v>
      </c>
      <c r="M20" s="181">
        <f t="shared" si="15"/>
        <v>0.6</v>
      </c>
      <c r="N20" s="181">
        <f t="shared" si="15"/>
        <v>0.6</v>
      </c>
      <c r="O20" s="181">
        <f t="shared" si="15"/>
        <v>0.6</v>
      </c>
      <c r="P20" s="181">
        <f t="shared" si="15"/>
        <v>0.62</v>
      </c>
      <c r="Q20" s="181">
        <f t="shared" si="15"/>
        <v>0.62</v>
      </c>
      <c r="R20" s="181">
        <f t="shared" si="15"/>
        <v>0.62</v>
      </c>
      <c r="S20" s="181">
        <f t="shared" si="15"/>
        <v>0.62</v>
      </c>
      <c r="T20" s="181">
        <f t="shared" si="15"/>
        <v>0.62</v>
      </c>
      <c r="U20" s="198"/>
      <c r="W20" s="169"/>
    </row>
    <row r="21" spans="2:23" x14ac:dyDescent="0.25">
      <c r="B21" s="6" t="s">
        <v>181</v>
      </c>
      <c r="C21" s="161"/>
      <c r="E21" s="231">
        <v>-7.3339999999999996</v>
      </c>
      <c r="F21" s="231">
        <v>-30.065000000000001</v>
      </c>
      <c r="G21" s="231">
        <v>-8.5909999999999993</v>
      </c>
      <c r="H21" s="231">
        <v>-11.84</v>
      </c>
      <c r="I21" s="231">
        <v>-23.068999999999999</v>
      </c>
      <c r="J21" s="231">
        <v>-19.538</v>
      </c>
      <c r="K21" s="170">
        <f>K16*-K8</f>
        <v>-24.234840000000002</v>
      </c>
      <c r="L21" s="170">
        <f t="shared" ref="L21:T21" si="16">L16*-L8</f>
        <v>-29.081807999999999</v>
      </c>
      <c r="M21" s="170">
        <f t="shared" si="16"/>
        <v>-28.666353599999997</v>
      </c>
      <c r="N21" s="170">
        <f t="shared" si="16"/>
        <v>-32.966306639999992</v>
      </c>
      <c r="O21" s="170">
        <f t="shared" si="16"/>
        <v>-36.26293730399999</v>
      </c>
      <c r="P21" s="170">
        <f>P16*-P8</f>
        <v>-33.241025862000001</v>
      </c>
      <c r="Q21" s="170">
        <f>Q16*-Q8</f>
        <v>-35.235487413720001</v>
      </c>
      <c r="R21" s="170">
        <f>R16*-R8</f>
        <v>-37.349616658543205</v>
      </c>
      <c r="S21" s="170">
        <f>S16*-S8</f>
        <v>-38.470105158299504</v>
      </c>
      <c r="T21" s="170">
        <f>T16*-T8</f>
        <v>-39.624208313048491</v>
      </c>
      <c r="U21" s="198">
        <f>+IFERROR((T21/K21)^(1/($T$15-$K$15))-1, 0)</f>
        <v>5.6147300883357731E-2</v>
      </c>
    </row>
    <row r="22" spans="2:23" x14ac:dyDescent="0.25">
      <c r="B22" s="23" t="s">
        <v>3</v>
      </c>
      <c r="E22" s="171">
        <f>SUM(E19, E21)</f>
        <v>83.951999999999998</v>
      </c>
      <c r="F22" s="171">
        <f t="shared" ref="F22:T22" si="17">SUM(F19, F21)</f>
        <v>102.03900000000002</v>
      </c>
      <c r="G22" s="171">
        <f t="shared" si="17"/>
        <v>121.44700000000002</v>
      </c>
      <c r="H22" s="171">
        <f t="shared" si="17"/>
        <v>138.13499999999999</v>
      </c>
      <c r="I22" s="171">
        <f t="shared" si="17"/>
        <v>140.87800000000004</v>
      </c>
      <c r="J22" s="171">
        <f t="shared" si="17"/>
        <v>147.11099999999999</v>
      </c>
      <c r="K22" s="171">
        <f t="shared" si="17"/>
        <v>175.74395999999999</v>
      </c>
      <c r="L22" s="171">
        <f t="shared" si="17"/>
        <v>211.881744</v>
      </c>
      <c r="M22" s="171">
        <f t="shared" si="17"/>
        <v>257.99718239999999</v>
      </c>
      <c r="N22" s="171">
        <f t="shared" si="17"/>
        <v>296.69675975999996</v>
      </c>
      <c r="O22" s="171">
        <f t="shared" si="17"/>
        <v>326.36643573599991</v>
      </c>
      <c r="P22" s="171">
        <f t="shared" si="17"/>
        <v>378.94769482679999</v>
      </c>
      <c r="Q22" s="171">
        <f t="shared" si="17"/>
        <v>401.68455651640795</v>
      </c>
      <c r="R22" s="171">
        <f t="shared" si="17"/>
        <v>425.78562990739255</v>
      </c>
      <c r="S22" s="171">
        <f t="shared" si="17"/>
        <v>438.55919880461431</v>
      </c>
      <c r="T22" s="171">
        <f t="shared" si="17"/>
        <v>451.7159747687528</v>
      </c>
      <c r="U22" s="198">
        <f>+IFERROR((T22/K22)^(1/($T$15-$K$15))-1, 0)</f>
        <v>0.11059034478011465</v>
      </c>
    </row>
    <row r="23" spans="2:23" x14ac:dyDescent="0.25">
      <c r="C23" s="161" t="s">
        <v>180</v>
      </c>
      <c r="E23" s="179">
        <f>+E22/E$16</f>
        <v>0.58348218319305534</v>
      </c>
      <c r="F23" s="179">
        <f t="shared" ref="F23" si="18">+F22/F$16</f>
        <v>0.60224516174725995</v>
      </c>
      <c r="G23" s="179">
        <f t="shared" ref="G23" si="19">+G22/G$16</f>
        <v>0.58467530341763074</v>
      </c>
      <c r="H23" s="179">
        <f t="shared" ref="H23" si="20">+H22/H$16</f>
        <v>0.55723638828042743</v>
      </c>
      <c r="I23" s="179">
        <f t="shared" ref="I23" si="21">+I22/I$16</f>
        <v>0.47728558602815385</v>
      </c>
      <c r="J23" s="179">
        <f>+J22/J$16</f>
        <v>0.50989913694499323</v>
      </c>
      <c r="K23" s="179">
        <f t="shared" ref="K23:T23" si="22">+K22/K$16</f>
        <v>0.50761949325846589</v>
      </c>
      <c r="L23" s="179">
        <f t="shared" si="22"/>
        <v>0.51</v>
      </c>
      <c r="M23" s="179">
        <f t="shared" si="22"/>
        <v>0.54</v>
      </c>
      <c r="N23" s="179">
        <f t="shared" si="22"/>
        <v>0.54</v>
      </c>
      <c r="O23" s="179">
        <f t="shared" si="22"/>
        <v>0.53999999999999992</v>
      </c>
      <c r="P23" s="179">
        <f t="shared" si="22"/>
        <v>0.57000000000000006</v>
      </c>
      <c r="Q23" s="179">
        <f t="shared" si="22"/>
        <v>0.56999999999999995</v>
      </c>
      <c r="R23" s="179">
        <f t="shared" si="22"/>
        <v>0.57000000000000006</v>
      </c>
      <c r="S23" s="179">
        <f t="shared" si="22"/>
        <v>0.56999999999999995</v>
      </c>
      <c r="T23" s="179">
        <f t="shared" si="22"/>
        <v>0.57000000000000006</v>
      </c>
      <c r="U23" s="198"/>
    </row>
    <row r="24" spans="2:23" x14ac:dyDescent="0.25">
      <c r="B24" s="6" t="s">
        <v>182</v>
      </c>
      <c r="E24" s="232">
        <v>-39.970999999999997</v>
      </c>
      <c r="F24" s="232">
        <v>-70.373999999999995</v>
      </c>
      <c r="G24" s="232">
        <v>-55.347999999999999</v>
      </c>
      <c r="H24" s="232">
        <v>-69.588999999999999</v>
      </c>
      <c r="I24" s="232">
        <v>-91.881</v>
      </c>
      <c r="J24" s="232">
        <v>-94.42</v>
      </c>
      <c r="K24" s="172">
        <f>+K16*-K9</f>
        <v>-117.71208</v>
      </c>
      <c r="L24" s="172">
        <f t="shared" ref="L24:T24" si="23">+L16*-L9</f>
        <v>-137.099952</v>
      </c>
      <c r="M24" s="172">
        <f t="shared" si="23"/>
        <v>-148.10949359999998</v>
      </c>
      <c r="N24" s="172">
        <f t="shared" si="23"/>
        <v>-164.83153319999997</v>
      </c>
      <c r="O24" s="172">
        <f t="shared" si="23"/>
        <v>-169.22704075199999</v>
      </c>
      <c r="P24" s="172">
        <f t="shared" si="23"/>
        <v>-186.14974482720001</v>
      </c>
      <c r="Q24" s="172">
        <f t="shared" si="23"/>
        <v>-183.22453455134399</v>
      </c>
      <c r="R24" s="172">
        <f t="shared" si="23"/>
        <v>-186.74808329271602</v>
      </c>
      <c r="S24" s="172">
        <f t="shared" si="23"/>
        <v>-184.65650475983762</v>
      </c>
      <c r="T24" s="172">
        <f>+T16*-T9</f>
        <v>-190.19619990263274</v>
      </c>
      <c r="U24" s="198">
        <f>+IFERROR((T24/K24)^(1/($T$15-$K$15))-1, 0)</f>
        <v>5.4759443502043537E-2</v>
      </c>
    </row>
    <row r="25" spans="2:23" x14ac:dyDescent="0.25">
      <c r="C25" s="161" t="s">
        <v>200</v>
      </c>
      <c r="E25" s="180">
        <f>E24/E$16</f>
        <v>-0.27780596465134377</v>
      </c>
      <c r="F25" s="180">
        <f>F24/F$16</f>
        <v>-0.41535492324309004</v>
      </c>
      <c r="G25" s="180">
        <f>G24/G$16</f>
        <v>-0.26645869139261591</v>
      </c>
      <c r="H25" s="180">
        <f>H24/H$16</f>
        <v>-0.28072192437866339</v>
      </c>
      <c r="I25" s="180">
        <f>I24/I$16</f>
        <v>-0.31128690732302272</v>
      </c>
      <c r="J25" s="180">
        <f>J24/J$16</f>
        <v>-0.32726768569546982</v>
      </c>
      <c r="K25" s="180">
        <f t="shared" ref="K25:T25" si="24">K24/K$16</f>
        <v>-0.34</v>
      </c>
      <c r="L25" s="180">
        <f t="shared" si="24"/>
        <v>-0.33</v>
      </c>
      <c r="M25" s="180">
        <f t="shared" si="24"/>
        <v>-0.31</v>
      </c>
      <c r="N25" s="180">
        <f t="shared" si="24"/>
        <v>-0.3</v>
      </c>
      <c r="O25" s="180">
        <f t="shared" si="24"/>
        <v>-0.28000000000000003</v>
      </c>
      <c r="P25" s="180">
        <f t="shared" si="24"/>
        <v>-0.28000000000000003</v>
      </c>
      <c r="Q25" s="180">
        <f t="shared" si="24"/>
        <v>-0.26</v>
      </c>
      <c r="R25" s="180">
        <f t="shared" si="24"/>
        <v>-0.25</v>
      </c>
      <c r="S25" s="180">
        <f t="shared" si="24"/>
        <v>-0.24</v>
      </c>
      <c r="T25" s="180">
        <f t="shared" si="24"/>
        <v>-0.24</v>
      </c>
      <c r="U25" s="198"/>
    </row>
    <row r="26" spans="2:23" x14ac:dyDescent="0.25">
      <c r="B26" s="23" t="s">
        <v>6</v>
      </c>
      <c r="E26" s="171">
        <f>SUM(E22,E24)</f>
        <v>43.981000000000002</v>
      </c>
      <c r="F26" s="171">
        <f>SUM(F22,F24)</f>
        <v>31.66500000000002</v>
      </c>
      <c r="G26" s="171">
        <f>SUM(G22,G24)</f>
        <v>66.099000000000018</v>
      </c>
      <c r="H26" s="171">
        <f>SUM(H22,H24)</f>
        <v>68.545999999999992</v>
      </c>
      <c r="I26" s="171">
        <f>SUM(I22,I24)</f>
        <v>48.997000000000043</v>
      </c>
      <c r="J26" s="171">
        <f>SUM(J22,J24)</f>
        <v>52.690999999999988</v>
      </c>
      <c r="K26" s="171">
        <f>SUM(K22,K24)</f>
        <v>58.031879999999987</v>
      </c>
      <c r="L26" s="171">
        <f>SUM(L22,L24)</f>
        <v>74.781791999999996</v>
      </c>
      <c r="M26" s="171">
        <f>SUM(M22,M24)</f>
        <v>109.88768880000001</v>
      </c>
      <c r="N26" s="171">
        <f>SUM(N22,N24)</f>
        <v>131.86522656</v>
      </c>
      <c r="O26" s="171">
        <f t="shared" ref="O26" si="25">SUM(O22,O24)</f>
        <v>157.13939498399992</v>
      </c>
      <c r="P26" s="171">
        <f t="shared" ref="P26" si="26">SUM(P22,P24)</f>
        <v>192.79794999959998</v>
      </c>
      <c r="Q26" s="171">
        <f t="shared" ref="Q26" si="27">SUM(Q22,Q24)</f>
        <v>218.46002196506396</v>
      </c>
      <c r="R26" s="171">
        <f t="shared" ref="R26" si="28">SUM(R22,R24)</f>
        <v>239.03754661467653</v>
      </c>
      <c r="S26" s="171">
        <f t="shared" ref="S26" si="29">SUM(S22,S24)</f>
        <v>253.90269404477669</v>
      </c>
      <c r="T26" s="171">
        <f t="shared" ref="T26" si="30">SUM(T22,T24)</f>
        <v>261.51977486612009</v>
      </c>
      <c r="U26" s="198">
        <f>+IFERROR((T26/K26)^(1/($T$15-$K$15))-1, 0)</f>
        <v>0.18208485961138621</v>
      </c>
    </row>
    <row r="27" spans="2:23" x14ac:dyDescent="0.25">
      <c r="C27" s="161" t="s">
        <v>180</v>
      </c>
      <c r="E27" s="179">
        <f>+E24/E$16</f>
        <v>-0.27780596465134377</v>
      </c>
      <c r="F27" s="179">
        <f>+F24/F$16</f>
        <v>-0.41535492324309004</v>
      </c>
      <c r="G27" s="179">
        <f>+G24/G$16</f>
        <v>-0.26645869139261591</v>
      </c>
      <c r="H27" s="179">
        <f>+H24/H$16</f>
        <v>-0.28072192437866339</v>
      </c>
      <c r="I27" s="179">
        <f>+I24/I$16</f>
        <v>-0.31128690732302272</v>
      </c>
      <c r="J27" s="179">
        <f>+J24/J$16</f>
        <v>-0.32726768569546982</v>
      </c>
      <c r="K27" s="179">
        <f>+K24/K$16</f>
        <v>-0.34</v>
      </c>
      <c r="L27" s="179">
        <f>+L24/L$16</f>
        <v>-0.33</v>
      </c>
      <c r="M27" s="179">
        <f>+M24/M$16</f>
        <v>-0.31</v>
      </c>
      <c r="N27" s="179">
        <f>+N24/N$16</f>
        <v>-0.3</v>
      </c>
      <c r="O27" s="179">
        <f t="shared" ref="O27:R27" si="31">+O24/O$16</f>
        <v>-0.28000000000000003</v>
      </c>
      <c r="P27" s="179">
        <f t="shared" si="31"/>
        <v>-0.28000000000000003</v>
      </c>
      <c r="Q27" s="179">
        <f t="shared" si="31"/>
        <v>-0.26</v>
      </c>
      <c r="R27" s="179">
        <f t="shared" si="31"/>
        <v>-0.25</v>
      </c>
      <c r="S27" s="179">
        <f t="shared" ref="S27:T27" si="32">+S24/S$16</f>
        <v>-0.24</v>
      </c>
      <c r="T27" s="179">
        <f t="shared" si="32"/>
        <v>-0.24</v>
      </c>
      <c r="U27" s="198"/>
    </row>
    <row r="28" spans="2:23" x14ac:dyDescent="0.25">
      <c r="B28" s="6" t="s">
        <v>183</v>
      </c>
      <c r="E28" s="232">
        <v>3.6789999999999998</v>
      </c>
      <c r="F28" s="232">
        <v>-5.2789999999999999</v>
      </c>
      <c r="G28" s="232">
        <v>-6.2069999999999999</v>
      </c>
      <c r="H28" s="232">
        <v>10.845000000000001</v>
      </c>
      <c r="I28" s="232">
        <v>-23.966999999999999</v>
      </c>
      <c r="J28" s="232">
        <v>-19.719000000000001</v>
      </c>
      <c r="K28" s="172">
        <f>+K26*-K11</f>
        <v>-19.730839199999998</v>
      </c>
      <c r="L28" s="172">
        <f t="shared" ref="L28:T28" si="33">+L26*-L11</f>
        <v>-25.425809279999999</v>
      </c>
      <c r="M28" s="172">
        <f t="shared" si="33"/>
        <v>-37.361814192000004</v>
      </c>
      <c r="N28" s="172">
        <f t="shared" si="33"/>
        <v>-44.834177030399999</v>
      </c>
      <c r="O28" s="172">
        <f t="shared" si="33"/>
        <v>-53.427394294559974</v>
      </c>
      <c r="P28" s="172">
        <f t="shared" si="33"/>
        <v>-65.551302999863992</v>
      </c>
      <c r="Q28" s="172">
        <f t="shared" si="33"/>
        <v>-74.276407468121747</v>
      </c>
      <c r="R28" s="172">
        <f t="shared" si="33"/>
        <v>-81.272765848990019</v>
      </c>
      <c r="S28" s="172">
        <f t="shared" si="33"/>
        <v>-86.326915975224082</v>
      </c>
      <c r="T28" s="172">
        <f t="shared" si="33"/>
        <v>-88.916723454480831</v>
      </c>
      <c r="U28" s="198"/>
    </row>
    <row r="29" spans="2:23" x14ac:dyDescent="0.25">
      <c r="C29" s="161" t="s">
        <v>200</v>
      </c>
      <c r="E29" s="180">
        <f>E28/E26</f>
        <v>8.364975784998066E-2</v>
      </c>
      <c r="F29" s="180">
        <f t="shared" ref="F29:J29" si="34">F28/F26</f>
        <v>-0.16671403758092521</v>
      </c>
      <c r="G29" s="180">
        <f t="shared" si="34"/>
        <v>-9.3904597648981042E-2</v>
      </c>
      <c r="H29" s="180">
        <f t="shared" si="34"/>
        <v>0.15821492136667351</v>
      </c>
      <c r="I29" s="180">
        <f t="shared" si="34"/>
        <v>-0.48915239708553537</v>
      </c>
      <c r="J29" s="180">
        <f t="shared" si="34"/>
        <v>-0.37423848475071653</v>
      </c>
      <c r="K29" s="180">
        <f>AVERAGE(H29:J29)</f>
        <v>-0.23505865348985946</v>
      </c>
      <c r="L29" s="180">
        <f>K29</f>
        <v>-0.23505865348985946</v>
      </c>
      <c r="M29" s="180">
        <f>L29</f>
        <v>-0.23505865348985946</v>
      </c>
      <c r="N29" s="180">
        <f>M29</f>
        <v>-0.23505865348985946</v>
      </c>
      <c r="O29" s="180">
        <f>N29</f>
        <v>-0.23505865348985946</v>
      </c>
      <c r="P29" s="180">
        <f>O29</f>
        <v>-0.23505865348985946</v>
      </c>
      <c r="Q29" s="180">
        <f>P29</f>
        <v>-0.23505865348985946</v>
      </c>
      <c r="R29" s="180">
        <f>Q29</f>
        <v>-0.23505865348985946</v>
      </c>
      <c r="S29" s="180">
        <f t="shared" ref="S29:T29" si="35">R29</f>
        <v>-0.23505865348985946</v>
      </c>
      <c r="T29" s="180">
        <f t="shared" si="35"/>
        <v>-0.23505865348985946</v>
      </c>
      <c r="U29" s="198"/>
    </row>
    <row r="30" spans="2:23" x14ac:dyDescent="0.25">
      <c r="B30" s="23" t="s">
        <v>187</v>
      </c>
      <c r="E30" s="171">
        <f>SUM(E26, E28)</f>
        <v>47.660000000000004</v>
      </c>
      <c r="F30" s="171">
        <f t="shared" ref="F30:K30" si="36">SUM(F26, F28)</f>
        <v>26.386000000000021</v>
      </c>
      <c r="G30" s="171">
        <f t="shared" si="36"/>
        <v>59.892000000000017</v>
      </c>
      <c r="H30" s="171">
        <f t="shared" si="36"/>
        <v>79.390999999999991</v>
      </c>
      <c r="I30" s="171">
        <f t="shared" si="36"/>
        <v>25.030000000000044</v>
      </c>
      <c r="J30" s="171">
        <f>SUM(J26, J28)</f>
        <v>32.971999999999987</v>
      </c>
      <c r="K30" s="171">
        <f t="shared" si="36"/>
        <v>38.301040799999988</v>
      </c>
      <c r="L30" s="171">
        <f>SUM(L26, L28)</f>
        <v>49.35598272</v>
      </c>
      <c r="M30" s="171">
        <f>SUM(M26, M28)</f>
        <v>72.525874608000009</v>
      </c>
      <c r="N30" s="171">
        <f>SUM(N26, N28)</f>
        <v>87.031049529599997</v>
      </c>
      <c r="O30" s="171">
        <f>SUM(O26, O28)</f>
        <v>103.71200068943995</v>
      </c>
      <c r="P30" s="171">
        <f>SUM(P26, P28)</f>
        <v>127.24664699973599</v>
      </c>
      <c r="Q30" s="171">
        <f t="shared" ref="Q30" si="37">SUM(Q26, Q28)</f>
        <v>144.1836144969422</v>
      </c>
      <c r="R30" s="171">
        <f t="shared" ref="R30" si="38">SUM(R26, R28)</f>
        <v>157.76478076568651</v>
      </c>
      <c r="S30" s="171">
        <f t="shared" ref="S30" si="39">SUM(S26, S28)</f>
        <v>167.5757780695526</v>
      </c>
      <c r="T30" s="171">
        <f t="shared" ref="T30" si="40">SUM(T26, T28)</f>
        <v>172.60305141163926</v>
      </c>
      <c r="U30" s="198">
        <f>+IFERROR((T30/K30)^(1/($T$15-$K$15))-1, 0)</f>
        <v>0.18208485961138621</v>
      </c>
    </row>
    <row r="31" spans="2:23" x14ac:dyDescent="0.25"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98"/>
    </row>
    <row r="32" spans="2:23" x14ac:dyDescent="0.25">
      <c r="B32" s="6" t="s">
        <v>184</v>
      </c>
      <c r="E32" s="169">
        <f>-E24</f>
        <v>39.970999999999997</v>
      </c>
      <c r="F32" s="169">
        <f t="shared" ref="F32:H32" si="41">-F24</f>
        <v>70.373999999999995</v>
      </c>
      <c r="G32" s="169">
        <f t="shared" si="41"/>
        <v>55.347999999999999</v>
      </c>
      <c r="H32" s="169">
        <f t="shared" si="41"/>
        <v>69.588999999999999</v>
      </c>
      <c r="I32" s="169">
        <f>-I24</f>
        <v>91.881</v>
      </c>
      <c r="J32" s="169">
        <f>-J24</f>
        <v>94.42</v>
      </c>
      <c r="K32" s="169">
        <f>-K24</f>
        <v>117.71208</v>
      </c>
      <c r="L32" s="169">
        <f>-L24</f>
        <v>137.099952</v>
      </c>
      <c r="M32" s="169">
        <f>-M24</f>
        <v>148.10949359999998</v>
      </c>
      <c r="N32" s="169">
        <f>-N24</f>
        <v>164.83153319999997</v>
      </c>
      <c r="O32" s="169">
        <f>-O24</f>
        <v>169.22704075199999</v>
      </c>
      <c r="P32" s="169">
        <f>-P24</f>
        <v>186.14974482720001</v>
      </c>
      <c r="Q32" s="169">
        <f>-Q24</f>
        <v>183.22453455134399</v>
      </c>
      <c r="R32" s="169">
        <f>-R24</f>
        <v>186.74808329271602</v>
      </c>
      <c r="S32" s="169">
        <f t="shared" ref="S32:T32" si="42">-S24</f>
        <v>184.65650475983762</v>
      </c>
      <c r="T32" s="169">
        <f>-T24</f>
        <v>190.19619990263274</v>
      </c>
      <c r="U32" s="198"/>
    </row>
    <row r="33" spans="2:21" x14ac:dyDescent="0.25">
      <c r="B33" s="6" t="s">
        <v>185</v>
      </c>
      <c r="E33" s="230">
        <v>-260.61700000000002</v>
      </c>
      <c r="F33" s="230">
        <v>-128.68199999999999</v>
      </c>
      <c r="G33" s="230">
        <v>-143.93100000000001</v>
      </c>
      <c r="H33" s="230">
        <v>-193.404</v>
      </c>
      <c r="I33" s="230">
        <v>-190.614</v>
      </c>
      <c r="J33" s="230">
        <v>-137.36000000000001</v>
      </c>
      <c r="K33" s="169">
        <f>K16*-K10</f>
        <v>-147.5214</v>
      </c>
      <c r="L33" s="169">
        <f>L16*-L10</f>
        <v>-156.25296</v>
      </c>
      <c r="M33" s="169">
        <f>M16*-M10</f>
        <v>-155.80227600000001</v>
      </c>
      <c r="N33" s="169">
        <f>N16*-N10</f>
        <v>-168.18384852</v>
      </c>
      <c r="O33" s="169">
        <f>O16*-O10</f>
        <v>-172.91458760399999</v>
      </c>
      <c r="P33" s="169">
        <f>P16*-P10</f>
        <v>-176.90963601960001</v>
      </c>
      <c r="Q33" s="169">
        <f>Q16*-Q10</f>
        <v>-173.43001921528801</v>
      </c>
      <c r="R33" s="169">
        <f>R16*-R10</f>
        <v>-168.89597370478805</v>
      </c>
      <c r="S33" s="169">
        <f>S16*-S10</f>
        <v>-158.5748108526119</v>
      </c>
      <c r="T33" s="169">
        <f>T16*-T10</f>
        <v>-155.40721351558057</v>
      </c>
      <c r="U33" s="198">
        <f>+IFERROR((T33/K33)^(1/($T$15-$K$15))-1, 0)</f>
        <v>5.8029506943066966E-3</v>
      </c>
    </row>
    <row r="34" spans="2:21" x14ac:dyDescent="0.25">
      <c r="B34" s="6" t="s">
        <v>188</v>
      </c>
      <c r="E34" s="170">
        <f>E48</f>
        <v>0</v>
      </c>
      <c r="F34" s="170">
        <f t="shared" ref="F34:I34" si="43">F48</f>
        <v>-2.4080000000000013</v>
      </c>
      <c r="G34" s="170">
        <f t="shared" si="43"/>
        <v>-1.3990000000000009</v>
      </c>
      <c r="H34" s="170">
        <f t="shared" si="43"/>
        <v>-23.468999999999987</v>
      </c>
      <c r="I34" s="170">
        <f t="shared" si="43"/>
        <v>49.178999999999995</v>
      </c>
      <c r="J34" s="170">
        <f>J48</f>
        <v>-0.62600000000000477</v>
      </c>
      <c r="K34" s="170">
        <f>K46</f>
        <v>69.242400000000004</v>
      </c>
      <c r="L34" s="170">
        <f>L46</f>
        <v>83.090879999999999</v>
      </c>
      <c r="M34" s="170">
        <f>M46</f>
        <v>85.999060799999981</v>
      </c>
      <c r="N34" s="170">
        <f>N46</f>
        <v>98.898919919999983</v>
      </c>
      <c r="O34" s="170">
        <f>O46</f>
        <v>108.78881191199997</v>
      </c>
      <c r="P34" s="170">
        <f>P46</f>
        <v>106.3712827584</v>
      </c>
      <c r="Q34" s="170">
        <f>Q46</f>
        <v>112.753559723904</v>
      </c>
      <c r="R34" s="170">
        <f>R46</f>
        <v>119.51877330733825</v>
      </c>
      <c r="S34" s="170">
        <f>S46</f>
        <v>107.71629444323862</v>
      </c>
      <c r="T34" s="170">
        <f>T46</f>
        <v>110.94778327653579</v>
      </c>
      <c r="U34" s="198">
        <f>+IFERROR((T34/K34)^(1/($T$15-$K$15))-1, 0)</f>
        <v>5.3779178149005347E-2</v>
      </c>
    </row>
    <row r="35" spans="2:21" hidden="1" outlineLevel="1" x14ac:dyDescent="0.25">
      <c r="B35" s="176" t="s">
        <v>189</v>
      </c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98"/>
    </row>
    <row r="36" spans="2:21" hidden="1" outlineLevel="1" x14ac:dyDescent="0.25">
      <c r="B36" s="175" t="s">
        <v>190</v>
      </c>
      <c r="E36" s="233">
        <v>69.254999999999995</v>
      </c>
      <c r="F36" s="233">
        <v>60.204999999999998</v>
      </c>
      <c r="G36" s="233">
        <v>61.627000000000002</v>
      </c>
      <c r="H36" s="233">
        <v>61.962000000000003</v>
      </c>
      <c r="I36" s="233">
        <v>81.173000000000002</v>
      </c>
      <c r="J36" s="234">
        <v>84.405000000000001</v>
      </c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98"/>
    </row>
    <row r="37" spans="2:21" hidden="1" outlineLevel="1" x14ac:dyDescent="0.25">
      <c r="B37" s="175" t="s">
        <v>191</v>
      </c>
      <c r="E37" s="233">
        <v>0.99099999999999999</v>
      </c>
      <c r="F37" s="233">
        <v>0.86199999999999999</v>
      </c>
      <c r="G37" s="233">
        <v>0.57699999999999996</v>
      </c>
      <c r="H37" s="233">
        <v>1.3069999999999999</v>
      </c>
      <c r="I37" s="233">
        <v>0.98199999999999998</v>
      </c>
      <c r="J37" s="234">
        <v>1.5589999999999999</v>
      </c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98"/>
    </row>
    <row r="38" spans="2:21" hidden="1" outlineLevel="1" x14ac:dyDescent="0.25">
      <c r="B38" s="175" t="s">
        <v>192</v>
      </c>
      <c r="E38" s="235">
        <v>2.7490000000000001</v>
      </c>
      <c r="F38" s="235">
        <v>4.53</v>
      </c>
      <c r="G38" s="235">
        <v>19.277000000000001</v>
      </c>
      <c r="H38" s="235">
        <v>3.968</v>
      </c>
      <c r="I38" s="235">
        <v>41.268000000000001</v>
      </c>
      <c r="J38" s="236">
        <v>43.165999999999997</v>
      </c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98"/>
    </row>
    <row r="39" spans="2:21" hidden="1" outlineLevel="1" x14ac:dyDescent="0.25">
      <c r="B39" s="176" t="s">
        <v>193</v>
      </c>
      <c r="E39" s="171">
        <f>SUM(E36:E38)</f>
        <v>72.99499999999999</v>
      </c>
      <c r="F39" s="171">
        <f t="shared" ref="F39:I39" si="44">SUM(F36:F38)</f>
        <v>65.596999999999994</v>
      </c>
      <c r="G39" s="171">
        <f t="shared" si="44"/>
        <v>81.480999999999995</v>
      </c>
      <c r="H39" s="171">
        <f t="shared" si="44"/>
        <v>67.237000000000009</v>
      </c>
      <c r="I39" s="171">
        <f t="shared" si="44"/>
        <v>123.423</v>
      </c>
      <c r="J39" s="171">
        <f t="shared" ref="J39" si="45">SUM(J36:J38)</f>
        <v>129.13</v>
      </c>
      <c r="K39" s="171">
        <f t="shared" ref="K39" si="46">SUM(K36:K38)</f>
        <v>0</v>
      </c>
      <c r="L39" s="171">
        <f t="shared" ref="L39" si="47">SUM(L36:L38)</f>
        <v>0</v>
      </c>
      <c r="M39" s="171">
        <f t="shared" ref="M39" si="48">SUM(M36:M38)</f>
        <v>0</v>
      </c>
      <c r="N39" s="171">
        <f t="shared" ref="N39" si="49">SUM(N36:N38)</f>
        <v>0</v>
      </c>
      <c r="O39" s="171">
        <f t="shared" ref="O39" si="50">SUM(O36:O38)</f>
        <v>0</v>
      </c>
      <c r="P39" s="171">
        <f t="shared" ref="P39" si="51">SUM(P36:P38)</f>
        <v>0</v>
      </c>
      <c r="Q39" s="171">
        <f t="shared" ref="Q39" si="52">SUM(Q36:Q38)</f>
        <v>0</v>
      </c>
      <c r="R39" s="171">
        <f t="shared" ref="R39" si="53">SUM(R36:R38)</f>
        <v>0</v>
      </c>
      <c r="S39" s="171">
        <f t="shared" ref="S39" si="54">SUM(S36:S38)</f>
        <v>0</v>
      </c>
      <c r="T39" s="171">
        <f t="shared" ref="T39" si="55">SUM(T36:T38)</f>
        <v>0</v>
      </c>
      <c r="U39" s="198"/>
    </row>
    <row r="40" spans="2:21" hidden="1" outlineLevel="1" x14ac:dyDescent="0.25">
      <c r="B40" s="174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98"/>
    </row>
    <row r="41" spans="2:21" hidden="1" outlineLevel="1" x14ac:dyDescent="0.25">
      <c r="B41" s="176" t="s">
        <v>194</v>
      </c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98"/>
    </row>
    <row r="42" spans="2:21" hidden="1" outlineLevel="1" x14ac:dyDescent="0.25">
      <c r="B42" s="175" t="s">
        <v>195</v>
      </c>
      <c r="E42" s="234">
        <v>18.518999999999998</v>
      </c>
      <c r="F42" s="234">
        <v>11.035</v>
      </c>
      <c r="G42" s="234">
        <v>23.219000000000001</v>
      </c>
      <c r="H42" s="234">
        <v>21.884</v>
      </c>
      <c r="I42" s="234">
        <v>26.568999999999999</v>
      </c>
      <c r="J42" s="234">
        <v>14.128</v>
      </c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98"/>
    </row>
    <row r="43" spans="2:21" hidden="1" outlineLevel="1" x14ac:dyDescent="0.25">
      <c r="B43" s="175" t="s">
        <v>198</v>
      </c>
      <c r="E43" s="236">
        <v>15.715</v>
      </c>
      <c r="F43" s="236">
        <v>18.209</v>
      </c>
      <c r="G43" s="236">
        <v>23.308</v>
      </c>
      <c r="H43" s="236">
        <v>33.868000000000002</v>
      </c>
      <c r="I43" s="236">
        <v>36.19</v>
      </c>
      <c r="J43" s="236">
        <v>54.963999999999999</v>
      </c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98"/>
    </row>
    <row r="44" spans="2:21" hidden="1" outlineLevel="1" x14ac:dyDescent="0.25">
      <c r="B44" s="176" t="s">
        <v>196</v>
      </c>
      <c r="E44" s="171">
        <f>SUM(E42:E43)</f>
        <v>34.233999999999995</v>
      </c>
      <c r="F44" s="171">
        <f t="shared" ref="F44:I44" si="56">SUM(F42:F43)</f>
        <v>29.244</v>
      </c>
      <c r="G44" s="171">
        <f t="shared" si="56"/>
        <v>46.527000000000001</v>
      </c>
      <c r="H44" s="171">
        <f t="shared" si="56"/>
        <v>55.752000000000002</v>
      </c>
      <c r="I44" s="171">
        <f t="shared" si="56"/>
        <v>62.759</v>
      </c>
      <c r="J44" s="171">
        <f t="shared" ref="J44" si="57">SUM(J42:J43)</f>
        <v>69.091999999999999</v>
      </c>
      <c r="K44" s="171">
        <f t="shared" ref="K44" si="58">SUM(K42:K43)</f>
        <v>0</v>
      </c>
      <c r="L44" s="171">
        <f t="shared" ref="L44" si="59">SUM(L42:L43)</f>
        <v>0</v>
      </c>
      <c r="M44" s="171">
        <f t="shared" ref="M44" si="60">SUM(M42:M43)</f>
        <v>0</v>
      </c>
      <c r="N44" s="171">
        <f t="shared" ref="N44" si="61">SUM(N42:N43)</f>
        <v>0</v>
      </c>
      <c r="O44" s="171">
        <f t="shared" ref="O44" si="62">SUM(O42:O43)</f>
        <v>0</v>
      </c>
      <c r="P44" s="171">
        <f t="shared" ref="P44" si="63">SUM(P42:P43)</f>
        <v>0</v>
      </c>
      <c r="Q44" s="171">
        <f t="shared" ref="Q44" si="64">SUM(Q42:Q43)</f>
        <v>0</v>
      </c>
      <c r="R44" s="171">
        <f t="shared" ref="R44" si="65">SUM(R42:R43)</f>
        <v>0</v>
      </c>
      <c r="S44" s="171">
        <f t="shared" ref="S44" si="66">SUM(S42:S43)</f>
        <v>0</v>
      </c>
      <c r="T44" s="171">
        <f t="shared" ref="T44" si="67">SUM(T42:T43)</f>
        <v>0</v>
      </c>
      <c r="U44" s="198"/>
    </row>
    <row r="45" spans="2:21" hidden="1" outlineLevel="1" x14ac:dyDescent="0.25">
      <c r="B45" s="174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98"/>
    </row>
    <row r="46" spans="2:21" hidden="1" outlineLevel="1" x14ac:dyDescent="0.25">
      <c r="B46" s="176" t="s">
        <v>197</v>
      </c>
      <c r="C46" s="23"/>
      <c r="D46" s="23"/>
      <c r="E46" s="171">
        <f>+E39-E44</f>
        <v>38.760999999999996</v>
      </c>
      <c r="F46" s="171">
        <f>+F39-F44</f>
        <v>36.352999999999994</v>
      </c>
      <c r="G46" s="171">
        <f>+G39-G44</f>
        <v>34.953999999999994</v>
      </c>
      <c r="H46" s="171">
        <f t="shared" ref="H46:J46" si="68">+H39-H44</f>
        <v>11.485000000000007</v>
      </c>
      <c r="I46" s="171">
        <f t="shared" si="68"/>
        <v>60.664000000000001</v>
      </c>
      <c r="J46" s="171">
        <f t="shared" si="68"/>
        <v>60.037999999999997</v>
      </c>
      <c r="K46" s="171">
        <f>+K16*K12</f>
        <v>69.242400000000004</v>
      </c>
      <c r="L46" s="171">
        <f>+L16*L12</f>
        <v>83.090879999999999</v>
      </c>
      <c r="M46" s="171">
        <f>+M16*M12</f>
        <v>85.999060799999981</v>
      </c>
      <c r="N46" s="171">
        <f>+N16*N12</f>
        <v>98.898919919999983</v>
      </c>
      <c r="O46" s="171">
        <f>+O16*O12</f>
        <v>108.78881191199997</v>
      </c>
      <c r="P46" s="171">
        <f>+P16*P12</f>
        <v>106.3712827584</v>
      </c>
      <c r="Q46" s="171">
        <f>+Q16*Q12</f>
        <v>112.753559723904</v>
      </c>
      <c r="R46" s="171">
        <f>+R16*R12</f>
        <v>119.51877330733825</v>
      </c>
      <c r="S46" s="171">
        <f>+S16*S12</f>
        <v>107.71629444323862</v>
      </c>
      <c r="T46" s="171">
        <f>+T16*T12</f>
        <v>110.94778327653579</v>
      </c>
      <c r="U46" s="198"/>
    </row>
    <row r="47" spans="2:21" hidden="1" outlineLevel="1" x14ac:dyDescent="0.25">
      <c r="B47" s="174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98"/>
    </row>
    <row r="48" spans="2:21" hidden="1" outlineLevel="1" x14ac:dyDescent="0.25">
      <c r="B48" s="176" t="s">
        <v>199</v>
      </c>
      <c r="C48" s="23"/>
      <c r="E48" s="237">
        <v>0</v>
      </c>
      <c r="F48" s="171">
        <f>IFERROR(+F46-E46, 0)</f>
        <v>-2.4080000000000013</v>
      </c>
      <c r="G48" s="171">
        <f>IFERROR(+G46-F46, 0)</f>
        <v>-1.3990000000000009</v>
      </c>
      <c r="H48" s="171">
        <f>IFERROR(+H46-G46, 0)</f>
        <v>-23.468999999999987</v>
      </c>
      <c r="I48" s="171">
        <f>IFERROR(+I46-H46, 0)</f>
        <v>49.178999999999995</v>
      </c>
      <c r="J48" s="171">
        <f>IFERROR(+J46-I46, 0)</f>
        <v>-0.62600000000000477</v>
      </c>
      <c r="K48" s="171">
        <f>IFERROR(+K46-J46, 0)</f>
        <v>9.2044000000000068</v>
      </c>
      <c r="L48" s="171">
        <f>IFERROR(+L46-K46, 0)</f>
        <v>13.848479999999995</v>
      </c>
      <c r="M48" s="171">
        <f>IFERROR(+M46-L46, 0)</f>
        <v>2.9081807999999825</v>
      </c>
      <c r="N48" s="171">
        <f>IFERROR(+N46-M46, 0)</f>
        <v>12.899859120000002</v>
      </c>
      <c r="O48" s="171">
        <f>IFERROR(+O46-N46, 0)</f>
        <v>9.8898919919999884</v>
      </c>
      <c r="P48" s="171">
        <f>IFERROR(+P46-O46, 0)</f>
        <v>-2.4175291535999719</v>
      </c>
      <c r="Q48" s="171">
        <f>IFERROR(+Q46-P46, 0)</f>
        <v>6.3822769655040048</v>
      </c>
      <c r="R48" s="171">
        <f>IFERROR(+R46-Q46, 0)</f>
        <v>6.7652135834342459</v>
      </c>
      <c r="S48" s="171">
        <f>IFERROR(+S46-R46, 0)</f>
        <v>-11.802478864099626</v>
      </c>
      <c r="T48" s="171">
        <f t="shared" ref="T48" si="69">IFERROR(+T46-S46, 0)</f>
        <v>3.2314888332971634</v>
      </c>
      <c r="U48" s="198"/>
    </row>
    <row r="49" spans="2:21" hidden="1" outlineLevel="1" x14ac:dyDescent="0.25"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98"/>
    </row>
    <row r="50" spans="2:21" collapsed="1" x14ac:dyDescent="0.25">
      <c r="B50" s="23" t="s">
        <v>186</v>
      </c>
      <c r="E50" s="171">
        <f>SUM(E30, E32, E33, E34)</f>
        <v>-172.98600000000002</v>
      </c>
      <c r="F50" s="171">
        <f>SUM(F30, F32, F33, F34)</f>
        <v>-34.32999999999997</v>
      </c>
      <c r="G50" s="171">
        <f>SUM(G30, G32, G33, G34)</f>
        <v>-30.090000000000003</v>
      </c>
      <c r="H50" s="171">
        <f>SUM(H30, H32, H33, H34)</f>
        <v>-67.893000000000001</v>
      </c>
      <c r="I50" s="171">
        <f>SUM(I30, I32, I33, I34)</f>
        <v>-24.523999999999965</v>
      </c>
      <c r="J50" s="171">
        <f>SUM(J30, J32, J33, J34)</f>
        <v>-10.594000000000023</v>
      </c>
      <c r="K50" s="171">
        <f>SUM(K30, K32, K33, K34)</f>
        <v>77.734120799999999</v>
      </c>
      <c r="L50" s="171">
        <f>SUM(L30, L32, L33, L34)</f>
        <v>113.29385472000001</v>
      </c>
      <c r="M50" s="171">
        <f>SUM(M30, M32, M33, M34)</f>
        <v>150.83215300799998</v>
      </c>
      <c r="N50" s="171">
        <f>SUM(N30, N32, N33, N34)</f>
        <v>182.57765412959998</v>
      </c>
      <c r="O50" s="171">
        <f>SUM(O30, O32, O33, O34)</f>
        <v>208.81326574943992</v>
      </c>
      <c r="P50" s="171">
        <f>SUM(P30, P32, P33, P34)</f>
        <v>242.85803856573597</v>
      </c>
      <c r="Q50" s="171">
        <f>SUM(Q30, Q32, Q33, Q34)</f>
        <v>266.73168955690221</v>
      </c>
      <c r="R50" s="171">
        <f>SUM(R30, R32, R33, R34)</f>
        <v>295.13566366095279</v>
      </c>
      <c r="S50" s="171">
        <f>SUM(S30, S32, S33, S34)</f>
        <v>301.37376642001692</v>
      </c>
      <c r="T50" s="171">
        <f>SUM(T30, T32, T33, T34)</f>
        <v>318.33982107522723</v>
      </c>
      <c r="U50" s="198">
        <f>+IFERROR((T50/K50)^(1/($T$15-$K$15))-1, 0)</f>
        <v>0.16958295589536876</v>
      </c>
    </row>
    <row r="51" spans="2:21" x14ac:dyDescent="0.25">
      <c r="B51" s="6" t="s">
        <v>201</v>
      </c>
      <c r="E51" s="212">
        <f>F91</f>
        <v>0.1415541646189441</v>
      </c>
    </row>
    <row r="52" spans="2:21" x14ac:dyDescent="0.25">
      <c r="B52" s="6" t="s">
        <v>231</v>
      </c>
      <c r="K52" s="164">
        <f>K15-$J$15</f>
        <v>1</v>
      </c>
      <c r="L52" s="164">
        <f>L15-$J$15</f>
        <v>2</v>
      </c>
      <c r="M52" s="164">
        <f>M15-$J$15</f>
        <v>3</v>
      </c>
      <c r="N52" s="164">
        <f>N15-$J$15</f>
        <v>4</v>
      </c>
      <c r="O52" s="164">
        <f>O15-$J$15</f>
        <v>5</v>
      </c>
      <c r="P52" s="164">
        <f>P15-$J$15</f>
        <v>6</v>
      </c>
      <c r="Q52" s="164">
        <f>Q15-$J$15</f>
        <v>7</v>
      </c>
      <c r="R52" s="164">
        <f>R15-$J$15</f>
        <v>8</v>
      </c>
      <c r="S52" s="164">
        <f>S15-$J$15</f>
        <v>9</v>
      </c>
      <c r="T52" s="164">
        <f>T15-$J$15</f>
        <v>10</v>
      </c>
    </row>
    <row r="53" spans="2:21" x14ac:dyDescent="0.25">
      <c r="B53" s="6" t="s">
        <v>232</v>
      </c>
      <c r="K53" s="163">
        <f>1/(1+$E$51)^K52</f>
        <v>0.87599873137321049</v>
      </c>
      <c r="L53" s="163">
        <f t="shared" ref="L53:T53" si="70">1/(1+$E$51)^L52</f>
        <v>0.76737377736747425</v>
      </c>
      <c r="M53" s="163">
        <f t="shared" si="70"/>
        <v>0.67221845546297587</v>
      </c>
      <c r="N53" s="163">
        <f t="shared" si="70"/>
        <v>0.58886251419122593</v>
      </c>
      <c r="O53" s="163">
        <f t="shared" si="70"/>
        <v>0.51584281538475296</v>
      </c>
      <c r="P53" s="163">
        <f t="shared" si="70"/>
        <v>0.45187765186502893</v>
      </c>
      <c r="Q53" s="163">
        <f t="shared" si="70"/>
        <v>0.39584424976967053</v>
      </c>
      <c r="R53" s="163">
        <f t="shared" si="70"/>
        <v>0.3467590606196117</v>
      </c>
      <c r="S53" s="163">
        <f t="shared" si="70"/>
        <v>0.30376049719494602</v>
      </c>
      <c r="T53" s="163">
        <f t="shared" si="70"/>
        <v>0.26609381018406841</v>
      </c>
    </row>
    <row r="54" spans="2:21" x14ac:dyDescent="0.25">
      <c r="B54" s="218" t="s">
        <v>233</v>
      </c>
      <c r="C54" s="219"/>
      <c r="D54" s="219"/>
      <c r="E54" s="218"/>
      <c r="F54" s="218"/>
      <c r="G54" s="218"/>
      <c r="H54" s="218"/>
      <c r="I54" s="218"/>
      <c r="J54" s="218"/>
      <c r="K54" s="220">
        <f>+K50*K53</f>
        <v>68.094991205211898</v>
      </c>
      <c r="L54" s="220">
        <f>+L50*L53</f>
        <v>86.938733249008266</v>
      </c>
      <c r="M54" s="220">
        <f>+M50*M53</f>
        <v>101.39215692919299</v>
      </c>
      <c r="N54" s="220">
        <f>+N50*N53</f>
        <v>107.5131364458923</v>
      </c>
      <c r="O54" s="220">
        <f>+O50*O53</f>
        <v>107.71482289387569</v>
      </c>
      <c r="P54" s="220">
        <f>+P50*P53</f>
        <v>109.7421202036314</v>
      </c>
      <c r="Q54" s="220">
        <f t="shared" ref="L54:R54" si="71">+Q50*Q53</f>
        <v>105.58420554244861</v>
      </c>
      <c r="R54" s="220">
        <f t="shared" si="71"/>
        <v>102.34096548641766</v>
      </c>
      <c r="S54" s="220">
        <f>+S50*S53</f>
        <v>91.545445129257871</v>
      </c>
      <c r="T54" s="220">
        <f>+T50*T53</f>
        <v>84.708255923221813</v>
      </c>
      <c r="U54" s="227">
        <f>+IFERROR((T54/K54)^(1/($T$15-$K$15))-1, 0)</f>
        <v>2.4553185600072469E-2</v>
      </c>
    </row>
    <row r="56" spans="2:21" x14ac:dyDescent="0.25">
      <c r="B56" s="213" t="s">
        <v>201</v>
      </c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</row>
    <row r="57" spans="2:21" x14ac:dyDescent="0.25">
      <c r="B57" s="203"/>
      <c r="C57" s="204"/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T57" s="168"/>
    </row>
    <row r="58" spans="2:21" x14ac:dyDescent="0.25">
      <c r="B58" s="204" t="s">
        <v>203</v>
      </c>
      <c r="C58" s="204"/>
      <c r="D58" s="204"/>
      <c r="E58" s="210">
        <v>0.34</v>
      </c>
      <c r="F58" s="204"/>
      <c r="G58" s="204"/>
      <c r="H58" s="204"/>
      <c r="I58" s="204"/>
      <c r="J58" s="204"/>
      <c r="K58" s="204"/>
      <c r="L58" s="204"/>
      <c r="M58" s="204"/>
      <c r="N58" s="204"/>
    </row>
    <row r="59" spans="2:21" x14ac:dyDescent="0.25">
      <c r="B59" s="204" t="s">
        <v>222</v>
      </c>
      <c r="C59" s="204"/>
      <c r="D59" s="204"/>
      <c r="E59" s="210">
        <v>0.13250000000000001</v>
      </c>
      <c r="F59" s="204"/>
      <c r="G59" s="204"/>
      <c r="H59" s="204"/>
      <c r="I59" s="204"/>
      <c r="J59" s="204"/>
      <c r="K59" s="204"/>
      <c r="L59" s="204"/>
      <c r="M59" s="204"/>
      <c r="N59" s="204"/>
      <c r="T59" s="168"/>
    </row>
    <row r="60" spans="2:21" x14ac:dyDescent="0.25">
      <c r="B60" s="204" t="s">
        <v>223</v>
      </c>
      <c r="C60" s="204"/>
      <c r="D60" s="204"/>
      <c r="E60" s="210">
        <v>7.6700000000000004E-2</v>
      </c>
      <c r="F60" s="204"/>
      <c r="G60" s="204"/>
      <c r="H60" s="204"/>
      <c r="I60" s="204"/>
      <c r="J60" s="204"/>
      <c r="K60" s="204"/>
      <c r="L60" s="204"/>
      <c r="M60" s="204"/>
      <c r="N60" s="204"/>
    </row>
    <row r="61" spans="2:21" x14ac:dyDescent="0.25">
      <c r="B61" s="6" t="s">
        <v>228</v>
      </c>
      <c r="E61" s="211">
        <v>0</v>
      </c>
      <c r="F61" s="204"/>
      <c r="G61" s="204"/>
      <c r="H61" s="204"/>
      <c r="I61" s="204"/>
      <c r="J61" s="204"/>
      <c r="K61" s="204"/>
      <c r="L61" s="204"/>
      <c r="M61" s="204"/>
      <c r="N61" s="204"/>
    </row>
    <row r="62" spans="2:21" x14ac:dyDescent="0.25">
      <c r="B62" s="203"/>
      <c r="C62" s="204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</row>
    <row r="63" spans="2:21" x14ac:dyDescent="0.25">
      <c r="B63" s="186"/>
      <c r="C63" s="186"/>
      <c r="D63" s="186"/>
      <c r="E63" s="186"/>
      <c r="F63" s="187" t="s">
        <v>213</v>
      </c>
      <c r="G63" s="187"/>
      <c r="H63" s="187"/>
      <c r="I63" s="187"/>
      <c r="J63" s="187"/>
      <c r="K63" s="187" t="s">
        <v>220</v>
      </c>
      <c r="L63" s="202"/>
      <c r="M63" s="202"/>
      <c r="N63" s="187" t="s">
        <v>217</v>
      </c>
    </row>
    <row r="64" spans="2:21" x14ac:dyDescent="0.25">
      <c r="B64" s="188" t="s">
        <v>212</v>
      </c>
      <c r="C64" s="126"/>
      <c r="D64" s="126"/>
      <c r="E64" s="126"/>
      <c r="F64" s="167" t="s">
        <v>214</v>
      </c>
      <c r="G64" s="167" t="s">
        <v>11</v>
      </c>
      <c r="H64" s="167" t="s">
        <v>215</v>
      </c>
      <c r="I64" s="167" t="s">
        <v>12</v>
      </c>
      <c r="J64" s="167" t="s">
        <v>219</v>
      </c>
      <c r="K64" s="167" t="s">
        <v>221</v>
      </c>
      <c r="L64" s="167" t="s">
        <v>216</v>
      </c>
      <c r="M64" s="167" t="s">
        <v>203</v>
      </c>
      <c r="N64" s="167" t="s">
        <v>214</v>
      </c>
    </row>
    <row r="65" spans="2:14" x14ac:dyDescent="0.25">
      <c r="B65" s="186" t="str">
        <f>+Comps!B7</f>
        <v xml:space="preserve">NEXTDC Limited </v>
      </c>
      <c r="C65" s="186"/>
      <c r="D65" s="186"/>
      <c r="E65" s="186"/>
      <c r="F65" s="238">
        <v>1.28</v>
      </c>
      <c r="G65" s="195">
        <f>+Comps!I7</f>
        <v>540.19223496785594</v>
      </c>
      <c r="H65" s="189">
        <f>G65/($K65+$G65+$I65)</f>
        <v>9.3598554213034438E-2</v>
      </c>
      <c r="I65" s="195">
        <f>+Comps!J7</f>
        <v>0</v>
      </c>
      <c r="J65" s="193">
        <f>I65/($K65+$G65+$I65)</f>
        <v>0</v>
      </c>
      <c r="K65" s="195">
        <f>+Comps!G7</f>
        <v>5231.1814738434423</v>
      </c>
      <c r="L65" s="173">
        <f>K65/($K65+$G65+$I65)</f>
        <v>0.90640144578696558</v>
      </c>
      <c r="M65" s="240">
        <v>0.3</v>
      </c>
      <c r="N65" s="191">
        <f>F65/(1+(G65/K65)*(1-M65)+I65/K65)</f>
        <v>1.193712787936249</v>
      </c>
    </row>
    <row r="66" spans="2:14" x14ac:dyDescent="0.25">
      <c r="B66" s="186" t="str">
        <f>+Comps!B8</f>
        <v xml:space="preserve">Shanghai @hub Co.,Ltd. </v>
      </c>
      <c r="C66" s="186"/>
      <c r="D66" s="186"/>
      <c r="E66" s="186"/>
      <c r="F66" s="238">
        <v>1.51</v>
      </c>
      <c r="G66" s="195">
        <f>+Comps!I8</f>
        <v>478.95246893682696</v>
      </c>
      <c r="H66" s="173">
        <f t="shared" ref="H66:J71" si="72">G66/($K66+$G66+$I66)</f>
        <v>0.12618288467828057</v>
      </c>
      <c r="I66" s="195">
        <f>+Comps!J8</f>
        <v>0</v>
      </c>
      <c r="J66" s="193">
        <f t="shared" si="72"/>
        <v>0</v>
      </c>
      <c r="K66" s="195">
        <f>+Comps!G8</f>
        <v>3316.7482725542059</v>
      </c>
      <c r="L66" s="173">
        <f t="shared" ref="L66" si="73">K66/($K66+$G66+$I66)</f>
        <v>0.87381711532171946</v>
      </c>
      <c r="M66" s="240">
        <v>0.2606</v>
      </c>
      <c r="N66" s="191">
        <f>F66/(1+(G66/K66)*(1-M66)+I66/K66)</f>
        <v>1.3643273756080778</v>
      </c>
    </row>
    <row r="67" spans="2:14" x14ac:dyDescent="0.25">
      <c r="B67" s="186" t="str">
        <f>+Comps!B9</f>
        <v xml:space="preserve">Redcentric plc </v>
      </c>
      <c r="C67" s="186"/>
      <c r="D67" s="186"/>
      <c r="E67" s="186"/>
      <c r="F67" s="238">
        <v>0.13</v>
      </c>
      <c r="G67" s="195">
        <f>+Comps!I9</f>
        <v>91.077784082116892</v>
      </c>
      <c r="H67" s="173">
        <f t="shared" si="72"/>
        <v>0.26260681134887115</v>
      </c>
      <c r="I67" s="195">
        <f>+Comps!J9</f>
        <v>0</v>
      </c>
      <c r="J67" s="193">
        <f t="shared" si="72"/>
        <v>0</v>
      </c>
      <c r="K67" s="195">
        <f>+Comps!G9</f>
        <v>255.74408094986339</v>
      </c>
      <c r="L67" s="173">
        <f t="shared" ref="L67" si="74">K67/($K67+$G67+$I67)</f>
        <v>0.73739318865112891</v>
      </c>
      <c r="M67" s="240">
        <v>0.26</v>
      </c>
      <c r="N67" s="191">
        <f>F67/(1+(G67/K67)*(1-M67)+I67/K67)</f>
        <v>0.10288593696263003</v>
      </c>
    </row>
    <row r="68" spans="2:14" x14ac:dyDescent="0.25">
      <c r="B68" s="186" t="str">
        <f>+Comps!B10</f>
        <v xml:space="preserve">Macquarie Technology Group Limited </v>
      </c>
      <c r="C68" s="186"/>
      <c r="D68" s="186"/>
      <c r="E68" s="186"/>
      <c r="F68" s="238">
        <v>0.59</v>
      </c>
      <c r="G68" s="195">
        <f>+Comps!I10</f>
        <v>82.407033908987799</v>
      </c>
      <c r="H68" s="173">
        <f t="shared" si="72"/>
        <v>6.9176039576146153E-2</v>
      </c>
      <c r="I68" s="195">
        <f>+Comps!J10</f>
        <v>0</v>
      </c>
      <c r="J68" s="193">
        <f t="shared" si="72"/>
        <v>0</v>
      </c>
      <c r="K68" s="195">
        <f>+Comps!G10</f>
        <v>1108.8585316525894</v>
      </c>
      <c r="L68" s="173">
        <f t="shared" ref="L68" si="75">K68/($K68+$G68+$I68)</f>
        <v>0.93082396042385385</v>
      </c>
      <c r="M68" s="240">
        <v>0.3014</v>
      </c>
      <c r="N68" s="191">
        <f>F68/(1+(G68/K68)*(1-M68)+I68/K68)</f>
        <v>0.56088029925253602</v>
      </c>
    </row>
    <row r="69" spans="2:14" x14ac:dyDescent="0.25">
      <c r="B69" s="186" t="str">
        <f>+Comps!B11</f>
        <v xml:space="preserve">iomart Group plc </v>
      </c>
      <c r="C69" s="186"/>
      <c r="D69" s="186"/>
      <c r="E69" s="186"/>
      <c r="F69" s="238">
        <v>0.28999999999999998</v>
      </c>
      <c r="G69" s="195">
        <f>+Comps!I11</f>
        <v>148.65889513591603</v>
      </c>
      <c r="H69" s="173">
        <f t="shared" si="72"/>
        <v>0.73216811762010203</v>
      </c>
      <c r="I69" s="195">
        <f>+Comps!J11</f>
        <v>0</v>
      </c>
      <c r="J69" s="193">
        <f t="shared" si="72"/>
        <v>0</v>
      </c>
      <c r="K69" s="195">
        <f>+Comps!G11</f>
        <v>54.380395374477708</v>
      </c>
      <c r="L69" s="173">
        <f t="shared" ref="L69" si="76">K69/($K69+$G69+$I69)</f>
        <v>0.26783188237989797</v>
      </c>
      <c r="M69" s="240">
        <v>0.2631</v>
      </c>
      <c r="N69" s="191">
        <f t="shared" ref="N69:N71" si="77">F69/(1+(G69/K69)*(1-M69)+I69/K69)</f>
        <v>9.6203198081543873E-2</v>
      </c>
    </row>
    <row r="70" spans="2:14" x14ac:dyDescent="0.25">
      <c r="B70" s="186" t="str">
        <f>+Comps!B12</f>
        <v xml:space="preserve">Wiit S.p.A. </v>
      </c>
      <c r="C70" s="186"/>
      <c r="D70" s="186"/>
      <c r="E70" s="186"/>
      <c r="F70" s="238">
        <v>0.79</v>
      </c>
      <c r="G70" s="195">
        <f>+Comps!I12</f>
        <v>257.71175463314199</v>
      </c>
      <c r="H70" s="173">
        <f t="shared" si="72"/>
        <v>0.35346831585212907</v>
      </c>
      <c r="I70" s="195">
        <f>+Comps!J12</f>
        <v>0</v>
      </c>
      <c r="J70" s="193">
        <f t="shared" si="72"/>
        <v>0</v>
      </c>
      <c r="K70" s="195">
        <f>+Comps!G12</f>
        <v>471.38260283949177</v>
      </c>
      <c r="L70" s="173">
        <f t="shared" ref="L70" si="78">K70/($K70+$G70+$I70)</f>
        <v>0.64653168414787099</v>
      </c>
      <c r="M70" s="240">
        <v>0.28539999999999999</v>
      </c>
      <c r="N70" s="191">
        <f t="shared" si="77"/>
        <v>0.56806649772982032</v>
      </c>
    </row>
    <row r="71" spans="2:14" x14ac:dyDescent="0.25">
      <c r="B71" s="126" t="str">
        <f>+Comps!B13</f>
        <v xml:space="preserve">SUNeVision Holdings Ltd. </v>
      </c>
      <c r="C71" s="126"/>
      <c r="D71" s="126"/>
      <c r="E71" s="126"/>
      <c r="F71" s="239">
        <v>0.69</v>
      </c>
      <c r="G71" s="196">
        <f>+Comps!I13</f>
        <v>2241.0450335865999</v>
      </c>
      <c r="H71" s="178">
        <f t="shared" si="72"/>
        <v>0.33467791330735047</v>
      </c>
      <c r="I71" s="196">
        <f>+Comps!J13</f>
        <v>0</v>
      </c>
      <c r="J71" s="194">
        <f t="shared" si="72"/>
        <v>0</v>
      </c>
      <c r="K71" s="196">
        <f>+Comps!G13</f>
        <v>4455.079641747272</v>
      </c>
      <c r="L71" s="178">
        <f t="shared" ref="L71" si="79">K71/($K71+$G71+$I71)</f>
        <v>0.66532208669264958</v>
      </c>
      <c r="M71" s="241">
        <v>0.14380000000000001</v>
      </c>
      <c r="N71" s="192">
        <f t="shared" si="77"/>
        <v>0.48228291734769374</v>
      </c>
    </row>
    <row r="73" spans="2:14" ht="16.5" thickBot="1" x14ac:dyDescent="0.3">
      <c r="B73" s="184" t="s">
        <v>209</v>
      </c>
      <c r="C73" s="184"/>
      <c r="D73" s="184"/>
      <c r="E73" s="184"/>
      <c r="F73" s="184">
        <f>MEDIAN(F65:F71)</f>
        <v>0.69</v>
      </c>
      <c r="G73" s="200">
        <f t="shared" ref="G73:M73" si="80">MEDIAN(G65:G71)</f>
        <v>257.71175463314199</v>
      </c>
      <c r="H73" s="201">
        <f t="shared" si="80"/>
        <v>0.26260681134887115</v>
      </c>
      <c r="I73" s="200">
        <f t="shared" si="80"/>
        <v>0</v>
      </c>
      <c r="J73" s="201">
        <f t="shared" si="80"/>
        <v>0</v>
      </c>
      <c r="K73" s="200">
        <f t="shared" si="80"/>
        <v>1108.8585316525894</v>
      </c>
      <c r="L73" s="201">
        <f t="shared" si="80"/>
        <v>0.73739318865112891</v>
      </c>
      <c r="M73" s="201">
        <f t="shared" si="80"/>
        <v>0.2631</v>
      </c>
      <c r="N73" s="199">
        <f>MEDIAN(N65:N71)</f>
        <v>0.56088029925253602</v>
      </c>
    </row>
    <row r="75" spans="2:14" x14ac:dyDescent="0.25">
      <c r="F75" s="8" t="s">
        <v>217</v>
      </c>
      <c r="G75" s="8"/>
      <c r="H75" s="8"/>
      <c r="I75" s="8" t="s">
        <v>12</v>
      </c>
      <c r="J75" s="8"/>
      <c r="K75" s="8" t="s">
        <v>220</v>
      </c>
      <c r="L75" s="8"/>
      <c r="M75" s="8"/>
      <c r="N75" s="8" t="s">
        <v>213</v>
      </c>
    </row>
    <row r="76" spans="2:14" x14ac:dyDescent="0.25">
      <c r="B76" s="188" t="s">
        <v>218</v>
      </c>
      <c r="C76" s="126"/>
      <c r="D76" s="126"/>
      <c r="E76" s="126"/>
      <c r="F76" s="167" t="s">
        <v>214</v>
      </c>
      <c r="G76" s="167" t="s">
        <v>11</v>
      </c>
      <c r="H76" s="167" t="s">
        <v>215</v>
      </c>
      <c r="I76" s="167" t="s">
        <v>13</v>
      </c>
      <c r="J76" s="167" t="s">
        <v>219</v>
      </c>
      <c r="K76" s="167" t="s">
        <v>221</v>
      </c>
      <c r="L76" s="167" t="s">
        <v>216</v>
      </c>
      <c r="M76" s="167" t="s">
        <v>203</v>
      </c>
      <c r="N76" s="167" t="s">
        <v>214</v>
      </c>
    </row>
    <row r="77" spans="2:14" x14ac:dyDescent="0.25">
      <c r="B77" s="6" t="s">
        <v>210</v>
      </c>
      <c r="F77" s="206">
        <f>+N73</f>
        <v>0.56088029925253602</v>
      </c>
      <c r="G77" s="242">
        <v>929.60222875715795</v>
      </c>
      <c r="H77" s="189">
        <f>G77/($K77+$G77+$I77)</f>
        <v>0.40675217963023741</v>
      </c>
      <c r="I77" s="6">
        <f>+Comps!J21</f>
        <v>0</v>
      </c>
      <c r="J77" s="189">
        <f>I77/($K77+$G77+$I77)</f>
        <v>0</v>
      </c>
      <c r="K77" s="209">
        <f>+Equity_Value</f>
        <v>1355.8243167188198</v>
      </c>
      <c r="L77" s="168">
        <f>K77/($K77+$G77+$I77)</f>
        <v>0.59324782036976254</v>
      </c>
      <c r="M77" s="243">
        <v>0.34</v>
      </c>
      <c r="N77" s="206">
        <f>F77*(1+(G77/K77)*(1-M77)+I77/K77)</f>
        <v>0.81468979070534209</v>
      </c>
    </row>
    <row r="78" spans="2:14" x14ac:dyDescent="0.25">
      <c r="B78" s="6" t="s">
        <v>211</v>
      </c>
      <c r="F78" s="206">
        <f>+N73</f>
        <v>0.56088029925253602</v>
      </c>
      <c r="G78" s="37">
        <f>($G77+$I77+$K77)*H78</f>
        <v>600.1685776795124</v>
      </c>
      <c r="H78" s="189">
        <f>+H73</f>
        <v>0.26260681134887115</v>
      </c>
      <c r="I78" s="6">
        <f>($G77+$I77+$K77)*J78</f>
        <v>0</v>
      </c>
      <c r="J78" s="207">
        <f>+J73</f>
        <v>0</v>
      </c>
      <c r="K78" s="209">
        <f>($G77+$I77+$K77)*L78</f>
        <v>1685.2579677964657</v>
      </c>
      <c r="L78" s="208">
        <f>+L73</f>
        <v>0.73739318865112891</v>
      </c>
      <c r="M78" s="243">
        <v>0.34</v>
      </c>
      <c r="N78" s="206">
        <f>F78*(1+(G78/K78)*(1-M78)+I78/K78)</f>
        <v>0.6927123433686424</v>
      </c>
    </row>
    <row r="80" spans="2:14" x14ac:dyDescent="0.25">
      <c r="B80" s="188" t="s">
        <v>230</v>
      </c>
      <c r="C80" s="126"/>
      <c r="D80" s="126"/>
      <c r="E80" s="126"/>
      <c r="F80" s="126"/>
    </row>
    <row r="81" spans="2:11" x14ac:dyDescent="0.25">
      <c r="B81" s="6" t="s">
        <v>226</v>
      </c>
      <c r="F81" s="177">
        <f>+E59+E60*N77</f>
        <v>0.19498670694709974</v>
      </c>
    </row>
    <row r="82" spans="2:11" x14ac:dyDescent="0.25">
      <c r="B82" s="6" t="s">
        <v>227</v>
      </c>
      <c r="F82" s="177">
        <f>+E59+E60*N78</f>
        <v>0.18563103673637488</v>
      </c>
    </row>
    <row r="83" spans="2:11" x14ac:dyDescent="0.25">
      <c r="F83" s="177"/>
    </row>
    <row r="84" spans="2:11" x14ac:dyDescent="0.25">
      <c r="B84" s="6" t="s">
        <v>225</v>
      </c>
      <c r="F84" s="37">
        <f>+Comps!I21</f>
        <v>929.60222875715795</v>
      </c>
    </row>
    <row r="85" spans="2:11" x14ac:dyDescent="0.25">
      <c r="B85" s="126" t="s">
        <v>224</v>
      </c>
      <c r="C85" s="126"/>
      <c r="D85" s="126"/>
      <c r="E85" s="126"/>
      <c r="F85" s="244">
        <v>64.284000000000006</v>
      </c>
    </row>
    <row r="86" spans="2:11" x14ac:dyDescent="0.25">
      <c r="B86" s="23" t="s">
        <v>237</v>
      </c>
      <c r="F86" s="205">
        <f>F85/F84</f>
        <v>6.9152157784674442E-2</v>
      </c>
    </row>
    <row r="87" spans="2:11" x14ac:dyDescent="0.25">
      <c r="F87" s="205"/>
    </row>
    <row r="88" spans="2:11" x14ac:dyDescent="0.25">
      <c r="B88" s="188" t="s">
        <v>201</v>
      </c>
      <c r="C88" s="126"/>
      <c r="D88" s="126"/>
      <c r="E88" s="126"/>
      <c r="F88" s="126"/>
    </row>
    <row r="89" spans="2:11" x14ac:dyDescent="0.25">
      <c r="B89" s="6" t="s">
        <v>226</v>
      </c>
      <c r="F89" s="177">
        <f>+(F81*L77)+((F86*(1-E58))*H77)+(E61*J77)</f>
        <v>0.13423978089477784</v>
      </c>
    </row>
    <row r="90" spans="2:11" x14ac:dyDescent="0.25">
      <c r="B90" s="126" t="s">
        <v>227</v>
      </c>
      <c r="C90" s="126"/>
      <c r="D90" s="126"/>
      <c r="E90" s="126"/>
      <c r="F90" s="190">
        <f>+F82*L78+F86*(1-E58)*H78+E61*J78</f>
        <v>0.14886854834311039</v>
      </c>
    </row>
    <row r="91" spans="2:11" x14ac:dyDescent="0.25">
      <c r="B91" s="213" t="s">
        <v>229</v>
      </c>
      <c r="C91" s="213"/>
      <c r="D91" s="213"/>
      <c r="E91" s="213"/>
      <c r="F91" s="217">
        <f>AVERAGE(F89:F90)</f>
        <v>0.1415541646189441</v>
      </c>
    </row>
    <row r="93" spans="2:11" x14ac:dyDescent="0.25">
      <c r="B93" s="213" t="s">
        <v>245</v>
      </c>
      <c r="C93" s="214"/>
      <c r="D93" s="214"/>
      <c r="E93" s="214"/>
      <c r="F93" s="214"/>
      <c r="G93" s="214"/>
      <c r="H93" s="214"/>
      <c r="I93" s="214"/>
      <c r="J93" s="214"/>
      <c r="K93" s="214"/>
    </row>
    <row r="95" spans="2:11" x14ac:dyDescent="0.25">
      <c r="B95" s="188" t="s">
        <v>244</v>
      </c>
      <c r="C95" s="126"/>
      <c r="D95" s="126"/>
      <c r="E95" s="126"/>
      <c r="F95" s="126"/>
      <c r="H95" s="188" t="s">
        <v>246</v>
      </c>
      <c r="I95" s="126"/>
      <c r="J95" s="126"/>
      <c r="K95" s="126"/>
    </row>
    <row r="96" spans="2:11" x14ac:dyDescent="0.25">
      <c r="B96" s="6" t="s">
        <v>238</v>
      </c>
      <c r="F96" s="169">
        <f>SUM(K54:T54)</f>
        <v>965.57483300815841</v>
      </c>
      <c r="H96" s="6" t="s">
        <v>238</v>
      </c>
      <c r="K96" s="169">
        <f>SUM(K54:T54)</f>
        <v>965.57483300815841</v>
      </c>
    </row>
    <row r="98" spans="2:11" x14ac:dyDescent="0.25">
      <c r="B98" s="6" t="s">
        <v>240</v>
      </c>
      <c r="F98" s="169">
        <f>+T22</f>
        <v>451.7159747687528</v>
      </c>
      <c r="H98" s="6" t="s">
        <v>201</v>
      </c>
      <c r="K98" s="207">
        <f>WACC</f>
        <v>0.1415541646189441</v>
      </c>
    </row>
    <row r="99" spans="2:11" x14ac:dyDescent="0.25">
      <c r="B99" s="126" t="s">
        <v>243</v>
      </c>
      <c r="C99" s="126"/>
      <c r="D99" s="126"/>
      <c r="E99" s="126"/>
      <c r="F99" s="245">
        <v>19.405656134794601</v>
      </c>
      <c r="H99" s="126" t="s">
        <v>247</v>
      </c>
      <c r="I99" s="126"/>
      <c r="J99" s="126"/>
      <c r="K99" s="246">
        <v>2.5000000000000001E-2</v>
      </c>
    </row>
    <row r="100" spans="2:11" x14ac:dyDescent="0.25">
      <c r="B100" s="23" t="s">
        <v>239</v>
      </c>
      <c r="F100" s="171">
        <f>+F98*F99</f>
        <v>8765.8448769559709</v>
      </c>
      <c r="H100" s="23" t="s">
        <v>239</v>
      </c>
      <c r="I100" s="23"/>
      <c r="J100" s="23"/>
      <c r="K100" s="171">
        <f>+T50*(1+K99)/K98</f>
        <v>2305.1127989097654</v>
      </c>
    </row>
    <row r="101" spans="2:11" x14ac:dyDescent="0.25">
      <c r="B101" s="126" t="s">
        <v>241</v>
      </c>
      <c r="C101" s="126"/>
      <c r="D101" s="126"/>
      <c r="E101" s="126"/>
      <c r="F101" s="192">
        <f>1/((1+WACC)^(T15-J15))</f>
        <v>0.26609381018406841</v>
      </c>
      <c r="H101" s="126" t="s">
        <v>241</v>
      </c>
      <c r="I101" s="126"/>
      <c r="J101" s="126"/>
      <c r="K101" s="192">
        <f>1/((1+WACC)^($T$15-$J$15))</f>
        <v>0.26609381018406841</v>
      </c>
    </row>
    <row r="102" spans="2:11" x14ac:dyDescent="0.25">
      <c r="B102" s="23" t="s">
        <v>242</v>
      </c>
      <c r="F102" s="171">
        <f>F100*F101</f>
        <v>2332.5370627917105</v>
      </c>
      <c r="H102" s="23" t="s">
        <v>242</v>
      </c>
      <c r="K102" s="171">
        <f>+K100*K101</f>
        <v>613.37624756596176</v>
      </c>
    </row>
    <row r="103" spans="2:11" x14ac:dyDescent="0.25">
      <c r="B103" s="165"/>
      <c r="C103" s="162"/>
      <c r="D103" s="162"/>
      <c r="F103" s="166"/>
    </row>
    <row r="104" spans="2:11" x14ac:dyDescent="0.25">
      <c r="B104" s="213" t="s">
        <v>44</v>
      </c>
      <c r="C104" s="213"/>
      <c r="D104" s="213"/>
      <c r="E104" s="213"/>
      <c r="F104" s="216">
        <f>F96+F102</f>
        <v>3298.1118957998688</v>
      </c>
      <c r="H104" s="213" t="s">
        <v>44</v>
      </c>
      <c r="I104" s="213"/>
      <c r="J104" s="213"/>
      <c r="K104" s="216">
        <f>+K96+K102</f>
        <v>1578.9510805741202</v>
      </c>
    </row>
    <row r="105" spans="2:11" x14ac:dyDescent="0.25">
      <c r="B105" s="6" t="s">
        <v>45</v>
      </c>
      <c r="F105" s="230">
        <v>87.710708696624195</v>
      </c>
      <c r="H105" s="6" t="s">
        <v>45</v>
      </c>
      <c r="K105" s="230">
        <v>87.710708696624195</v>
      </c>
    </row>
    <row r="106" spans="2:11" x14ac:dyDescent="0.25">
      <c r="B106" s="6" t="s">
        <v>46</v>
      </c>
      <c r="F106" s="230">
        <v>-929.60222875715795</v>
      </c>
      <c r="H106" s="6" t="s">
        <v>46</v>
      </c>
      <c r="K106" s="230">
        <v>-929.60222875715795</v>
      </c>
    </row>
    <row r="107" spans="2:11" x14ac:dyDescent="0.25">
      <c r="B107" s="6" t="s">
        <v>47</v>
      </c>
      <c r="F107" s="230">
        <v>0</v>
      </c>
      <c r="H107" s="6" t="s">
        <v>47</v>
      </c>
      <c r="K107" s="230">
        <v>0</v>
      </c>
    </row>
    <row r="108" spans="2:11" x14ac:dyDescent="0.25">
      <c r="B108" s="126" t="s">
        <v>48</v>
      </c>
      <c r="C108" s="126"/>
      <c r="D108" s="126"/>
      <c r="E108" s="126"/>
      <c r="F108" s="231">
        <v>0</v>
      </c>
      <c r="H108" s="126" t="s">
        <v>48</v>
      </c>
      <c r="I108" s="126"/>
      <c r="J108" s="126"/>
      <c r="K108" s="231">
        <v>0</v>
      </c>
    </row>
    <row r="109" spans="2:11" x14ac:dyDescent="0.25">
      <c r="B109" s="23" t="s">
        <v>49</v>
      </c>
      <c r="F109" s="171">
        <f>SUM(F104:F108)</f>
        <v>2456.2203757393354</v>
      </c>
      <c r="H109" s="23" t="s">
        <v>49</v>
      </c>
      <c r="K109" s="171">
        <f>SUM(K104:K108)</f>
        <v>737.05956051358635</v>
      </c>
    </row>
    <row r="111" spans="2:11" x14ac:dyDescent="0.25">
      <c r="E111" s="223" t="s">
        <v>250</v>
      </c>
      <c r="F111" s="223"/>
      <c r="G111" s="223"/>
      <c r="H111" s="223"/>
      <c r="I111" s="224">
        <f>AVERAGE(F104, K104)</f>
        <v>2438.5314881869945</v>
      </c>
    </row>
    <row r="112" spans="2:11" ht="16.5" thickBot="1" x14ac:dyDescent="0.3">
      <c r="E112" s="225" t="s">
        <v>251</v>
      </c>
      <c r="F112" s="225"/>
      <c r="G112" s="225"/>
      <c r="H112" s="225"/>
      <c r="I112" s="226">
        <f>AVERAGE(F109,K109)</f>
        <v>1596.6399681264609</v>
      </c>
    </row>
  </sheetData>
  <pageMargins left="0.7" right="0.7" top="0.75" bottom="0.75" header="0.3" footer="0.3"/>
  <ignoredErrors>
    <ignoredError sqref="I65:I71 K65:K71 H77:N78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3567FD68-9A40-4E81-AC9F-23B0A1151A45}">
  <ds:schemaRefs/>
</ds:datastoreItem>
</file>

<file path=customXml/itemProps2.xml><?xml version="1.0" encoding="utf-8"?>
<ds:datastoreItem xmlns:ds="http://schemas.openxmlformats.org/officeDocument/2006/customXml" ds:itemID="{31170116-2FE8-43BC-A026-0A67BE89F3A2}">
  <ds:schemaRefs/>
</ds:datastoreItem>
</file>

<file path=customXml/itemProps3.xml><?xml version="1.0" encoding="utf-8"?>
<ds:datastoreItem xmlns:ds="http://schemas.openxmlformats.org/officeDocument/2006/customXml" ds:itemID="{531AD3B6-A7BF-455A-BF7F-54A0AB978BDE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6264BCB7-E2C9-42EB-894A-88AD8B5D23F0}">
  <ds:schemaRefs/>
</ds:datastoreItem>
</file>

<file path=customXml/itemProps5.xml><?xml version="1.0" encoding="utf-8"?>
<ds:datastoreItem xmlns:ds="http://schemas.openxmlformats.org/officeDocument/2006/customXml" ds:itemID="{33FDEB1F-4DBC-4C04-854E-2FDAB2CDB8A2}">
  <ds:schemaRefs/>
</ds:datastoreItem>
</file>

<file path=customXml/itemProps6.xml><?xml version="1.0" encoding="utf-8"?>
<ds:datastoreItem xmlns:ds="http://schemas.openxmlformats.org/officeDocument/2006/customXml" ds:itemID="{F1AB205D-D4F4-4EF0-B73C-401E5DACCD05}">
  <ds:schemaRefs>
    <ds:schemaRef ds:uri="http://www.w3.org/2001/XMLSchema"/>
    <ds:schemaRef ds:uri="http://microsoft.data.visualization.Client.Excel/1.0"/>
  </ds:schemaRefs>
</ds:datastoreItem>
</file>

<file path=customXml/itemProps7.xml><?xml version="1.0" encoding="utf-8"?>
<ds:datastoreItem xmlns:ds="http://schemas.openxmlformats.org/officeDocument/2006/customXml" ds:itemID="{F710FAAA-5D55-4BAB-B894-B9C8A6991206}">
  <ds:schemaRefs/>
</ds:datastoreItem>
</file>

<file path=customXml/itemProps8.xml><?xml version="1.0" encoding="utf-8"?>
<ds:datastoreItem xmlns:ds="http://schemas.openxmlformats.org/officeDocument/2006/customXml" ds:itemID="{96A791AD-CF5F-45C6-B08A-1B0C791EED8B}">
  <ds:schemaRefs/>
</ds:datastoreItem>
</file>

<file path=customXml/itemProps9.xml><?xml version="1.0" encoding="utf-8"?>
<ds:datastoreItem xmlns:ds="http://schemas.openxmlformats.org/officeDocument/2006/customXml" ds:itemID="{1F670B80-02CD-4736-9BD9-F002EE3D94C0}">
  <ds:schemaRefs/>
</ds:datastoreItem>
</file>

<file path=customXml/itemProps10.xml><?xml version="1.0" encoding="utf-8"?>
<ds:datastoreItem xmlns:ds="http://schemas.openxmlformats.org/officeDocument/2006/customXml" ds:itemID="{0DC6D6D1-067F-4C20-887D-21FD445DB48F}">
  <ds:schemaRefs>
    <ds:schemaRef ds:uri="http://www.w3.org/2001/XMLSchema"/>
    <ds:schemaRef ds:uri="http://microsoft.data.visualization.engine.tours/1.0"/>
  </ds:schemaRefs>
</ds:datastoreItem>
</file>

<file path=customXml/itemProps11.xml><?xml version="1.0" encoding="utf-8"?>
<ds:datastoreItem xmlns:ds="http://schemas.openxmlformats.org/officeDocument/2006/customXml" ds:itemID="{1324D6EA-1407-41E1-A9B6-59DB9FF4AFD9}">
  <ds:schemaRefs/>
</ds:datastoreItem>
</file>

<file path=customXml/itemProps12.xml><?xml version="1.0" encoding="utf-8"?>
<ds:datastoreItem xmlns:ds="http://schemas.openxmlformats.org/officeDocument/2006/customXml" ds:itemID="{129F9A12-76DE-4543-A85C-BF7C22821CA9}">
  <ds:schemaRefs/>
</ds:datastoreItem>
</file>

<file path=customXml/itemProps13.xml><?xml version="1.0" encoding="utf-8"?>
<ds:datastoreItem xmlns:ds="http://schemas.openxmlformats.org/officeDocument/2006/customXml" ds:itemID="{902A560B-DA73-4E85-9AEF-799701EA86D5}">
  <ds:schemaRefs/>
</ds:datastoreItem>
</file>

<file path=customXml/itemProps14.xml><?xml version="1.0" encoding="utf-8"?>
<ds:datastoreItem xmlns:ds="http://schemas.openxmlformats.org/officeDocument/2006/customXml" ds:itemID="{36EC0D72-A33C-4999-9868-9489F1D951B6}">
  <ds:schemaRefs/>
</ds:datastoreItem>
</file>

<file path=customXml/itemProps15.xml><?xml version="1.0" encoding="utf-8"?>
<ds:datastoreItem xmlns:ds="http://schemas.openxmlformats.org/officeDocument/2006/customXml" ds:itemID="{BD24BAEB-2E65-411D-9154-5AA51281D709}">
  <ds:schemaRefs/>
</ds:datastoreItem>
</file>

<file path=customXml/itemProps16.xml><?xml version="1.0" encoding="utf-8"?>
<ds:datastoreItem xmlns:ds="http://schemas.openxmlformats.org/officeDocument/2006/customXml" ds:itemID="{600EBEB8-C98C-4447-8323-CA1A0D501E45}">
  <ds:schemaRefs/>
</ds:datastoreItem>
</file>

<file path=customXml/itemProps17.xml><?xml version="1.0" encoding="utf-8"?>
<ds:datastoreItem xmlns:ds="http://schemas.openxmlformats.org/officeDocument/2006/customXml" ds:itemID="{6828049A-9C8F-4F63-BDED-8B19A00D1810}">
  <ds:schemaRefs/>
</ds:datastoreItem>
</file>

<file path=customXml/itemProps18.xml><?xml version="1.0" encoding="utf-8"?>
<ds:datastoreItem xmlns:ds="http://schemas.openxmlformats.org/officeDocument/2006/customXml" ds:itemID="{C9CC3253-8B05-460F-8AC9-4F6DA3D400C5}">
  <ds:schemaRefs/>
</ds:datastoreItem>
</file>

<file path=customXml/itemProps19.xml><?xml version="1.0" encoding="utf-8"?>
<ds:datastoreItem xmlns:ds="http://schemas.openxmlformats.org/officeDocument/2006/customXml" ds:itemID="{FF2BCE04-F750-44A1-8349-22EE1D3A0DBA}">
  <ds:schemaRefs>
    <ds:schemaRef ds:uri="http://www.w3.org/2001/XMLSchema"/>
    <ds:schemaRef ds:uri="http://microsoft.data.visualization.Client.Excel.PState/1.0"/>
  </ds:schemaRefs>
</ds:datastoreItem>
</file>

<file path=customXml/itemProps20.xml><?xml version="1.0" encoding="utf-8"?>
<ds:datastoreItem xmlns:ds="http://schemas.openxmlformats.org/officeDocument/2006/customXml" ds:itemID="{E795CD24-8D4B-48E2-82B1-CE543E631D4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Comps</vt:lpstr>
      <vt:lpstr>Valuation</vt:lpstr>
      <vt:lpstr>Presentation</vt:lpstr>
      <vt:lpstr>DCF Check</vt:lpstr>
      <vt:lpstr>Diluted_Shares</vt:lpstr>
      <vt:lpstr>Equity_Value</vt:lpstr>
      <vt:lpstr>EV</vt:lpstr>
      <vt:lpstr>Share_Price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SADRAQUE AUGUSTO OLIVEIRA DE MELO CARVAL</dc:creator>
  <cp:lastModifiedBy>SADRAQUE AUGUSTO OLIVEIRA DE MELO CARVAL</cp:lastModifiedBy>
  <dcterms:created xsi:type="dcterms:W3CDTF">2025-03-08T19:53:47Z</dcterms:created>
  <dcterms:modified xsi:type="dcterms:W3CDTF">2025-03-13T20:55:54Z</dcterms:modified>
</cp:coreProperties>
</file>