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ckenzie365-my.sharepoint.com/personal/10382749_mackenzista_com_br/Documents/Documentos/"/>
    </mc:Choice>
  </mc:AlternateContent>
  <xr:revisionPtr revIDLastSave="2564" documentId="13_ncr:1_{3DA174B0-561A-4B98-B75E-1727C370AFE6}" xr6:coauthVersionLast="47" xr6:coauthVersionMax="47" xr10:uidLastSave="{F4ECDD28-D39A-4F25-A839-D833D9305593}"/>
  <bookViews>
    <workbookView xWindow="-120" yWindow="-120" windowWidth="29040" windowHeight="15840" activeTab="1" xr2:uid="{04AA6A1C-5FE2-4D53-A8ED-1DDB286D5794}"/>
  </bookViews>
  <sheets>
    <sheet name="List" sheetId="2" r:id="rId1"/>
    <sheet name="Comps" sheetId="3" r:id="rId2"/>
    <sheet name="Valuation" sheetId="5" r:id="rId3"/>
  </sheets>
  <externalReferences>
    <externalReference r:id="rId4"/>
  </externalReferences>
  <definedNames>
    <definedName name="Diluted_Shares">Comps!$F$21</definedName>
    <definedName name="Equity_Value">Comps!$G$21</definedName>
    <definedName name="EV">Comps!$L$21</definedName>
    <definedName name="Million">Comps!$B$3</definedName>
    <definedName name="Share_Price">Comps!$E$21</definedName>
    <definedName name="Ticker">'[1]STLD-DCF'!$F$9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5" l="1"/>
  <c r="N45" i="5"/>
  <c r="M45" i="5"/>
  <c r="L45" i="5"/>
  <c r="K45" i="5"/>
  <c r="O44" i="5"/>
  <c r="N44" i="5"/>
  <c r="M44" i="5"/>
  <c r="L44" i="5"/>
  <c r="K35" i="5"/>
  <c r="L35" i="5" s="1"/>
  <c r="M35" i="5" s="1"/>
  <c r="N35" i="5" s="1"/>
  <c r="O35" i="5" s="1"/>
  <c r="K36" i="5"/>
  <c r="L36" i="5"/>
  <c r="M36" i="5"/>
  <c r="N36" i="5" s="1"/>
  <c r="O36" i="5" s="1"/>
  <c r="K37" i="5"/>
  <c r="L37" i="5"/>
  <c r="M37" i="5" s="1"/>
  <c r="N37" i="5" s="1"/>
  <c r="O37" i="5" s="1"/>
  <c r="K38" i="5"/>
  <c r="L38" i="5" s="1"/>
  <c r="M38" i="5" s="1"/>
  <c r="N38" i="5" s="1"/>
  <c r="O38" i="5" s="1"/>
  <c r="K39" i="5"/>
  <c r="L39" i="5" s="1"/>
  <c r="M39" i="5" s="1"/>
  <c r="N39" i="5" s="1"/>
  <c r="O39" i="5" s="1"/>
  <c r="K40" i="5"/>
  <c r="L40" i="5"/>
  <c r="M40" i="5"/>
  <c r="N40" i="5" s="1"/>
  <c r="O40" i="5" s="1"/>
  <c r="K41" i="5"/>
  <c r="L41" i="5"/>
  <c r="M41" i="5" s="1"/>
  <c r="N41" i="5" s="1"/>
  <c r="O41" i="5" s="1"/>
  <c r="K42" i="5"/>
  <c r="L42" i="5" s="1"/>
  <c r="M42" i="5" s="1"/>
  <c r="N42" i="5" s="1"/>
  <c r="O42" i="5" s="1"/>
  <c r="K43" i="5"/>
  <c r="L43" i="5" s="1"/>
  <c r="M43" i="5" s="1"/>
  <c r="N43" i="5" s="1"/>
  <c r="O43" i="5" s="1"/>
  <c r="K44" i="5"/>
  <c r="O45" i="5"/>
  <c r="K34" i="5"/>
  <c r="N34" i="5"/>
  <c r="M34" i="5"/>
  <c r="L34" i="5"/>
  <c r="O34" i="5"/>
  <c r="O26" i="5"/>
  <c r="N26" i="5"/>
  <c r="M26" i="5"/>
  <c r="L26" i="5"/>
  <c r="K26" i="5"/>
  <c r="M15" i="5"/>
  <c r="L15" i="5"/>
  <c r="K15" i="5"/>
  <c r="O30" i="5"/>
  <c r="N30" i="5"/>
  <c r="M30" i="5"/>
  <c r="L30" i="5"/>
  <c r="K30" i="5"/>
  <c r="M29" i="5"/>
  <c r="L29" i="5"/>
  <c r="K29" i="5"/>
  <c r="O29" i="5"/>
  <c r="N29" i="5"/>
  <c r="L28" i="5"/>
  <c r="M28" i="5"/>
  <c r="N28" i="5"/>
  <c r="O28" i="5"/>
  <c r="K28" i="5"/>
  <c r="K27" i="5"/>
  <c r="N24" i="5"/>
  <c r="M24" i="5"/>
  <c r="L24" i="5"/>
  <c r="K24" i="5"/>
  <c r="O25" i="5"/>
  <c r="N25" i="5"/>
  <c r="M25" i="5"/>
  <c r="L25" i="5"/>
  <c r="K25" i="5"/>
  <c r="M27" i="5"/>
  <c r="L27" i="5"/>
  <c r="O27" i="5"/>
  <c r="N27" i="5"/>
  <c r="O23" i="5"/>
  <c r="K20" i="5"/>
  <c r="L20" i="5"/>
  <c r="M20" i="5"/>
  <c r="N20" i="5"/>
  <c r="O20" i="5"/>
  <c r="K21" i="5"/>
  <c r="L21" i="5"/>
  <c r="M21" i="5"/>
  <c r="N21" i="5"/>
  <c r="O21" i="5"/>
  <c r="K22" i="5"/>
  <c r="L22" i="5"/>
  <c r="M22" i="5"/>
  <c r="N22" i="5"/>
  <c r="O22" i="5"/>
  <c r="K23" i="5"/>
  <c r="L23" i="5"/>
  <c r="M23" i="5"/>
  <c r="N23" i="5"/>
  <c r="O24" i="5"/>
  <c r="O19" i="5"/>
  <c r="L19" i="5"/>
  <c r="M19" i="5"/>
  <c r="N19" i="5"/>
  <c r="K19" i="5"/>
  <c r="G19" i="5"/>
  <c r="G20" i="5"/>
  <c r="H19" i="5"/>
  <c r="D34" i="5"/>
  <c r="E34" i="5" s="1"/>
  <c r="F34" i="5" s="1"/>
  <c r="G34" i="5" s="1"/>
  <c r="C34" i="5"/>
  <c r="AD17" i="3"/>
  <c r="AC17" i="3"/>
  <c r="AB17" i="3"/>
  <c r="AA11" i="3"/>
  <c r="AA13" i="3"/>
  <c r="AA7" i="3"/>
  <c r="AA8" i="3"/>
  <c r="X25" i="3"/>
  <c r="D16" i="5" a="1"/>
  <c r="D16" i="5" s="1"/>
  <c r="C16" i="5"/>
  <c r="P39" i="3"/>
  <c r="Q39" i="3"/>
  <c r="O39" i="3"/>
  <c r="N39" i="3"/>
  <c r="M39" i="3"/>
  <c r="U39" i="3"/>
  <c r="V39" i="3"/>
  <c r="W39" i="3"/>
  <c r="X39" i="3"/>
  <c r="T39" i="3"/>
  <c r="S39" i="3"/>
  <c r="R39" i="3"/>
  <c r="L21" i="3"/>
  <c r="G21" i="3"/>
  <c r="F17" i="3"/>
  <c r="F21" i="3"/>
  <c r="E21" i="3" s="1"/>
  <c r="G8" i="3"/>
  <c r="G9" i="3"/>
  <c r="G10" i="3"/>
  <c r="G11" i="3"/>
  <c r="L11" i="3" s="1"/>
  <c r="N29" i="3" s="1"/>
  <c r="G12" i="3"/>
  <c r="G13" i="3"/>
  <c r="G7" i="3"/>
  <c r="C5" i="2"/>
  <c r="C6" i="2"/>
  <c r="C7" i="2"/>
  <c r="C8" i="2"/>
  <c r="C9" i="2"/>
  <c r="C10" i="2"/>
  <c r="C4" i="2"/>
  <c r="N15" i="3"/>
  <c r="M15" i="3"/>
  <c r="V8" i="5"/>
  <c r="V7" i="5"/>
  <c r="V6" i="5"/>
  <c r="V5" i="5"/>
  <c r="C7" i="5"/>
  <c r="C6" i="5"/>
  <c r="C17" i="5"/>
  <c r="C15" i="5"/>
  <c r="C8" i="5"/>
  <c r="C9" i="5"/>
  <c r="C10" i="5"/>
  <c r="C11" i="5"/>
  <c r="C12" i="5"/>
  <c r="C13" i="5"/>
  <c r="C14" i="5"/>
  <c r="B14" i="5"/>
  <c r="B42" i="5" s="1"/>
  <c r="G5" i="2"/>
  <c r="H5" i="2"/>
  <c r="G6" i="2"/>
  <c r="H6" i="2"/>
  <c r="G7" i="2"/>
  <c r="H7" i="2"/>
  <c r="G8" i="2"/>
  <c r="H8" i="2"/>
  <c r="G9" i="2"/>
  <c r="H9" i="2"/>
  <c r="G10" i="2"/>
  <c r="H10" i="2"/>
  <c r="H4" i="2"/>
  <c r="G4" i="2"/>
  <c r="E9" i="2"/>
  <c r="B5" i="2"/>
  <c r="B6" i="2"/>
  <c r="B7" i="2"/>
  <c r="B8" i="2"/>
  <c r="B9" i="2"/>
  <c r="B10" i="2"/>
  <c r="B4" i="2"/>
  <c r="X17" i="3"/>
  <c r="W17" i="3"/>
  <c r="V17" i="3"/>
  <c r="U17" i="3"/>
  <c r="T17" i="3"/>
  <c r="S17" i="3"/>
  <c r="R17" i="3"/>
  <c r="Q17" i="3"/>
  <c r="P17" i="3"/>
  <c r="O17" i="3"/>
  <c r="N17" i="3"/>
  <c r="M17" i="3"/>
  <c r="Q19" i="3"/>
  <c r="P19" i="3"/>
  <c r="O19" i="3"/>
  <c r="N19" i="3"/>
  <c r="M19" i="3"/>
  <c r="K17" i="3"/>
  <c r="J17" i="3"/>
  <c r="I17" i="3"/>
  <c r="H17" i="3"/>
  <c r="E17" i="3"/>
  <c r="F18" i="3"/>
  <c r="K19" i="3"/>
  <c r="J19" i="3"/>
  <c r="I19" i="3"/>
  <c r="H19" i="3"/>
  <c r="F19" i="3"/>
  <c r="E19" i="3"/>
  <c r="K18" i="3"/>
  <c r="J18" i="3"/>
  <c r="I18" i="3"/>
  <c r="H18" i="3"/>
  <c r="E18" i="3"/>
  <c r="K16" i="3"/>
  <c r="J16" i="3"/>
  <c r="I16" i="3"/>
  <c r="H16" i="3"/>
  <c r="F16" i="3"/>
  <c r="E16" i="3"/>
  <c r="K15" i="3"/>
  <c r="J15" i="3"/>
  <c r="I15" i="3"/>
  <c r="H15" i="3"/>
  <c r="F15" i="3"/>
  <c r="E15" i="3"/>
  <c r="Y21" i="3"/>
  <c r="AD21" i="3"/>
  <c r="AC21" i="3"/>
  <c r="AB21" i="3"/>
  <c r="AA21" i="3"/>
  <c r="Z21" i="3"/>
  <c r="X19" i="3"/>
  <c r="W19" i="3"/>
  <c r="V19" i="3"/>
  <c r="U19" i="3"/>
  <c r="T19" i="3"/>
  <c r="S19" i="3"/>
  <c r="R19" i="3"/>
  <c r="X18" i="3"/>
  <c r="W18" i="3"/>
  <c r="V18" i="3"/>
  <c r="U18" i="3"/>
  <c r="T18" i="3"/>
  <c r="S18" i="3"/>
  <c r="R18" i="3"/>
  <c r="Q18" i="3"/>
  <c r="P18" i="3"/>
  <c r="O18" i="3"/>
  <c r="N18" i="3"/>
  <c r="M18" i="3"/>
  <c r="X16" i="3"/>
  <c r="W16" i="3"/>
  <c r="V16" i="3"/>
  <c r="U16" i="3"/>
  <c r="T16" i="3"/>
  <c r="S16" i="3"/>
  <c r="R16" i="3"/>
  <c r="Q16" i="3"/>
  <c r="P16" i="3"/>
  <c r="O16" i="3"/>
  <c r="N16" i="3"/>
  <c r="M16" i="3"/>
  <c r="X15" i="3"/>
  <c r="W15" i="3"/>
  <c r="V15" i="3"/>
  <c r="U15" i="3"/>
  <c r="T15" i="3"/>
  <c r="S15" i="3"/>
  <c r="R15" i="3"/>
  <c r="Q15" i="3"/>
  <c r="P15" i="3"/>
  <c r="O15" i="3"/>
  <c r="L13" i="3"/>
  <c r="F10" i="2" s="1"/>
  <c r="C31" i="3"/>
  <c r="B31" i="3"/>
  <c r="B26" i="3"/>
  <c r="C26" i="3"/>
  <c r="B27" i="3"/>
  <c r="C27" i="3"/>
  <c r="B28" i="3"/>
  <c r="C28" i="3"/>
  <c r="B29" i="3"/>
  <c r="C29" i="3"/>
  <c r="B30" i="3"/>
  <c r="C30" i="3"/>
  <c r="C25" i="3"/>
  <c r="B25" i="3"/>
  <c r="V28" i="3"/>
  <c r="V30" i="3"/>
  <c r="Y10" i="3"/>
  <c r="Z10" i="3"/>
  <c r="AA10" i="3"/>
  <c r="AB10" i="3"/>
  <c r="AC10" i="3"/>
  <c r="AD10" i="3"/>
  <c r="Y12" i="3"/>
  <c r="Z12" i="3"/>
  <c r="AA12" i="3"/>
  <c r="AB12" i="3"/>
  <c r="AC12" i="3"/>
  <c r="AD12" i="3"/>
  <c r="Y13" i="3"/>
  <c r="Z13" i="3"/>
  <c r="AB13" i="3"/>
  <c r="AC13" i="3"/>
  <c r="AD13" i="3"/>
  <c r="Y11" i="3"/>
  <c r="Z11" i="3"/>
  <c r="AB11" i="3"/>
  <c r="AC11" i="3"/>
  <c r="AD11" i="3"/>
  <c r="AA9" i="3"/>
  <c r="Z7" i="3"/>
  <c r="Y7" i="3"/>
  <c r="Y17" i="3" s="1"/>
  <c r="U24" i="3"/>
  <c r="T24" i="3"/>
  <c r="B13" i="5" s="1"/>
  <c r="B41" i="5" s="1"/>
  <c r="S24" i="3"/>
  <c r="B12" i="5" s="1"/>
  <c r="B40" i="5" s="1"/>
  <c r="R24" i="3"/>
  <c r="B11" i="5" s="1"/>
  <c r="B39" i="5" s="1"/>
  <c r="U6" i="3"/>
  <c r="T6" i="3"/>
  <c r="S6" i="3"/>
  <c r="AB7" i="3"/>
  <c r="Y8" i="3"/>
  <c r="Z8" i="3"/>
  <c r="AB8" i="3"/>
  <c r="Y9" i="3"/>
  <c r="Z9" i="3"/>
  <c r="AB9" i="3"/>
  <c r="AC8" i="3"/>
  <c r="AD8" i="3"/>
  <c r="AC9" i="3"/>
  <c r="AD9" i="3"/>
  <c r="V26" i="3"/>
  <c r="V27" i="3"/>
  <c r="G25" i="3"/>
  <c r="B39" i="3"/>
  <c r="X24" i="3"/>
  <c r="B17" i="5" s="1"/>
  <c r="B45" i="5" s="1"/>
  <c r="W24" i="3"/>
  <c r="B16" i="5" s="1"/>
  <c r="B44" i="5" s="1"/>
  <c r="V24" i="3"/>
  <c r="B15" i="5" s="1"/>
  <c r="B43" i="5" s="1"/>
  <c r="Q24" i="3"/>
  <c r="B10" i="5" s="1"/>
  <c r="B38" i="5" s="1"/>
  <c r="P24" i="3"/>
  <c r="B9" i="5" s="1"/>
  <c r="B37" i="5" s="1"/>
  <c r="O24" i="3"/>
  <c r="B8" i="5" s="1"/>
  <c r="B36" i="5" s="1"/>
  <c r="N24" i="3"/>
  <c r="B7" i="5" s="1"/>
  <c r="B35" i="5" s="1"/>
  <c r="M24" i="3"/>
  <c r="B6" i="5" s="1"/>
  <c r="AD7" i="3"/>
  <c r="AC7" i="3"/>
  <c r="O16" i="5" l="1"/>
  <c r="H29" i="5" s="1"/>
  <c r="C44" i="5" s="1"/>
  <c r="N16" i="5"/>
  <c r="G29" i="5" s="1"/>
  <c r="D44" i="5" s="1"/>
  <c r="L16" i="5"/>
  <c r="E29" i="5" s="1"/>
  <c r="M16" i="5"/>
  <c r="F29" i="5" s="1"/>
  <c r="K16" i="5"/>
  <c r="D29" i="5" s="1"/>
  <c r="E10" i="2"/>
  <c r="E6" i="2"/>
  <c r="AC18" i="3"/>
  <c r="AD15" i="3"/>
  <c r="Y18" i="3"/>
  <c r="AB18" i="3"/>
  <c r="AA19" i="3"/>
  <c r="E8" i="2"/>
  <c r="E5" i="2"/>
  <c r="F8" i="2"/>
  <c r="G17" i="3"/>
  <c r="E4" i="2"/>
  <c r="E7" i="2"/>
  <c r="Z15" i="3"/>
  <c r="Z19" i="3"/>
  <c r="AC15" i="3"/>
  <c r="Y15" i="3"/>
  <c r="AD19" i="3"/>
  <c r="AA17" i="3"/>
  <c r="M31" i="3"/>
  <c r="T31" i="3"/>
  <c r="G19" i="3"/>
  <c r="G18" i="3"/>
  <c r="AA15" i="3"/>
  <c r="AB16" i="3"/>
  <c r="Z18" i="3"/>
  <c r="AD18" i="3"/>
  <c r="AB19" i="3"/>
  <c r="AA16" i="3"/>
  <c r="G15" i="3"/>
  <c r="AB15" i="3"/>
  <c r="Y16" i="3"/>
  <c r="AC16" i="3"/>
  <c r="Z17" i="3"/>
  <c r="AA18" i="3"/>
  <c r="Y19" i="3"/>
  <c r="AC19" i="3"/>
  <c r="G16" i="3"/>
  <c r="Z16" i="3"/>
  <c r="AD16" i="3"/>
  <c r="P31" i="3"/>
  <c r="L31" i="3"/>
  <c r="Q29" i="3"/>
  <c r="U29" i="3"/>
  <c r="X31" i="3"/>
  <c r="M29" i="3"/>
  <c r="W31" i="3"/>
  <c r="S31" i="3"/>
  <c r="O31" i="3"/>
  <c r="X30" i="3"/>
  <c r="X29" i="3"/>
  <c r="T29" i="3"/>
  <c r="P29" i="3"/>
  <c r="L29" i="3"/>
  <c r="X28" i="3"/>
  <c r="X27" i="3"/>
  <c r="X26" i="3"/>
  <c r="V31" i="3"/>
  <c r="R31" i="3"/>
  <c r="N31" i="3"/>
  <c r="W30" i="3"/>
  <c r="G30" i="3"/>
  <c r="W29" i="3"/>
  <c r="S29" i="3"/>
  <c r="O29" i="3"/>
  <c r="G29" i="3"/>
  <c r="W28" i="3"/>
  <c r="G28" i="3"/>
  <c r="W27" i="3"/>
  <c r="G27" i="3"/>
  <c r="W26" i="3"/>
  <c r="G26" i="3"/>
  <c r="U31" i="3"/>
  <c r="Q31" i="3"/>
  <c r="V29" i="3"/>
  <c r="R29" i="3"/>
  <c r="G31" i="3"/>
  <c r="L12" i="3"/>
  <c r="F9" i="2" s="1"/>
  <c r="L10" i="3"/>
  <c r="F7" i="2" s="1"/>
  <c r="L7" i="3"/>
  <c r="L8" i="3"/>
  <c r="F5" i="2" s="1"/>
  <c r="V25" i="3"/>
  <c r="W25" i="3"/>
  <c r="L9" i="3"/>
  <c r="F6" i="2" s="1"/>
  <c r="E44" i="5" l="1"/>
  <c r="F44" i="5" s="1"/>
  <c r="G44" i="5" s="1"/>
  <c r="L15" i="3"/>
  <c r="G33" i="3"/>
  <c r="W33" i="3"/>
  <c r="W34" i="3"/>
  <c r="W37" i="3"/>
  <c r="W36" i="3"/>
  <c r="W35" i="3"/>
  <c r="V34" i="3"/>
  <c r="V36" i="3"/>
  <c r="V35" i="3"/>
  <c r="V33" i="3"/>
  <c r="V37" i="3"/>
  <c r="X37" i="3"/>
  <c r="X33" i="3"/>
  <c r="X36" i="3"/>
  <c r="X35" i="3"/>
  <c r="X34" i="3"/>
  <c r="F4" i="2"/>
  <c r="L19" i="3"/>
  <c r="L17" i="3"/>
  <c r="G37" i="3"/>
  <c r="L18" i="3"/>
  <c r="L16" i="3"/>
  <c r="G34" i="3"/>
  <c r="G35" i="3"/>
  <c r="G36" i="3"/>
  <c r="N28" i="3"/>
  <c r="R28" i="3"/>
  <c r="O28" i="3"/>
  <c r="S28" i="3"/>
  <c r="Q28" i="3"/>
  <c r="L28" i="3"/>
  <c r="P28" i="3"/>
  <c r="T28" i="3"/>
  <c r="M28" i="3"/>
  <c r="U28" i="3"/>
  <c r="N30" i="3"/>
  <c r="R30" i="3"/>
  <c r="Q30" i="3"/>
  <c r="U30" i="3"/>
  <c r="O30" i="3"/>
  <c r="S30" i="3"/>
  <c r="M30" i="3"/>
  <c r="L30" i="3"/>
  <c r="P30" i="3"/>
  <c r="T30" i="3"/>
  <c r="N26" i="3"/>
  <c r="R26" i="3"/>
  <c r="M26" i="3"/>
  <c r="U26" i="3"/>
  <c r="O26" i="3"/>
  <c r="S26" i="3"/>
  <c r="Q26" i="3"/>
  <c r="L26" i="3"/>
  <c r="P26" i="3"/>
  <c r="T26" i="3"/>
  <c r="N27" i="3"/>
  <c r="R27" i="3"/>
  <c r="M27" i="3"/>
  <c r="U27" i="3"/>
  <c r="O27" i="3"/>
  <c r="S27" i="3"/>
  <c r="L27" i="3"/>
  <c r="P27" i="3"/>
  <c r="T27" i="3"/>
  <c r="Q27" i="3"/>
  <c r="O25" i="3"/>
  <c r="N25" i="3"/>
  <c r="M25" i="3"/>
  <c r="L25" i="3"/>
  <c r="U25" i="3"/>
  <c r="R25" i="3"/>
  <c r="T25" i="3"/>
  <c r="P25" i="3"/>
  <c r="S25" i="3"/>
  <c r="Q25" i="3"/>
  <c r="L33" i="3" l="1"/>
  <c r="M33" i="3"/>
  <c r="D17" i="5" a="1"/>
  <c r="Q36" i="3"/>
  <c r="Q35" i="3"/>
  <c r="Q37" i="3"/>
  <c r="Q34" i="3"/>
  <c r="Q33" i="3"/>
  <c r="R34" i="3"/>
  <c r="R36" i="3"/>
  <c r="R35" i="3"/>
  <c r="R33" i="3"/>
  <c r="R37" i="3"/>
  <c r="N34" i="3"/>
  <c r="N33" i="3"/>
  <c r="N37" i="3"/>
  <c r="N36" i="3"/>
  <c r="N35" i="3"/>
  <c r="T37" i="3"/>
  <c r="T36" i="3"/>
  <c r="T35" i="3"/>
  <c r="T34" i="3"/>
  <c r="T33" i="3"/>
  <c r="S33" i="3"/>
  <c r="S37" i="3"/>
  <c r="S34" i="3"/>
  <c r="S36" i="3"/>
  <c r="S35" i="3"/>
  <c r="U36" i="3"/>
  <c r="U35" i="3"/>
  <c r="U34" i="3"/>
  <c r="U33" i="3"/>
  <c r="U37" i="3"/>
  <c r="O33" i="3"/>
  <c r="O37" i="3"/>
  <c r="O36" i="3"/>
  <c r="O35" i="3"/>
  <c r="O34" i="3"/>
  <c r="M36" i="3"/>
  <c r="M35" i="3"/>
  <c r="D6" i="5" s="1" a="1"/>
  <c r="M37" i="3"/>
  <c r="M34" i="3"/>
  <c r="P37" i="3"/>
  <c r="P36" i="3"/>
  <c r="P35" i="3"/>
  <c r="P33" i="3"/>
  <c r="P34" i="3"/>
  <c r="L37" i="3"/>
  <c r="L36" i="3"/>
  <c r="L35" i="3"/>
  <c r="L34" i="3"/>
  <c r="D15" i="5" a="1"/>
  <c r="O6" i="5" l="1"/>
  <c r="M6" i="5"/>
  <c r="F19" i="5" s="1"/>
  <c r="N6" i="5"/>
  <c r="L6" i="5"/>
  <c r="E19" i="5" s="1"/>
  <c r="D9" i="5" a="1"/>
  <c r="D9" i="5" s="1"/>
  <c r="K9" i="5" s="1"/>
  <c r="D22" i="5" s="1"/>
  <c r="D13" i="5" a="1"/>
  <c r="M13" i="5" s="1"/>
  <c r="F26" i="5" s="1"/>
  <c r="D7" i="5" a="1"/>
  <c r="O7" i="5" s="1"/>
  <c r="H20" i="5" s="1"/>
  <c r="C35" i="5" s="1"/>
  <c r="D15" i="5"/>
  <c r="D28" i="5" s="1"/>
  <c r="N15" i="5"/>
  <c r="G28" i="5" s="1"/>
  <c r="O15" i="5"/>
  <c r="H28" i="5" s="1"/>
  <c r="C43" i="5" s="1"/>
  <c r="F28" i="5"/>
  <c r="E28" i="5"/>
  <c r="L39" i="3"/>
  <c r="D8" i="5" a="1"/>
  <c r="D14" i="5" a="1"/>
  <c r="D12" i="5" a="1"/>
  <c r="D11" i="5" a="1"/>
  <c r="D10" i="5" a="1"/>
  <c r="D6" i="5"/>
  <c r="K6" i="5" s="1"/>
  <c r="D19" i="5" s="1"/>
  <c r="D17" i="5"/>
  <c r="K17" i="5" s="1"/>
  <c r="D30" i="5" s="1"/>
  <c r="O17" i="5"/>
  <c r="H30" i="5" s="1"/>
  <c r="C45" i="5" s="1"/>
  <c r="L17" i="5"/>
  <c r="E30" i="5" s="1"/>
  <c r="M17" i="5"/>
  <c r="F30" i="5" s="1"/>
  <c r="N17" i="5"/>
  <c r="G30" i="5" s="1"/>
  <c r="D43" i="5" l="1"/>
  <c r="M10" i="5"/>
  <c r="F23" i="5" s="1"/>
  <c r="L10" i="5"/>
  <c r="E23" i="5" s="1"/>
  <c r="N10" i="5"/>
  <c r="G23" i="5" s="1"/>
  <c r="O10" i="5"/>
  <c r="H23" i="5" s="1"/>
  <c r="C38" i="5" s="1"/>
  <c r="E43" i="5"/>
  <c r="F43" i="5" s="1"/>
  <c r="G43" i="5" s="1"/>
  <c r="M7" i="5"/>
  <c r="F20" i="5" s="1"/>
  <c r="D7" i="5"/>
  <c r="K7" i="5" s="1"/>
  <c r="D20" i="5" s="1"/>
  <c r="O13" i="5"/>
  <c r="H26" i="5" s="1"/>
  <c r="C41" i="5" s="1"/>
  <c r="D45" i="5"/>
  <c r="E45" i="5" s="1"/>
  <c r="F45" i="5" s="1"/>
  <c r="G45" i="5" s="1"/>
  <c r="O9" i="5"/>
  <c r="H22" i="5" s="1"/>
  <c r="C37" i="5" s="1"/>
  <c r="N7" i="5"/>
  <c r="D35" i="5" s="1"/>
  <c r="N13" i="5"/>
  <c r="G26" i="5" s="1"/>
  <c r="L13" i="5"/>
  <c r="E26" i="5" s="1"/>
  <c r="D13" i="5"/>
  <c r="K13" i="5" s="1"/>
  <c r="D26" i="5" s="1"/>
  <c r="M9" i="5"/>
  <c r="V4" i="5" s="1"/>
  <c r="N9" i="5"/>
  <c r="G22" i="5" s="1"/>
  <c r="L9" i="5"/>
  <c r="E22" i="5" s="1"/>
  <c r="L7" i="5"/>
  <c r="E20" i="5" s="1"/>
  <c r="D10" i="5"/>
  <c r="K10" i="5" s="1"/>
  <c r="D23" i="5" s="1"/>
  <c r="D8" i="5"/>
  <c r="K8" i="5" s="1"/>
  <c r="D21" i="5" s="1"/>
  <c r="L8" i="5"/>
  <c r="E21" i="5" s="1"/>
  <c r="M8" i="5"/>
  <c r="F21" i="5" s="1"/>
  <c r="N8" i="5"/>
  <c r="G21" i="5" s="1"/>
  <c r="O8" i="5"/>
  <c r="H21" i="5" s="1"/>
  <c r="C36" i="5" s="1"/>
  <c r="D11" i="5"/>
  <c r="K11" i="5" s="1"/>
  <c r="D24" i="5" s="1"/>
  <c r="L11" i="5"/>
  <c r="E24" i="5" s="1"/>
  <c r="M11" i="5"/>
  <c r="F24" i="5" s="1"/>
  <c r="O11" i="5"/>
  <c r="H24" i="5" s="1"/>
  <c r="C39" i="5" s="1"/>
  <c r="N11" i="5"/>
  <c r="G24" i="5" s="1"/>
  <c r="D12" i="5"/>
  <c r="K12" i="5" s="1"/>
  <c r="D25" i="5" s="1"/>
  <c r="L12" i="5"/>
  <c r="E25" i="5" s="1"/>
  <c r="N12" i="5"/>
  <c r="G25" i="5" s="1"/>
  <c r="O12" i="5"/>
  <c r="H25" i="5" s="1"/>
  <c r="C40" i="5" s="1"/>
  <c r="M12" i="5"/>
  <c r="F25" i="5" s="1"/>
  <c r="G39" i="3"/>
  <c r="D14" i="5"/>
  <c r="K14" i="5" s="1"/>
  <c r="D27" i="5" s="1"/>
  <c r="N14" i="5"/>
  <c r="G27" i="5" s="1"/>
  <c r="O14" i="5"/>
  <c r="H27" i="5" s="1"/>
  <c r="C42" i="5" s="1"/>
  <c r="L14" i="5"/>
  <c r="E27" i="5" s="1"/>
  <c r="M14" i="5"/>
  <c r="F27" i="5" s="1"/>
  <c r="E35" i="5" l="1"/>
  <c r="D38" i="5"/>
  <c r="E38" i="5" s="1"/>
  <c r="F38" i="5" s="1"/>
  <c r="G38" i="5" s="1"/>
  <c r="D41" i="5"/>
  <c r="E41" i="5" s="1"/>
  <c r="F41" i="5" s="1"/>
  <c r="G41" i="5" s="1"/>
  <c r="D40" i="5"/>
  <c r="E40" i="5" s="1"/>
  <c r="F40" i="5" s="1"/>
  <c r="G40" i="5" s="1"/>
  <c r="D37" i="5"/>
  <c r="D42" i="5"/>
  <c r="E42" i="5"/>
  <c r="F42" i="5" s="1"/>
  <c r="G42" i="5" s="1"/>
  <c r="D39" i="5"/>
  <c r="E39" i="5" s="1"/>
  <c r="F39" i="5" s="1"/>
  <c r="G39" i="5" s="1"/>
  <c r="D36" i="5"/>
  <c r="E36" i="5" s="1"/>
  <c r="F36" i="5" s="1"/>
  <c r="G36" i="5" s="1"/>
  <c r="F22" i="5"/>
  <c r="V9" i="5"/>
  <c r="F35" i="5" l="1"/>
  <c r="G35" i="5" s="1"/>
  <c r="V11" i="5"/>
  <c r="E37" i="5"/>
  <c r="F37" i="5" s="1"/>
  <c r="G37" i="5" s="1"/>
  <c r="X6" i="3" l="1"/>
  <c r="W6" i="3"/>
  <c r="V6" i="3"/>
  <c r="R6" i="3"/>
  <c r="Q6" i="3"/>
  <c r="P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<sst xmlns="http://schemas.openxmlformats.org/spreadsheetml/2006/main" count="133" uniqueCount="82">
  <si>
    <t>Ticker</t>
  </si>
  <si>
    <t>List of Comparable Companies</t>
  </si>
  <si>
    <t>LTM</t>
  </si>
  <si>
    <t>Company</t>
  </si>
  <si>
    <t>Business Description</t>
  </si>
  <si>
    <t>EBITDA</t>
  </si>
  <si>
    <t xml:space="preserve">NEXTDC Limited </t>
  </si>
  <si>
    <t xml:space="preserve">GDS Holdings Limited </t>
  </si>
  <si>
    <t xml:space="preserve">Equinix, Inc. </t>
  </si>
  <si>
    <t>NXT</t>
  </si>
  <si>
    <t>GDS</t>
  </si>
  <si>
    <t>EQIX</t>
  </si>
  <si>
    <t>EBIT</t>
  </si>
  <si>
    <t>Share</t>
  </si>
  <si>
    <t>Price</t>
  </si>
  <si>
    <t>Shares</t>
  </si>
  <si>
    <t>Growth</t>
  </si>
  <si>
    <t>Diluted</t>
  </si>
  <si>
    <t>Debt</t>
  </si>
  <si>
    <t>Preferred</t>
  </si>
  <si>
    <t>Stock</t>
  </si>
  <si>
    <t>Maximum</t>
  </si>
  <si>
    <t>75th Percentile</t>
  </si>
  <si>
    <t>Median</t>
  </si>
  <si>
    <t>25th Percentile</t>
  </si>
  <si>
    <t>Minimum</t>
  </si>
  <si>
    <t>Revenue</t>
  </si>
  <si>
    <t>Net Income</t>
  </si>
  <si>
    <t>EBITDA Margin</t>
  </si>
  <si>
    <t>Company Name</t>
  </si>
  <si>
    <t>Equity Value</t>
  </si>
  <si>
    <t>Cash</t>
  </si>
  <si>
    <t>Other</t>
  </si>
  <si>
    <t>EV</t>
  </si>
  <si>
    <t>FY22</t>
  </si>
  <si>
    <t>FY23</t>
  </si>
  <si>
    <t>Comparable Companies Analysis</t>
  </si>
  <si>
    <t>Ascenty Data Centers</t>
  </si>
  <si>
    <t xml:space="preserve">Shanghai @hub Co.,Ltd. </t>
  </si>
  <si>
    <t xml:space="preserve">Macquarie Technology Group Limited </t>
  </si>
  <si>
    <t xml:space="preserve">SUNeVision Holdings Ltd. </t>
  </si>
  <si>
    <t xml:space="preserve">OVH Groupe S.A. </t>
  </si>
  <si>
    <t>MAQ</t>
  </si>
  <si>
    <t>OVH</t>
  </si>
  <si>
    <t>Country</t>
  </si>
  <si>
    <t>Brazil</t>
  </si>
  <si>
    <t>Australia</t>
  </si>
  <si>
    <t>USA</t>
  </si>
  <si>
    <t>China</t>
  </si>
  <si>
    <t>France</t>
  </si>
  <si>
    <t>Hong Kong</t>
  </si>
  <si>
    <t>Operates a global network of data centers, delivering secure colocation, interconnection, and hybrid cloud solutions to enterprise, network, and cloud service providers.</t>
  </si>
  <si>
    <t>Operates state-of-the-art data centers in China, offering colocation, managed hosting, cloud connectivity, and integrated IT services to enterprise and internet companies.</t>
  </si>
  <si>
    <t>Operates high-performance data centers in Australia, providing scalable colocation, managed services, and interconnection solutions to enterprise and cloud customers.</t>
  </si>
  <si>
    <t>Operates data centers in China, offering colocation, managed hosting, cloud services, and IT consulting to enterprise and internet customers.</t>
  </si>
  <si>
    <t>Operates a global network of data centers, delivering colocation, cloud computing, and dedicated hosting solutions to enterprises, SMEs, and internet service providers.</t>
  </si>
  <si>
    <t>Operates data centers and provides integrated IT infrastructure, colocation, and connectivity solutions, with a strong focus on serving the Asia-Pacific market.</t>
  </si>
  <si>
    <t>Operates data centers in Hong Kong, offering colocation, managed hosting, cloud services, and interconnection solutions to enterprises, content providers, and digital media firms.</t>
  </si>
  <si>
    <t>Enterprise Value</t>
  </si>
  <si>
    <t>LTM Sales</t>
  </si>
  <si>
    <t>LTM EBITDA</t>
  </si>
  <si>
    <t>EV / Revenue</t>
  </si>
  <si>
    <t>EV / EBITDA</t>
  </si>
  <si>
    <t>EV / EBIT</t>
  </si>
  <si>
    <t>P / E Multiple</t>
  </si>
  <si>
    <t>Multiple</t>
  </si>
  <si>
    <t>Figure</t>
  </si>
  <si>
    <t>Implied Enterprise Value</t>
  </si>
  <si>
    <t>(+) Cash &amp; Cash-Equivalents:</t>
  </si>
  <si>
    <t>(-) Total Debt:</t>
  </si>
  <si>
    <t>(-) Preferred Stock:</t>
  </si>
  <si>
    <t>(-) Noncontrolling Interests:</t>
  </si>
  <si>
    <t>Implied Equity Value</t>
  </si>
  <si>
    <t>Implied Share Price</t>
  </si>
  <si>
    <t>($ in millions, except share price)</t>
  </si>
  <si>
    <t>Valuation - Ascenty Data Centers</t>
  </si>
  <si>
    <t>Share Price</t>
  </si>
  <si>
    <t>Min Point</t>
  </si>
  <si>
    <t>25th Point</t>
  </si>
  <si>
    <t>Median Point</t>
  </si>
  <si>
    <t>75th Point</t>
  </si>
  <si>
    <t>Max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</si>
</sst>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$&quot;\ * #,##0.00_-;\-&quot;R$&quot;\ * #,##0.00_-;_-&quot;R$&quot;\ * &quot;-&quot;??_-;_-@_-"/>
    <numFmt numFmtId="170" formatCode="0.0\x"/>
    <numFmt numFmtId="176" formatCode="0.0&quot;x&quot;"/>
    <numFmt numFmtId="178" formatCode="&quot;FY&quot;yy"/>
    <numFmt numFmtId="179" formatCode="_(* #,##0.0_);_(* \(#,##0.0\);_(* &quot;-&quot;?_);_(@_)"/>
    <numFmt numFmtId="181" formatCode="_(#,##0.0%_);\(#,##0.0%\);_(&quot;–&quot;_)_%;_(@_)_%"/>
    <numFmt numFmtId="183" formatCode="_(* #,##0.0_);_(* \(#,##0.0\);_(* &quot;-&quot;??_);_(@_)"/>
    <numFmt numFmtId="184" formatCode="0.0\ \x"/>
    <numFmt numFmtId="187" formatCode="_(* #,##0_);_(* \(#,##0\);_(* &quot;-&quot;??_);_(@_)"/>
    <numFmt numFmtId="188" formatCode="_(&quot;$&quot;* #,##0_);_(&quot;$&quot;* \(#,##0\);_(&quot;$&quot;* &quot;-&quot;??_);_(@_)"/>
    <numFmt numFmtId="198" formatCode="_([$$-409]* #,##0.00_);_([$$-409]* \(#,##0.00\);_([$$-409]* &quot;-&quot;??_);_(@_)"/>
    <numFmt numFmtId="199" formatCode="#,###_);\(#,##0\);\-"/>
    <numFmt numFmtId="210" formatCode="_([$$-409]* #,##0_);_([$$-409]* \(#,##0\);_([$$-409]* &quot;-&quot;??_);_(@_)"/>
  </numFmts>
  <fonts count="1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i/>
      <sz val="8"/>
      <color theme="0"/>
      <name val="Arial"/>
      <family val="2"/>
    </font>
    <font>
      <sz val="10"/>
      <color theme="9" tint="-0.249977111117893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D9"/>
        <bgColor indexed="64"/>
      </patternFill>
    </fill>
  </fills>
  <borders count="9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9" fillId="0" borderId="0" applyAlignment="0"/>
    <xf numFmtId="0" fontId="3" fillId="0" borderId="0"/>
    <xf numFmtId="0" fontId="3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2" applyFont="1"/>
    <xf numFmtId="187" fontId="10" fillId="0" borderId="0" xfId="2" applyNumberFormat="1" applyFont="1"/>
    <xf numFmtId="187" fontId="7" fillId="0" borderId="0" xfId="2" applyNumberFormat="1" applyFont="1"/>
    <xf numFmtId="181" fontId="7" fillId="0" borderId="0" xfId="2" applyNumberFormat="1" applyFont="1"/>
    <xf numFmtId="198" fontId="10" fillId="0" borderId="0" xfId="1" applyNumberFormat="1" applyFont="1"/>
    <xf numFmtId="0" fontId="1" fillId="0" borderId="0" xfId="0" applyFont="1"/>
    <xf numFmtId="0" fontId="7" fillId="0" borderId="0" xfId="2" applyFont="1" applyAlignment="1">
      <alignment horizontal="left"/>
    </xf>
    <xf numFmtId="0" fontId="7" fillId="0" borderId="4" xfId="2" applyFont="1" applyBorder="1"/>
    <xf numFmtId="44" fontId="7" fillId="0" borderId="4" xfId="2" applyNumberFormat="1" applyFont="1" applyBorder="1"/>
    <xf numFmtId="188" fontId="7" fillId="0" borderId="4" xfId="2" applyNumberFormat="1" applyFont="1" applyBorder="1"/>
    <xf numFmtId="176" fontId="7" fillId="0" borderId="4" xfId="2" applyNumberFormat="1" applyFont="1" applyBorder="1"/>
    <xf numFmtId="0" fontId="7" fillId="0" borderId="0" xfId="2" applyFont="1" applyBorder="1"/>
    <xf numFmtId="43" fontId="7" fillId="0" borderId="0" xfId="2" applyNumberFormat="1" applyFont="1" applyBorder="1"/>
    <xf numFmtId="188" fontId="7" fillId="0" borderId="0" xfId="2" applyNumberFormat="1" applyFont="1" applyBorder="1"/>
    <xf numFmtId="176" fontId="7" fillId="0" borderId="0" xfId="2" applyNumberFormat="1" applyFont="1" applyBorder="1"/>
    <xf numFmtId="0" fontId="11" fillId="0" borderId="0" xfId="2" applyFont="1" applyBorder="1"/>
    <xf numFmtId="0" fontId="7" fillId="0" borderId="2" xfId="2" applyFont="1" applyBorder="1"/>
    <xf numFmtId="0" fontId="11" fillId="0" borderId="2" xfId="2" applyFont="1" applyBorder="1"/>
    <xf numFmtId="43" fontId="7" fillId="0" borderId="2" xfId="2" applyNumberFormat="1" applyFont="1" applyBorder="1"/>
    <xf numFmtId="188" fontId="7" fillId="0" borderId="2" xfId="2" applyNumberFormat="1" applyFont="1" applyBorder="1"/>
    <xf numFmtId="176" fontId="7" fillId="0" borderId="2" xfId="2" applyNumberFormat="1" applyFont="1" applyBorder="1"/>
    <xf numFmtId="187" fontId="7" fillId="0" borderId="4" xfId="2" applyNumberFormat="1" applyFont="1" applyBorder="1"/>
    <xf numFmtId="199" fontId="7" fillId="0" borderId="4" xfId="2" applyNumberFormat="1" applyFont="1" applyBorder="1"/>
    <xf numFmtId="181" fontId="7" fillId="0" borderId="4" xfId="2" applyNumberFormat="1" applyFont="1" applyBorder="1"/>
    <xf numFmtId="187" fontId="7" fillId="0" borderId="0" xfId="2" applyNumberFormat="1" applyFont="1" applyBorder="1"/>
    <xf numFmtId="199" fontId="7" fillId="0" borderId="0" xfId="2" applyNumberFormat="1" applyFont="1" applyBorder="1"/>
    <xf numFmtId="181" fontId="7" fillId="0" borderId="0" xfId="2" applyNumberFormat="1" applyFont="1" applyBorder="1"/>
    <xf numFmtId="187" fontId="7" fillId="0" borderId="2" xfId="2" applyNumberFormat="1" applyFont="1" applyBorder="1"/>
    <xf numFmtId="199" fontId="7" fillId="0" borderId="2" xfId="2" applyNumberFormat="1" applyFont="1" applyBorder="1"/>
    <xf numFmtId="181" fontId="7" fillId="0" borderId="2" xfId="2" applyNumberFormat="1" applyFont="1" applyBorder="1"/>
    <xf numFmtId="198" fontId="10" fillId="0" borderId="4" xfId="1" applyNumberFormat="1" applyFont="1" applyBorder="1"/>
    <xf numFmtId="187" fontId="10" fillId="0" borderId="4" xfId="2" applyNumberFormat="1" applyFont="1" applyBorder="1"/>
    <xf numFmtId="198" fontId="10" fillId="0" borderId="0" xfId="1" applyNumberFormat="1" applyFont="1" applyBorder="1"/>
    <xf numFmtId="187" fontId="10" fillId="0" borderId="0" xfId="2" applyNumberFormat="1" applyFont="1" applyBorder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198" fontId="10" fillId="0" borderId="2" xfId="1" applyNumberFormat="1" applyFont="1" applyBorder="1"/>
    <xf numFmtId="187" fontId="10" fillId="0" borderId="2" xfId="2" applyNumberFormat="1" applyFont="1" applyBorder="1"/>
    <xf numFmtId="0" fontId="7" fillId="0" borderId="4" xfId="2" applyFont="1" applyBorder="1" applyAlignment="1">
      <alignment horizontal="left"/>
    </xf>
    <xf numFmtId="44" fontId="10" fillId="0" borderId="4" xfId="2" applyNumberFormat="1" applyFont="1" applyBorder="1"/>
    <xf numFmtId="179" fontId="10" fillId="0" borderId="4" xfId="2" applyNumberFormat="1" applyFont="1" applyBorder="1"/>
    <xf numFmtId="176" fontId="7" fillId="0" borderId="4" xfId="2" applyNumberFormat="1" applyFont="1" applyBorder="1" applyAlignment="1">
      <alignment horizontal="right"/>
    </xf>
    <xf numFmtId="44" fontId="10" fillId="0" borderId="0" xfId="2" applyNumberFormat="1" applyFont="1" applyBorder="1"/>
    <xf numFmtId="179" fontId="10" fillId="0" borderId="0" xfId="2" applyNumberFormat="1" applyFont="1" applyBorder="1"/>
    <xf numFmtId="176" fontId="7" fillId="0" borderId="0" xfId="2" applyNumberFormat="1" applyFont="1" applyBorder="1" applyAlignment="1">
      <alignment horizontal="right"/>
    </xf>
    <xf numFmtId="44" fontId="10" fillId="0" borderId="2" xfId="2" applyNumberFormat="1" applyFont="1" applyBorder="1"/>
    <xf numFmtId="179" fontId="10" fillId="0" borderId="2" xfId="2" applyNumberFormat="1" applyFont="1" applyBorder="1"/>
    <xf numFmtId="176" fontId="7" fillId="0" borderId="2" xfId="2" applyNumberFormat="1" applyFont="1" applyBorder="1" applyAlignment="1">
      <alignment horizontal="right"/>
    </xf>
    <xf numFmtId="0" fontId="2" fillId="2" borderId="0" xfId="0" applyFont="1" applyFill="1" applyAlignment="1">
      <alignment horizontal="center"/>
    </xf>
    <xf numFmtId="210" fontId="1" fillId="0" borderId="1" xfId="1" applyNumberFormat="1" applyFont="1" applyBorder="1" applyAlignment="1">
      <alignment vertical="center"/>
    </xf>
    <xf numFmtId="0" fontId="1" fillId="0" borderId="0" xfId="0" applyNumberFormat="1" applyFont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87" fontId="12" fillId="0" borderId="6" xfId="2" applyNumberFormat="1" applyFont="1" applyBorder="1"/>
    <xf numFmtId="187" fontId="12" fillId="0" borderId="6" xfId="2" applyNumberFormat="1" applyFont="1" applyBorder="1" applyAlignment="1">
      <alignment horizontal="right"/>
    </xf>
    <xf numFmtId="181" fontId="11" fillId="0" borderId="6" xfId="2" applyNumberFormat="1" applyFont="1" applyBorder="1"/>
    <xf numFmtId="183" fontId="1" fillId="0" borderId="0" xfId="0" applyNumberFormat="1" applyFont="1" applyAlignment="1"/>
    <xf numFmtId="170" fontId="1" fillId="0" borderId="0" xfId="0" applyNumberFormat="1" applyFont="1" applyAlignment="1">
      <alignment horizontal="right"/>
    </xf>
    <xf numFmtId="187" fontId="2" fillId="0" borderId="6" xfId="0" applyNumberFormat="1" applyFont="1" applyBorder="1" applyAlignment="1">
      <alignment horizontal="right"/>
    </xf>
    <xf numFmtId="198" fontId="2" fillId="0" borderId="6" xfId="0" applyNumberFormat="1" applyFont="1" applyBorder="1" applyAlignment="1">
      <alignment horizontal="right"/>
    </xf>
    <xf numFmtId="183" fontId="14" fillId="0" borderId="0" xfId="0" applyNumberFormat="1" applyFont="1" applyBorder="1" applyAlignment="1">
      <alignment horizontal="center"/>
    </xf>
    <xf numFmtId="183" fontId="14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6" fillId="0" borderId="0" xfId="0" applyNumberFormat="1" applyFont="1" applyAlignment="1">
      <alignment horizontal="left"/>
    </xf>
    <xf numFmtId="44" fontId="7" fillId="0" borderId="0" xfId="2" applyNumberFormat="1" applyFont="1" applyBorder="1"/>
    <xf numFmtId="44" fontId="7" fillId="0" borderId="2" xfId="2" applyNumberFormat="1" applyFont="1" applyBorder="1"/>
    <xf numFmtId="183" fontId="1" fillId="0" borderId="7" xfId="0" applyNumberFormat="1" applyFont="1" applyBorder="1" applyAlignment="1">
      <alignment horizontal="center"/>
    </xf>
    <xf numFmtId="183" fontId="1" fillId="0" borderId="3" xfId="0" applyNumberFormat="1" applyFont="1" applyBorder="1" applyAlignment="1">
      <alignment horizontal="center"/>
    </xf>
    <xf numFmtId="183" fontId="1" fillId="0" borderId="8" xfId="0" applyNumberFormat="1" applyFont="1" applyBorder="1" applyAlignment="1">
      <alignment horizontal="center"/>
    </xf>
    <xf numFmtId="198" fontId="2" fillId="0" borderId="6" xfId="0" applyNumberFormat="1" applyFont="1" applyBorder="1"/>
    <xf numFmtId="0" fontId="1" fillId="0" borderId="7" xfId="0" applyNumberFormat="1" applyFont="1" applyBorder="1"/>
    <xf numFmtId="183" fontId="1" fillId="0" borderId="7" xfId="0" applyNumberFormat="1" applyFont="1" applyBorder="1" applyAlignment="1"/>
    <xf numFmtId="170" fontId="1" fillId="0" borderId="7" xfId="0" applyNumberFormat="1" applyFont="1" applyBorder="1" applyAlignment="1">
      <alignment horizontal="right"/>
    </xf>
    <xf numFmtId="0" fontId="1" fillId="0" borderId="3" xfId="0" applyNumberFormat="1" applyFont="1" applyBorder="1"/>
    <xf numFmtId="183" fontId="1" fillId="0" borderId="3" xfId="0" applyNumberFormat="1" applyFont="1" applyBorder="1" applyAlignment="1"/>
    <xf numFmtId="170" fontId="1" fillId="0" borderId="3" xfId="0" applyNumberFormat="1" applyFont="1" applyBorder="1" applyAlignment="1">
      <alignment horizontal="right"/>
    </xf>
    <xf numFmtId="0" fontId="1" fillId="0" borderId="8" xfId="0" applyNumberFormat="1" applyFont="1" applyBorder="1"/>
    <xf numFmtId="183" fontId="1" fillId="0" borderId="8" xfId="0" applyNumberFormat="1" applyFont="1" applyBorder="1" applyAlignment="1"/>
    <xf numFmtId="170" fontId="1" fillId="0" borderId="8" xfId="0" applyNumberFormat="1" applyFont="1" applyBorder="1" applyAlignment="1">
      <alignment horizontal="right"/>
    </xf>
    <xf numFmtId="198" fontId="1" fillId="0" borderId="7" xfId="1" applyNumberFormat="1" applyFont="1" applyBorder="1"/>
    <xf numFmtId="198" fontId="1" fillId="0" borderId="3" xfId="1" applyNumberFormat="1" applyFont="1" applyBorder="1"/>
    <xf numFmtId="198" fontId="1" fillId="0" borderId="8" xfId="1" applyNumberFormat="1" applyFont="1" applyBorder="1"/>
    <xf numFmtId="198" fontId="1" fillId="0" borderId="0" xfId="0" applyNumberFormat="1" applyFont="1"/>
    <xf numFmtId="0" fontId="2" fillId="3" borderId="0" xfId="2" applyFont="1" applyFill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Continuous"/>
    </xf>
    <xf numFmtId="0" fontId="2" fillId="3" borderId="0" xfId="2" applyNumberFormat="1" applyFont="1" applyFill="1" applyAlignment="1">
      <alignment horizontal="centerContinuous"/>
    </xf>
    <xf numFmtId="0" fontId="2" fillId="3" borderId="0" xfId="2" applyFont="1" applyFill="1" applyBorder="1"/>
    <xf numFmtId="0" fontId="2" fillId="3" borderId="0" xfId="2" applyFont="1" applyFill="1" applyBorder="1" applyAlignment="1">
      <alignment horizontal="center"/>
    </xf>
    <xf numFmtId="14" fontId="2" fillId="3" borderId="0" xfId="2" applyNumberFormat="1" applyFont="1" applyFill="1" applyBorder="1" applyAlignment="1">
      <alignment horizontal="center"/>
    </xf>
    <xf numFmtId="178" fontId="2" fillId="3" borderId="0" xfId="0" applyNumberFormat="1" applyFont="1" applyFill="1" applyBorder="1" applyAlignment="1">
      <alignment horizontal="center"/>
    </xf>
    <xf numFmtId="0" fontId="2" fillId="3" borderId="2" xfId="2" applyFont="1" applyFill="1" applyBorder="1"/>
    <xf numFmtId="0" fontId="2" fillId="3" borderId="2" xfId="2" applyFont="1" applyFill="1" applyBorder="1" applyAlignment="1">
      <alignment horizontal="center"/>
    </xf>
    <xf numFmtId="14" fontId="2" fillId="3" borderId="2" xfId="2" applyNumberFormat="1" applyFont="1" applyFill="1" applyBorder="1" applyAlignment="1">
      <alignment horizontal="center"/>
    </xf>
    <xf numFmtId="17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1" fillId="4" borderId="0" xfId="2" applyFont="1" applyFill="1" applyBorder="1"/>
    <xf numFmtId="44" fontId="11" fillId="4" borderId="0" xfId="2" applyNumberFormat="1" applyFont="1" applyFill="1" applyBorder="1"/>
    <xf numFmtId="187" fontId="11" fillId="4" borderId="0" xfId="2" applyNumberFormat="1" applyFont="1" applyFill="1" applyBorder="1"/>
    <xf numFmtId="199" fontId="11" fillId="4" borderId="0" xfId="2" applyNumberFormat="1" applyFont="1" applyFill="1" applyBorder="1"/>
    <xf numFmtId="181" fontId="11" fillId="4" borderId="0" xfId="2" applyNumberFormat="1" applyFont="1" applyFill="1" applyBorder="1"/>
    <xf numFmtId="188" fontId="11" fillId="4" borderId="0" xfId="2" applyNumberFormat="1" applyFont="1" applyFill="1" applyBorder="1"/>
    <xf numFmtId="176" fontId="11" fillId="4" borderId="0" xfId="2" applyNumberFormat="1" applyFont="1" applyFill="1" applyBorder="1"/>
    <xf numFmtId="0" fontId="5" fillId="4" borderId="0" xfId="0" applyFont="1" applyFill="1"/>
    <xf numFmtId="0" fontId="13" fillId="4" borderId="0" xfId="0" applyFont="1" applyFill="1"/>
    <xf numFmtId="0" fontId="15" fillId="4" borderId="0" xfId="0" applyFont="1" applyFill="1"/>
    <xf numFmtId="0" fontId="2" fillId="0" borderId="6" xfId="2" applyFont="1" applyFill="1" applyBorder="1"/>
    <xf numFmtId="44" fontId="2" fillId="0" borderId="6" xfId="2" applyNumberFormat="1" applyFont="1" applyFill="1" applyBorder="1"/>
    <xf numFmtId="187" fontId="2" fillId="0" borderId="6" xfId="2" applyNumberFormat="1" applyFont="1" applyFill="1" applyBorder="1"/>
    <xf numFmtId="42" fontId="2" fillId="0" borderId="6" xfId="2" applyNumberFormat="1" applyFont="1" applyFill="1" applyBorder="1" applyAlignment="1">
      <alignment horizontal="right"/>
    </xf>
    <xf numFmtId="184" fontId="2" fillId="0" borderId="6" xfId="2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87" fontId="2" fillId="0" borderId="5" xfId="0" applyNumberFormat="1" applyFont="1" applyFill="1" applyBorder="1" applyAlignment="1">
      <alignment horizontal="right"/>
    </xf>
    <xf numFmtId="198" fontId="2" fillId="3" borderId="2" xfId="0" applyNumberFormat="1" applyFont="1" applyFill="1" applyBorder="1"/>
    <xf numFmtId="198" fontId="2" fillId="3" borderId="0" xfId="1" applyNumberFormat="1" applyFont="1" applyFill="1"/>
  </cellXfs>
  <cellStyles count="8">
    <cellStyle name="_x000a_386grabber=M" xfId="3" xr:uid="{B5EBA3B7-2A9B-4488-8014-D15FD9ED2C5F}"/>
    <cellStyle name="Currency" xfId="1" builtinId="4"/>
    <cellStyle name="Normal" xfId="0" builtinId="0"/>
    <cellStyle name="Normal 2" xfId="2" xr:uid="{8CC887B4-D342-4C4D-82B9-A1059EE5B0A9}"/>
    <cellStyle name="Normal 3 2" xfId="4" xr:uid="{34B319A1-3AD0-437B-95B5-57CD00997DC9}"/>
    <cellStyle name="Normal 3 4" xfId="7" xr:uid="{CB81A57A-9C76-4301-82B1-D38B9A9E8993}"/>
    <cellStyle name="Normal 5 2" xfId="6" xr:uid="{CF30E174-F2BF-4E04-B943-AE4D13E8E4F2}"/>
    <cellStyle name="TextNormal" xfId="5" xr:uid="{D58C7F96-63AA-4445-AD59-002F28B42DDC}"/>
  </cellStyles>
  <dxfs count="0"/>
  <tableStyles count="0" defaultTableStyle="TableStyleMedium2" defaultPivotStyle="PivotStyleLight16"/>
  <colors>
    <mruColors>
      <color rgb="FFFFD9D9"/>
      <color rgb="FFFFB9B9"/>
      <color rgb="FFFF7C80"/>
      <color rgb="FF701304"/>
      <color rgb="FF006699"/>
      <color rgb="FF0033CC"/>
      <color rgb="FFFFA7A7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Ascenty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Valuation - Range of Implied 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Valuation!$D$32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Valuation!$B$34:$B$45</c:f>
              <c:strCache>
                <c:ptCount val="12"/>
                <c:pt idx="0">
                  <c:v>LTM - EV / Revenue</c:v>
                </c:pt>
                <c:pt idx="1">
                  <c:v>FY22 - EV / Revenue</c:v>
                </c:pt>
                <c:pt idx="2">
                  <c:v>FY23 - EV / Revenue</c:v>
                </c:pt>
                <c:pt idx="3">
                  <c:v>LTM - EV / EBITDA</c:v>
                </c:pt>
                <c:pt idx="4">
                  <c:v>FY22 - EV / EBITDA</c:v>
                </c:pt>
                <c:pt idx="5">
                  <c:v>FY23 - EV / EBITDA</c:v>
                </c:pt>
                <c:pt idx="6">
                  <c:v>LTM - EV / EBIT</c:v>
                </c:pt>
                <c:pt idx="7">
                  <c:v>FY22 - EV / EBIT</c:v>
                </c:pt>
                <c:pt idx="8">
                  <c:v>FY23 - EV / EBIT</c:v>
                </c:pt>
                <c:pt idx="9">
                  <c:v>LTM - P / E Multiple</c:v>
                </c:pt>
                <c:pt idx="10">
                  <c:v>FY22 - P / E Multiple</c:v>
                </c:pt>
                <c:pt idx="11">
                  <c:v>FY23 - P / E Multiple</c:v>
                </c:pt>
              </c:strCache>
            </c:strRef>
          </c:cat>
          <c:val>
            <c:numRef>
              <c:f>Valuation!$D$34:$D$45</c:f>
              <c:numCache>
                <c:formatCode>_([$$-409]* #,##0.00_);_([$$-409]* \(#,##0.00\);_([$$-409]* "-"??_);_(@_)</c:formatCode>
                <c:ptCount val="12"/>
                <c:pt idx="0">
                  <c:v>7.2883072718536974</c:v>
                </c:pt>
                <c:pt idx="1">
                  <c:v>6.5062921440120398</c:v>
                </c:pt>
                <c:pt idx="2">
                  <c:v>7.6514412447701732</c:v>
                </c:pt>
                <c:pt idx="3">
                  <c:v>9.0356205134520255</c:v>
                </c:pt>
                <c:pt idx="4">
                  <c:v>10.765548910980476</c:v>
                </c:pt>
                <c:pt idx="5">
                  <c:v>10.356934119048727</c:v>
                </c:pt>
                <c:pt idx="6">
                  <c:v>1.9668919653922941</c:v>
                </c:pt>
                <c:pt idx="7">
                  <c:v>8.6520989439414002</c:v>
                </c:pt>
                <c:pt idx="8">
                  <c:v>0.99969318577666222</c:v>
                </c:pt>
                <c:pt idx="9">
                  <c:v>0.52970578263485635</c:v>
                </c:pt>
                <c:pt idx="10">
                  <c:v>0</c:v>
                </c:pt>
                <c:pt idx="11">
                  <c:v>4.0305829635133037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B2-4611-AB65-9F3F31167929}"/>
            </c:ext>
          </c:extLst>
        </c:ser>
        <c:ser>
          <c:idx val="2"/>
          <c:order val="2"/>
          <c:tx>
            <c:v>25th to Median</c:v>
          </c:tx>
          <c:spPr>
            <a:solidFill>
              <a:schemeClr val="bg2">
                <a:lumMod val="7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Valuation!$B$34:$B$45</c:f>
              <c:strCache>
                <c:ptCount val="12"/>
                <c:pt idx="0">
                  <c:v>LTM - EV / Revenue</c:v>
                </c:pt>
                <c:pt idx="1">
                  <c:v>FY22 - EV / Revenue</c:v>
                </c:pt>
                <c:pt idx="2">
                  <c:v>FY23 - EV / Revenue</c:v>
                </c:pt>
                <c:pt idx="3">
                  <c:v>LTM - EV / EBITDA</c:v>
                </c:pt>
                <c:pt idx="4">
                  <c:v>FY22 - EV / EBITDA</c:v>
                </c:pt>
                <c:pt idx="5">
                  <c:v>FY23 - EV / EBITDA</c:v>
                </c:pt>
                <c:pt idx="6">
                  <c:v>LTM - EV / EBIT</c:v>
                </c:pt>
                <c:pt idx="7">
                  <c:v>FY22 - EV / EBIT</c:v>
                </c:pt>
                <c:pt idx="8">
                  <c:v>FY23 - EV / EBIT</c:v>
                </c:pt>
                <c:pt idx="9">
                  <c:v>LTM - P / E Multiple</c:v>
                </c:pt>
                <c:pt idx="10">
                  <c:v>FY22 - P / E Multiple</c:v>
                </c:pt>
                <c:pt idx="11">
                  <c:v>FY23 - P / E Multiple</c:v>
                </c:pt>
              </c:strCache>
            </c:strRef>
          </c:cat>
          <c:val>
            <c:numRef>
              <c:f>Valuation!$E$34:$E$45</c:f>
              <c:numCache>
                <c:formatCode>_([$$-409]* #,##0.00_);_([$$-409]* \(#,##0.00\);_([$$-409]* "-"??_);_(@_)</c:formatCode>
                <c:ptCount val="12"/>
                <c:pt idx="0">
                  <c:v>4.1151867049703261</c:v>
                </c:pt>
                <c:pt idx="1">
                  <c:v>5.3626349700398084</c:v>
                </c:pt>
                <c:pt idx="2">
                  <c:v>4.9785172045657129</c:v>
                </c:pt>
                <c:pt idx="3">
                  <c:v>1.83374388768312</c:v>
                </c:pt>
                <c:pt idx="4">
                  <c:v>3.794317154121881</c:v>
                </c:pt>
                <c:pt idx="5">
                  <c:v>0.57215221186369014</c:v>
                </c:pt>
                <c:pt idx="6">
                  <c:v>8.0259007852027935</c:v>
                </c:pt>
                <c:pt idx="7">
                  <c:v>14.974288004974781</c:v>
                </c:pt>
                <c:pt idx="8">
                  <c:v>7.7767255825222588</c:v>
                </c:pt>
                <c:pt idx="9">
                  <c:v>6.5636283230588548</c:v>
                </c:pt>
                <c:pt idx="10">
                  <c:v>19.093947277117355</c:v>
                </c:pt>
                <c:pt idx="11">
                  <c:v>10.400249558345124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B2-4611-AB65-9F3F31167929}"/>
            </c:ext>
          </c:extLst>
        </c:ser>
        <c:ser>
          <c:idx val="3"/>
          <c:order val="3"/>
          <c:tx>
            <c:v>Median to 75th</c:v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Valuation!$B$34:$B$45</c:f>
              <c:strCache>
                <c:ptCount val="12"/>
                <c:pt idx="0">
                  <c:v>LTM - EV / Revenue</c:v>
                </c:pt>
                <c:pt idx="1">
                  <c:v>FY22 - EV / Revenue</c:v>
                </c:pt>
                <c:pt idx="2">
                  <c:v>FY23 - EV / Revenue</c:v>
                </c:pt>
                <c:pt idx="3">
                  <c:v>LTM - EV / EBITDA</c:v>
                </c:pt>
                <c:pt idx="4">
                  <c:v>FY22 - EV / EBITDA</c:v>
                </c:pt>
                <c:pt idx="5">
                  <c:v>FY23 - EV / EBITDA</c:v>
                </c:pt>
                <c:pt idx="6">
                  <c:v>LTM - EV / EBIT</c:v>
                </c:pt>
                <c:pt idx="7">
                  <c:v>FY22 - EV / EBIT</c:v>
                </c:pt>
                <c:pt idx="8">
                  <c:v>FY23 - EV / EBIT</c:v>
                </c:pt>
                <c:pt idx="9">
                  <c:v>LTM - P / E Multiple</c:v>
                </c:pt>
                <c:pt idx="10">
                  <c:v>FY22 - P / E Multiple</c:v>
                </c:pt>
                <c:pt idx="11">
                  <c:v>FY23 - P / E Multiple</c:v>
                </c:pt>
              </c:strCache>
            </c:strRef>
          </c:cat>
          <c:val>
            <c:numRef>
              <c:f>Valuation!$F$34:$F$45</c:f>
              <c:numCache>
                <c:formatCode>_([$$-409]* #,##0.00_);_([$$-409]* \(#,##0.00\);_([$$-409]* "-"??_);_(@_)</c:formatCode>
                <c:ptCount val="12"/>
                <c:pt idx="0">
                  <c:v>15.427976783328855</c:v>
                </c:pt>
                <c:pt idx="1">
                  <c:v>15.398035507436811</c:v>
                </c:pt>
                <c:pt idx="2">
                  <c:v>18.026897749260502</c:v>
                </c:pt>
                <c:pt idx="3">
                  <c:v>12.852939596431019</c:v>
                </c:pt>
                <c:pt idx="4">
                  <c:v>15.066950822230201</c:v>
                </c:pt>
                <c:pt idx="5">
                  <c:v>15.742450154609289</c:v>
                </c:pt>
                <c:pt idx="6">
                  <c:v>6.5307178927365115</c:v>
                </c:pt>
                <c:pt idx="7">
                  <c:v>9.1970732329174858</c:v>
                </c:pt>
                <c:pt idx="8">
                  <c:v>3.7944665082181483</c:v>
                </c:pt>
                <c:pt idx="9">
                  <c:v>1.0594115652697118</c:v>
                </c:pt>
                <c:pt idx="10">
                  <c:v>0</c:v>
                </c:pt>
                <c:pt idx="11">
                  <c:v>5.1347369698331189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B2-4611-AB65-9F3F31167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115968"/>
        <c:axId val="454117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Valuation!$C$32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Valuation!$B$34:$B$45</c15:sqref>
                        </c15:formulaRef>
                      </c:ext>
                    </c:extLst>
                    <c:strCache>
                      <c:ptCount val="12"/>
                      <c:pt idx="0">
                        <c:v>LTM - EV / Revenue</c:v>
                      </c:pt>
                      <c:pt idx="1">
                        <c:v>FY22 - EV / Revenue</c:v>
                      </c:pt>
                      <c:pt idx="2">
                        <c:v>FY23 - EV / Revenue</c:v>
                      </c:pt>
                      <c:pt idx="3">
                        <c:v>LTM - EV / EBITDA</c:v>
                      </c:pt>
                      <c:pt idx="4">
                        <c:v>FY22 - EV / EBITDA</c:v>
                      </c:pt>
                      <c:pt idx="5">
                        <c:v>FY23 - EV / EBITDA</c:v>
                      </c:pt>
                      <c:pt idx="6">
                        <c:v>LTM - EV / EBIT</c:v>
                      </c:pt>
                      <c:pt idx="7">
                        <c:v>FY22 - EV / EBIT</c:v>
                      </c:pt>
                      <c:pt idx="8">
                        <c:v>FY23 - EV / EBIT</c:v>
                      </c:pt>
                      <c:pt idx="9">
                        <c:v>LTM - P / E Multiple</c:v>
                      </c:pt>
                      <c:pt idx="10">
                        <c:v>FY22 - P / E Multiple</c:v>
                      </c:pt>
                      <c:pt idx="11">
                        <c:v>FY23 - P / E Multiple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Valuation!$C$34:$C$45</c15:sqref>
                        </c15:formulaRef>
                      </c:ext>
                    </c:extLst>
                    <c:numCache>
                      <c:formatCode>_([$$-409]* #,##0.00_);_([$$-409]* \(#,##0.00\);_([$$-409]* "-"??_);_(@_)</c:formatCode>
                      <c:ptCount val="12"/>
                      <c:pt idx="0">
                        <c:v>-2.6074400468668371</c:v>
                      </c:pt>
                      <c:pt idx="1">
                        <c:v>-2.3536704897545939</c:v>
                      </c:pt>
                      <c:pt idx="2">
                        <c:v>-2.203669253731678</c:v>
                      </c:pt>
                      <c:pt idx="3">
                        <c:v>-0.78447435765638418</c:v>
                      </c:pt>
                      <c:pt idx="4">
                        <c:v>-5.1554856205272032E-2</c:v>
                      </c:pt>
                      <c:pt idx="5">
                        <c:v>-0.39197773915580386</c:v>
                      </c:pt>
                      <c:pt idx="6">
                        <c:v>2.7937365946726573</c:v>
                      </c:pt>
                      <c:pt idx="7">
                        <c:v>11.754854403266066</c:v>
                      </c:pt>
                      <c:pt idx="8">
                        <c:v>5.4214414440784511</c:v>
                      </c:pt>
                      <c:pt idx="9">
                        <c:v>6.0339225404239984</c:v>
                      </c:pt>
                      <c:pt idx="10">
                        <c:v>19.093947277117355</c:v>
                      </c:pt>
                      <c:pt idx="11">
                        <c:v>6.3696665948318216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8B2-4611-AB65-9F3F3116792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Valuation!$G$32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Valuation!$B$34:$B$45</c15:sqref>
                        </c15:formulaRef>
                      </c:ext>
                    </c:extLst>
                    <c:strCache>
                      <c:ptCount val="12"/>
                      <c:pt idx="0">
                        <c:v>LTM - EV / Revenue</c:v>
                      </c:pt>
                      <c:pt idx="1">
                        <c:v>FY22 - EV / Revenue</c:v>
                      </c:pt>
                      <c:pt idx="2">
                        <c:v>FY23 - EV / Revenue</c:v>
                      </c:pt>
                      <c:pt idx="3">
                        <c:v>LTM - EV / EBITDA</c:v>
                      </c:pt>
                      <c:pt idx="4">
                        <c:v>FY22 - EV / EBITDA</c:v>
                      </c:pt>
                      <c:pt idx="5">
                        <c:v>FY23 - EV / EBITDA</c:v>
                      </c:pt>
                      <c:pt idx="6">
                        <c:v>LTM - EV / EBIT</c:v>
                      </c:pt>
                      <c:pt idx="7">
                        <c:v>FY22 - EV / EBIT</c:v>
                      </c:pt>
                      <c:pt idx="8">
                        <c:v>FY23 - EV / EBIT</c:v>
                      </c:pt>
                      <c:pt idx="9">
                        <c:v>LTM - P / E Multiple</c:v>
                      </c:pt>
                      <c:pt idx="10">
                        <c:v>FY22 - P / E Multiple</c:v>
                      </c:pt>
                      <c:pt idx="11">
                        <c:v>FY23 - P / E Multiple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Valuation!$G$34:$G$45</c15:sqref>
                        </c15:formulaRef>
                      </c:ext>
                    </c:extLst>
                    <c:numCache>
                      <c:formatCode>_([$$-409]* #,##0.00_);_([$$-409]* \(#,##0.00\);_([$$-409]* "-"??_);_(@_)</c:formatCode>
                      <c:ptCount val="12"/>
                      <c:pt idx="0">
                        <c:v>10.650741689245216</c:v>
                      </c:pt>
                      <c:pt idx="1">
                        <c:v>12.305984418722149</c:v>
                      </c:pt>
                      <c:pt idx="2">
                        <c:v>10.708814647982614</c:v>
                      </c:pt>
                      <c:pt idx="3">
                        <c:v>13.697047453922364</c:v>
                      </c:pt>
                      <c:pt idx="4">
                        <c:v>12.484095271039749</c:v>
                      </c:pt>
                      <c:pt idx="5">
                        <c:v>10.606262787589538</c:v>
                      </c:pt>
                      <c:pt idx="6">
                        <c:v>12.994502225595049</c:v>
                      </c:pt>
                      <c:pt idx="7">
                        <c:v>15.603009010718292</c:v>
                      </c:pt>
                      <c:pt idx="8">
                        <c:v>10.094886320291961</c:v>
                      </c:pt>
                      <c:pt idx="9">
                        <c:v>7.0933341056937111</c:v>
                      </c:pt>
                      <c:pt idx="10">
                        <c:v>19.093947277117355</c:v>
                      </c:pt>
                      <c:pt idx="11">
                        <c:v>11.504403564664935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8B2-4611-AB65-9F3F31167929}"/>
                  </c:ext>
                </c:extLst>
              </c15:ser>
            </c15:filteredBarSeries>
          </c:ext>
        </c:extLst>
      </c:barChart>
      <c:catAx>
        <c:axId val="45411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4117888"/>
        <c:crosses val="autoZero"/>
        <c:auto val="1"/>
        <c:lblAlgn val="ctr"/>
        <c:lblOffset val="100"/>
        <c:noMultiLvlLbl val="0"/>
      </c:catAx>
      <c:valAx>
        <c:axId val="45411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Ascenty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Valuation - Range of Implied Equity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Valuation!$L$32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Valuation!$B$34:$B$45</c:f>
              <c:strCache>
                <c:ptCount val="12"/>
                <c:pt idx="0">
                  <c:v>LTM - EV / Revenue</c:v>
                </c:pt>
                <c:pt idx="1">
                  <c:v>FY22 - EV / Revenue</c:v>
                </c:pt>
                <c:pt idx="2">
                  <c:v>FY23 - EV / Revenue</c:v>
                </c:pt>
                <c:pt idx="3">
                  <c:v>LTM - EV / EBITDA</c:v>
                </c:pt>
                <c:pt idx="4">
                  <c:v>FY22 - EV / EBITDA</c:v>
                </c:pt>
                <c:pt idx="5">
                  <c:v>FY23 - EV / EBITDA</c:v>
                </c:pt>
                <c:pt idx="6">
                  <c:v>LTM - EV / EBIT</c:v>
                </c:pt>
                <c:pt idx="7">
                  <c:v>FY22 - EV / EBIT</c:v>
                </c:pt>
                <c:pt idx="8">
                  <c:v>FY23 - EV / EBIT</c:v>
                </c:pt>
                <c:pt idx="9">
                  <c:v>LTM - P / E Multiple</c:v>
                </c:pt>
                <c:pt idx="10">
                  <c:v>FY22 - P / E Multiple</c:v>
                </c:pt>
                <c:pt idx="11">
                  <c:v>FY23 - P / E Multiple</c:v>
                </c:pt>
              </c:strCache>
            </c:strRef>
          </c:cat>
          <c:val>
            <c:numRef>
              <c:f>Valuation!$L$34:$L$45</c:f>
              <c:numCache>
                <c:formatCode>_([$$-409]* #,##0.00_);_([$$-409]* \(#,##0.00\);_([$$-409]* "-"??_);_(@_)</c:formatCode>
                <c:ptCount val="12"/>
                <c:pt idx="0">
                  <c:v>1416.8295291705936</c:v>
                </c:pt>
                <c:pt idx="1">
                  <c:v>1264.8076557703007</c:v>
                </c:pt>
                <c:pt idx="2">
                  <c:v>1487.4219063416292</c:v>
                </c:pt>
                <c:pt idx="3">
                  <c:v>1756.5030507532877</c:v>
                </c:pt>
                <c:pt idx="4">
                  <c:v>2092.797000163805</c:v>
                </c:pt>
                <c:pt idx="5">
                  <c:v>2013.3632603843964</c:v>
                </c:pt>
                <c:pt idx="6">
                  <c:v>382.3591011342487</c:v>
                </c:pt>
                <c:pt idx="7">
                  <c:v>1681.9473734899302</c:v>
                </c:pt>
                <c:pt idx="8">
                  <c:v>194.33796804765552</c:v>
                </c:pt>
                <c:pt idx="9">
                  <c:v>102.97353920680712</c:v>
                </c:pt>
                <c:pt idx="10">
                  <c:v>0</c:v>
                </c:pt>
                <c:pt idx="11">
                  <c:v>783.53570307486939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9-4E9A-8A89-AE234B295B3F}"/>
            </c:ext>
          </c:extLst>
        </c:ser>
        <c:ser>
          <c:idx val="2"/>
          <c:order val="2"/>
          <c:tx>
            <c:v>25th to Median</c:v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Valuation!$B$34:$B$45</c:f>
              <c:strCache>
                <c:ptCount val="12"/>
                <c:pt idx="0">
                  <c:v>LTM - EV / Revenue</c:v>
                </c:pt>
                <c:pt idx="1">
                  <c:v>FY22 - EV / Revenue</c:v>
                </c:pt>
                <c:pt idx="2">
                  <c:v>FY23 - EV / Revenue</c:v>
                </c:pt>
                <c:pt idx="3">
                  <c:v>LTM - EV / EBITDA</c:v>
                </c:pt>
                <c:pt idx="4">
                  <c:v>FY22 - EV / EBITDA</c:v>
                </c:pt>
                <c:pt idx="5">
                  <c:v>FY23 - EV / EBITDA</c:v>
                </c:pt>
                <c:pt idx="6">
                  <c:v>LTM - EV / EBIT</c:v>
                </c:pt>
                <c:pt idx="7">
                  <c:v>FY22 - EV / EBIT</c:v>
                </c:pt>
                <c:pt idx="8">
                  <c:v>FY23 - EV / EBIT</c:v>
                </c:pt>
                <c:pt idx="9">
                  <c:v>LTM - P / E Multiple</c:v>
                </c:pt>
                <c:pt idx="10">
                  <c:v>FY22 - P / E Multiple</c:v>
                </c:pt>
                <c:pt idx="11">
                  <c:v>FY23 - P / E Multiple</c:v>
                </c:pt>
              </c:strCache>
            </c:strRef>
          </c:cat>
          <c:val>
            <c:numRef>
              <c:f>Valuation!$M$34:$M$45</c:f>
              <c:numCache>
                <c:formatCode>_([$$-409]* #,##0.00_);_([$$-409]* \(#,##0.00\);_([$$-409]* "-"??_);_(@_)</c:formatCode>
                <c:ptCount val="12"/>
                <c:pt idx="0">
                  <c:v>799.98246838037994</c:v>
                </c:pt>
                <c:pt idx="1">
                  <c:v>1042.4834322034303</c:v>
                </c:pt>
                <c:pt idx="2">
                  <c:v>967.81185586849028</c:v>
                </c:pt>
                <c:pt idx="3">
                  <c:v>356.47543278519493</c:v>
                </c:pt>
                <c:pt idx="4">
                  <c:v>737.60619393192974</c:v>
                </c:pt>
                <c:pt idx="5">
                  <c:v>111.22502368681921</c:v>
                </c:pt>
                <c:pt idx="6">
                  <c:v>1560.2159467923482</c:v>
                </c:pt>
                <c:pt idx="7">
                  <c:v>2910.9658295673416</c:v>
                </c:pt>
                <c:pt idx="8">
                  <c:v>1511.7768824216362</c:v>
                </c:pt>
                <c:pt idx="9">
                  <c:v>1275.9536720582059</c:v>
                </c:pt>
                <c:pt idx="10">
                  <c:v>3711.8177543255165</c:v>
                </c:pt>
                <c:pt idx="11">
                  <c:v>2021.783678346347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9-4E9A-8A89-AE234B295B3F}"/>
            </c:ext>
          </c:extLst>
        </c:ser>
        <c:ser>
          <c:idx val="3"/>
          <c:order val="3"/>
          <c:tx>
            <c:v>Median to 75th</c:v>
          </c:tx>
          <c:spPr>
            <a:solidFill>
              <a:srgbClr val="FF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Valuation!$B$34:$B$45</c:f>
              <c:strCache>
                <c:ptCount val="12"/>
                <c:pt idx="0">
                  <c:v>LTM - EV / Revenue</c:v>
                </c:pt>
                <c:pt idx="1">
                  <c:v>FY22 - EV / Revenue</c:v>
                </c:pt>
                <c:pt idx="2">
                  <c:v>FY23 - EV / Revenue</c:v>
                </c:pt>
                <c:pt idx="3">
                  <c:v>LTM - EV / EBITDA</c:v>
                </c:pt>
                <c:pt idx="4">
                  <c:v>FY22 - EV / EBITDA</c:v>
                </c:pt>
                <c:pt idx="5">
                  <c:v>FY23 - EV / EBITDA</c:v>
                </c:pt>
                <c:pt idx="6">
                  <c:v>LTM - EV / EBIT</c:v>
                </c:pt>
                <c:pt idx="7">
                  <c:v>FY22 - EV / EBIT</c:v>
                </c:pt>
                <c:pt idx="8">
                  <c:v>FY23 - EV / EBIT</c:v>
                </c:pt>
                <c:pt idx="9">
                  <c:v>LTM - P / E Multiple</c:v>
                </c:pt>
                <c:pt idx="10">
                  <c:v>FY22 - P / E Multiple</c:v>
                </c:pt>
                <c:pt idx="11">
                  <c:v>FY23 - P / E Multiple</c:v>
                </c:pt>
              </c:strCache>
            </c:strRef>
          </c:cat>
          <c:val>
            <c:numRef>
              <c:f>Valuation!$N$34:$N$46</c:f>
              <c:numCache>
                <c:formatCode>_([$$-409]* #,##0.00_);_([$$-409]* \(#,##0.00\);_([$$-409]* "-"??_);_(@_)</c:formatCode>
                <c:ptCount val="13"/>
                <c:pt idx="0">
                  <c:v>2999.1618446705716</c:v>
                </c:pt>
                <c:pt idx="1">
                  <c:v>2993.3413321369244</c:v>
                </c:pt>
                <c:pt idx="2">
                  <c:v>3504.3858742244165</c:v>
                </c:pt>
                <c:pt idx="3">
                  <c:v>2498.5807647264337</c:v>
                </c:pt>
                <c:pt idx="4">
                  <c:v>2928.9792599629873</c:v>
                </c:pt>
                <c:pt idx="5">
                  <c:v>3060.2947170850766</c:v>
                </c:pt>
                <c:pt idx="6">
                  <c:v>1269.5559629936499</c:v>
                </c:pt>
                <c:pt idx="7">
                  <c:v>1787.8890738682794</c:v>
                </c:pt>
                <c:pt idx="8">
                  <c:v>737.63522801158638</c:v>
                </c:pt>
                <c:pt idx="9">
                  <c:v>205.94707841361424</c:v>
                </c:pt>
                <c:pt idx="10">
                  <c:v>0</c:v>
                </c:pt>
                <c:pt idx="11">
                  <c:v>998.18060518367406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9-4E9A-8A89-AE234B29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115968"/>
        <c:axId val="454117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Valuation!$K$32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Valuation!$B$34:$B$45</c15:sqref>
                        </c15:formulaRef>
                      </c:ext>
                    </c:extLst>
                    <c:strCache>
                      <c:ptCount val="12"/>
                      <c:pt idx="0">
                        <c:v>LTM - EV / Revenue</c:v>
                      </c:pt>
                      <c:pt idx="1">
                        <c:v>FY22 - EV / Revenue</c:v>
                      </c:pt>
                      <c:pt idx="2">
                        <c:v>FY23 - EV / Revenue</c:v>
                      </c:pt>
                      <c:pt idx="3">
                        <c:v>LTM - EV / EBITDA</c:v>
                      </c:pt>
                      <c:pt idx="4">
                        <c:v>FY22 - EV / EBITDA</c:v>
                      </c:pt>
                      <c:pt idx="5">
                        <c:v>FY23 - EV / EBITDA</c:v>
                      </c:pt>
                      <c:pt idx="6">
                        <c:v>LTM - EV / EBIT</c:v>
                      </c:pt>
                      <c:pt idx="7">
                        <c:v>FY22 - EV / EBIT</c:v>
                      </c:pt>
                      <c:pt idx="8">
                        <c:v>FY23 - EV / EBIT</c:v>
                      </c:pt>
                      <c:pt idx="9">
                        <c:v>LTM - P / E Multiple</c:v>
                      </c:pt>
                      <c:pt idx="10">
                        <c:v>FY22 - P / E Multiple</c:v>
                      </c:pt>
                      <c:pt idx="11">
                        <c:v>FY23 - P / E Multiple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Valuation!$K$34:$K$45</c15:sqref>
                        </c15:formulaRef>
                      </c:ext>
                    </c:extLst>
                    <c:numCache>
                      <c:formatCode>_([$$-409]* #,##0.00_);_([$$-409]* \(#,##0.00\);_([$$-409]* "-"??_);_(@_)</c:formatCode>
                      <c:ptCount val="12"/>
                      <c:pt idx="0">
                        <c:v>-506.88011854408126</c:v>
                      </c:pt>
                      <c:pt idx="1">
                        <c:v>-457.54792264316359</c:v>
                      </c:pt>
                      <c:pt idx="2">
                        <c:v>-428.38804056326035</c:v>
                      </c:pt>
                      <c:pt idx="3">
                        <c:v>-152.49994180363501</c:v>
                      </c:pt>
                      <c:pt idx="4">
                        <c:v>-10.022140933308265</c:v>
                      </c:pt>
                      <c:pt idx="5">
                        <c:v>-76.199536449047173</c:v>
                      </c:pt>
                      <c:pt idx="6">
                        <c:v>543.09572256137653</c:v>
                      </c:pt>
                      <c:pt idx="7">
                        <c:v>2285.1156254026082</c:v>
                      </c:pt>
                      <c:pt idx="8">
                        <c:v>1053.9152703266825</c:v>
                      </c:pt>
                      <c:pt idx="9">
                        <c:v>1172.9801328513988</c:v>
                      </c:pt>
                      <c:pt idx="10">
                        <c:v>3711.8177543255165</c:v>
                      </c:pt>
                      <c:pt idx="11">
                        <c:v>1238.2479752714778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0F9-4E9A-8A89-AE234B295B3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Valuation!$O$32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Valuation!$B$34:$B$45</c15:sqref>
                        </c15:formulaRef>
                      </c:ext>
                    </c:extLst>
                    <c:strCache>
                      <c:ptCount val="12"/>
                      <c:pt idx="0">
                        <c:v>LTM - EV / Revenue</c:v>
                      </c:pt>
                      <c:pt idx="1">
                        <c:v>FY22 - EV / Revenue</c:v>
                      </c:pt>
                      <c:pt idx="2">
                        <c:v>FY23 - EV / Revenue</c:v>
                      </c:pt>
                      <c:pt idx="3">
                        <c:v>LTM - EV / EBITDA</c:v>
                      </c:pt>
                      <c:pt idx="4">
                        <c:v>FY22 - EV / EBITDA</c:v>
                      </c:pt>
                      <c:pt idx="5">
                        <c:v>FY23 - EV / EBITDA</c:v>
                      </c:pt>
                      <c:pt idx="6">
                        <c:v>LTM - EV / EBIT</c:v>
                      </c:pt>
                      <c:pt idx="7">
                        <c:v>FY22 - EV / EBIT</c:v>
                      </c:pt>
                      <c:pt idx="8">
                        <c:v>FY23 - EV / EBIT</c:v>
                      </c:pt>
                      <c:pt idx="9">
                        <c:v>LTM - P / E Multiple</c:v>
                      </c:pt>
                      <c:pt idx="10">
                        <c:v>FY22 - P / E Multiple</c:v>
                      </c:pt>
                      <c:pt idx="11">
                        <c:v>FY23 - P / E Multiple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Valuation!$O$34:$O$45</c15:sqref>
                        </c15:formulaRef>
                      </c:ext>
                    </c:extLst>
                    <c:numCache>
                      <c:formatCode>_([$$-409]* #,##0.00_);_([$$-409]* \(#,##0.00\);_([$$-409]* "-"??_);_(@_)</c:formatCode>
                      <c:ptCount val="12"/>
                      <c:pt idx="0">
                        <c:v>2070.4787504181159</c:v>
                      </c:pt>
                      <c:pt idx="1">
                        <c:v>2392.2539843087943</c:v>
                      </c:pt>
                      <c:pt idx="2">
                        <c:v>2081.7679949184412</c:v>
                      </c:pt>
                      <c:pt idx="3">
                        <c:v>2662.6733164931884</c:v>
                      </c:pt>
                      <c:pt idx="4">
                        <c:v>2426.8783086706208</c:v>
                      </c:pt>
                      <c:pt idx="5">
                        <c:v>2061.8321581518694</c:v>
                      </c:pt>
                      <c:pt idx="6">
                        <c:v>2526.100201784363</c:v>
                      </c:pt>
                      <c:pt idx="7">
                        <c:v>3033.1876916981182</c:v>
                      </c:pt>
                      <c:pt idx="8">
                        <c:v>1962.4217940762244</c:v>
                      </c:pt>
                      <c:pt idx="9">
                        <c:v>1378.9272112650131</c:v>
                      </c:pt>
                      <c:pt idx="10">
                        <c:v>3711.8177543255165</c:v>
                      </c:pt>
                      <c:pt idx="11">
                        <c:v>2236.428580455151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0F9-4E9A-8A89-AE234B295B3F}"/>
                  </c:ext>
                </c:extLst>
              </c15:ser>
            </c15:filteredBarSeries>
          </c:ext>
        </c:extLst>
      </c:barChart>
      <c:catAx>
        <c:axId val="45411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4117888"/>
        <c:crosses val="autoZero"/>
        <c:auto val="1"/>
        <c:lblAlgn val="ctr"/>
        <c:lblOffset val="100"/>
        <c:noMultiLvlLbl val="0"/>
      </c:catAx>
      <c:valAx>
        <c:axId val="45411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31</xdr:row>
      <xdr:rowOff>61912</xdr:rowOff>
    </xdr:from>
    <xdr:to>
      <xdr:col>10</xdr:col>
      <xdr:colOff>114300</xdr:colOff>
      <xdr:row>52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FEBD9-77FE-E553-2F12-9A4F88164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685800</xdr:colOff>
      <xdr:row>33</xdr:row>
      <xdr:rowOff>142875</xdr:rowOff>
    </xdr:from>
    <xdr:to>
      <xdr:col>3</xdr:col>
      <xdr:colOff>685800</xdr:colOff>
      <xdr:row>50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9CCBC67-AC8C-D731-28AE-AD93E2BB8499}"/>
            </a:ext>
          </a:extLst>
        </xdr:cNvPr>
        <xdr:cNvCxnSpPr/>
      </xdr:nvCxnSpPr>
      <xdr:spPr>
        <a:xfrm>
          <a:off x="3371850" y="5495925"/>
          <a:ext cx="0" cy="2714625"/>
        </a:xfrm>
        <a:prstGeom prst="line">
          <a:avLst/>
        </a:prstGeom>
        <a:ln>
          <a:solidFill>
            <a:srgbClr val="70130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152399</xdr:colOff>
      <xdr:row>31</xdr:row>
      <xdr:rowOff>57152</xdr:rowOff>
    </xdr:from>
    <xdr:to>
      <xdr:col>20</xdr:col>
      <xdr:colOff>438151</xdr:colOff>
      <xdr:row>52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34061F-EF7F-4258-A08A-F380A9901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0.02344</cdr:y>
    </cdr:from>
    <cdr:to>
      <cdr:x>0.20389</cdr:x>
      <cdr:y>0.06722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3511345-AAEA-2EBE-8C0D-519A8D28A849}"/>
            </a:ext>
          </a:extLst>
        </cdr:cNvPr>
        <cdr:cNvSpPr txBox="1"/>
      </cdr:nvSpPr>
      <cdr:spPr>
        <a:xfrm xmlns:a="http://schemas.openxmlformats.org/drawingml/2006/main">
          <a:off x="0" y="107950"/>
          <a:ext cx="2013886" cy="201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Public</a:t>
          </a:r>
          <a:r>
            <a:rPr lang="en-US" sz="9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Comparables:</a:t>
          </a:r>
        </a:p>
      </cdr:txBody>
    </cdr:sp>
  </cdr:relSizeAnchor>
  <cdr:relSizeAnchor xmlns:cdr="http://schemas.openxmlformats.org/drawingml/2006/chartDrawing">
    <cdr:from>
      <cdr:x>0.16918</cdr:x>
      <cdr:y>0.08639</cdr:y>
    </cdr:from>
    <cdr:to>
      <cdr:x>0.43133</cdr:x>
      <cdr:y>0.1358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FB02099-0542-AC28-48DC-0657D782CC90}"/>
            </a:ext>
          </a:extLst>
        </cdr:cNvPr>
        <cdr:cNvSpPr txBox="1"/>
      </cdr:nvSpPr>
      <cdr:spPr>
        <a:xfrm xmlns:a="http://schemas.openxmlformats.org/drawingml/2006/main">
          <a:off x="1337530" y="299932"/>
          <a:ext cx="2072421" cy="171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>
              <a:solidFill>
                <a:srgbClr val="701304"/>
              </a:solidFill>
              <a:latin typeface="Arial" panose="020B0604020202020204" pitchFamily="34" charset="0"/>
              <a:cs typeface="Arial" panose="020B0604020202020204" pitchFamily="34" charset="0"/>
            </a:rPr>
            <a:t>LTM EV/EBITDA Implied Share Price: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0.02344</cdr:y>
    </cdr:from>
    <cdr:to>
      <cdr:x>0.20389</cdr:x>
      <cdr:y>0.06722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3511345-AAEA-2EBE-8C0D-519A8D28A849}"/>
            </a:ext>
          </a:extLst>
        </cdr:cNvPr>
        <cdr:cNvSpPr txBox="1"/>
      </cdr:nvSpPr>
      <cdr:spPr>
        <a:xfrm xmlns:a="http://schemas.openxmlformats.org/drawingml/2006/main">
          <a:off x="0" y="107950"/>
          <a:ext cx="2013886" cy="201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Public</a:t>
          </a:r>
          <a:r>
            <a:rPr lang="en-US" sz="9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Comparables:</a:t>
          </a:r>
        </a:p>
      </cdr:txBody>
    </cdr:sp>
  </cdr:relSizeAnchor>
  <cdr:relSizeAnchor xmlns:cdr="http://schemas.openxmlformats.org/drawingml/2006/chartDrawing">
    <cdr:from>
      <cdr:x>0.15306</cdr:x>
      <cdr:y>0.09863</cdr:y>
    </cdr:from>
    <cdr:to>
      <cdr:x>0.4346</cdr:x>
      <cdr:y>0.1443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FB02099-0542-AC28-48DC-0657D782CC90}"/>
            </a:ext>
          </a:extLst>
        </cdr:cNvPr>
        <cdr:cNvSpPr txBox="1"/>
      </cdr:nvSpPr>
      <cdr:spPr>
        <a:xfrm xmlns:a="http://schemas.openxmlformats.org/drawingml/2006/main">
          <a:off x="1143002" y="342898"/>
          <a:ext cx="2102448" cy="158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>
              <a:solidFill>
                <a:srgbClr val="701304"/>
              </a:solidFill>
              <a:latin typeface="Arial" panose="020B0604020202020204" pitchFamily="34" charset="0"/>
              <a:cs typeface="Arial" panose="020B0604020202020204" pitchFamily="34" charset="0"/>
            </a:rPr>
            <a:t>LTM EV/EBITDA Implied Equity Value:</a:t>
          </a:r>
        </a:p>
      </cdr:txBody>
    </cdr:sp>
  </cdr:relSizeAnchor>
  <cdr:relSizeAnchor xmlns:cdr="http://schemas.openxmlformats.org/drawingml/2006/chartDrawing">
    <cdr:from>
      <cdr:x>0.40561</cdr:x>
      <cdr:y>0.12807</cdr:y>
    </cdr:from>
    <cdr:to>
      <cdr:x>0.40561</cdr:x>
      <cdr:y>0.90736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9CCBC67-AC8C-D731-28AE-AD93E2BB8499}"/>
            </a:ext>
          </a:extLst>
        </cdr:cNvPr>
        <cdr:cNvCxnSpPr/>
      </cdr:nvCxnSpPr>
      <cdr:spPr>
        <a:xfrm xmlns:a="http://schemas.openxmlformats.org/drawingml/2006/main">
          <a:off x="3028951" y="447675"/>
          <a:ext cx="0" cy="27241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701304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gusto\Documents\Breaking%20Into%20IB\M2\7%20-%20Valuation%20and%20DCF%20Cases\07-Valuation-DCF-Analysis-Files\07-STLD-Valuation-DCF-Complete%20@InsightSquad%20Telegram.xlsx" TargetMode="External"/><Relationship Id="rId1" Type="http://schemas.openxmlformats.org/officeDocument/2006/relationships/externalLinkPath" Target="file:///C:\Users\Augusto\Documents\Breaking%20Into%20IB\M2\7%20-%20Valuation%20and%20DCF%20Cases\07-Valuation-DCF-Analysis-Files\07-STLD-Valuation-DCF-Complete%20@InsightSquad%20Tele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LD-DCF"/>
      <sheetName val="WACC"/>
      <sheetName val="Public-Comps"/>
      <sheetName val="M&amp;A-Comps"/>
      <sheetName val="ValSum"/>
      <sheetName val="ValGraph"/>
    </sheetNames>
    <sheetDataSet>
      <sheetData sheetId="0" refreshError="1">
        <row r="8">
          <cell r="F8" t="str">
            <v>Steel Dynamics Inc.</v>
          </cell>
        </row>
        <row r="9">
          <cell r="F9" t="str">
            <v>STLD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8C80-E04F-4F05-88A3-08046EAA34FD}">
  <dimension ref="B1:H10"/>
  <sheetViews>
    <sheetView showGridLines="0" workbookViewId="0">
      <selection activeCell="B16" sqref="B16"/>
    </sheetView>
  </sheetViews>
  <sheetFormatPr defaultRowHeight="12.75" x14ac:dyDescent="0.2"/>
  <cols>
    <col min="1" max="1" width="2.7109375" style="1" customWidth="1"/>
    <col min="2" max="2" width="24.28515625" style="1" customWidth="1"/>
    <col min="3" max="3" width="18" style="1" bestFit="1" customWidth="1"/>
    <col min="4" max="4" width="54.7109375" style="1" customWidth="1"/>
    <col min="5" max="5" width="13.5703125" style="1" customWidth="1"/>
    <col min="6" max="6" width="16.140625" style="1" customWidth="1"/>
    <col min="7" max="7" width="12.5703125" style="1" customWidth="1"/>
    <col min="8" max="8" width="16" style="1" customWidth="1"/>
    <col min="9" max="16384" width="9.140625" style="1"/>
  </cols>
  <sheetData>
    <row r="1" spans="2:8" s="3" customFormat="1" ht="15.75" x14ac:dyDescent="0.25">
      <c r="B1" s="120" t="s">
        <v>1</v>
      </c>
      <c r="C1" s="118"/>
      <c r="D1" s="118"/>
      <c r="E1" s="119"/>
      <c r="F1" s="118"/>
      <c r="G1" s="118"/>
      <c r="H1" s="118"/>
    </row>
    <row r="2" spans="2:8" x14ac:dyDescent="0.2">
      <c r="B2" s="7" t="s">
        <v>3</v>
      </c>
      <c r="C2" s="7" t="s">
        <v>0</v>
      </c>
      <c r="D2" s="7" t="s">
        <v>4</v>
      </c>
      <c r="E2" s="60" t="s">
        <v>30</v>
      </c>
      <c r="F2" s="60" t="s">
        <v>58</v>
      </c>
      <c r="G2" s="60" t="s">
        <v>59</v>
      </c>
      <c r="H2" s="60" t="s">
        <v>60</v>
      </c>
    </row>
    <row r="4" spans="2:8" ht="38.25" customHeight="1" x14ac:dyDescent="0.2">
      <c r="B4" s="8" t="str">
        <f>Comps!B7</f>
        <v xml:space="preserve">Equinix, Inc. </v>
      </c>
      <c r="C4" s="5" t="str">
        <f>+Comps!C7</f>
        <v>EQIX</v>
      </c>
      <c r="D4" s="6" t="s">
        <v>51</v>
      </c>
      <c r="E4" s="61">
        <f>+Comps!G7</f>
        <v>83658.804937599998</v>
      </c>
      <c r="F4" s="61">
        <f>+Comps!L7</f>
        <v>99538.804937599998</v>
      </c>
      <c r="G4" s="61">
        <f>+Comps!M7</f>
        <v>8868</v>
      </c>
      <c r="H4" s="61">
        <f>+Comps!P7</f>
        <v>3443</v>
      </c>
    </row>
    <row r="5" spans="2:8" ht="38.25" customHeight="1" x14ac:dyDescent="0.2">
      <c r="B5" s="8" t="str">
        <f>Comps!B8</f>
        <v xml:space="preserve">GDS Holdings Limited </v>
      </c>
      <c r="C5" s="5" t="str">
        <f>+Comps!C8</f>
        <v>GDS</v>
      </c>
      <c r="D5" s="6" t="s">
        <v>52</v>
      </c>
      <c r="E5" s="61">
        <f>+Comps!G8</f>
        <v>7068.2971723199998</v>
      </c>
      <c r="F5" s="61">
        <f>+Comps!L8</f>
        <v>12899.354724957886</v>
      </c>
      <c r="G5" s="61">
        <f>+Comps!M8</f>
        <v>1524.2378552360199</v>
      </c>
      <c r="H5" s="61">
        <f>+Comps!P8</f>
        <v>623.25912907808299</v>
      </c>
    </row>
    <row r="6" spans="2:8" ht="38.25" customHeight="1" x14ac:dyDescent="0.2">
      <c r="B6" s="8" t="str">
        <f>Comps!B9</f>
        <v xml:space="preserve">NEXTDC Limited </v>
      </c>
      <c r="C6" s="5" t="str">
        <f>+Comps!C9</f>
        <v>NXT</v>
      </c>
      <c r="D6" s="6" t="s">
        <v>53</v>
      </c>
      <c r="E6" s="61">
        <f>+Comps!G9</f>
        <v>5376.1532229154882</v>
      </c>
      <c r="F6" s="61">
        <f>+Comps!L9</f>
        <v>5522.1967243833287</v>
      </c>
      <c r="G6" s="61">
        <f>+Comps!M9</f>
        <v>264.35027929200999</v>
      </c>
      <c r="H6" s="61">
        <f>+Comps!P9</f>
        <v>116.43853543711201</v>
      </c>
    </row>
    <row r="7" spans="2:8" ht="38.25" customHeight="1" x14ac:dyDescent="0.2">
      <c r="B7" s="8" t="str">
        <f>Comps!B10</f>
        <v xml:space="preserve">Shanghai @hub Co.,Ltd. </v>
      </c>
      <c r="C7" s="74">
        <f>+Comps!C10</f>
        <v>603881</v>
      </c>
      <c r="D7" s="6" t="s">
        <v>54</v>
      </c>
      <c r="E7" s="61">
        <f>+Comps!G10</f>
        <v>17493.509389246654</v>
      </c>
      <c r="F7" s="61">
        <f>+Comps!L10</f>
        <v>19503.845616659146</v>
      </c>
      <c r="G7" s="61">
        <f>+Comps!M10</f>
        <v>1286.3858893279</v>
      </c>
      <c r="H7" s="61">
        <f>+Comps!P10</f>
        <v>801.87125966574501</v>
      </c>
    </row>
    <row r="8" spans="2:8" ht="38.25" customHeight="1" x14ac:dyDescent="0.2">
      <c r="B8" s="8" t="str">
        <f>Comps!B11</f>
        <v xml:space="preserve">OVH Groupe S.A. </v>
      </c>
      <c r="C8" s="5" t="str">
        <f>+Comps!C11</f>
        <v>OVH</v>
      </c>
      <c r="D8" s="6" t="s">
        <v>55</v>
      </c>
      <c r="E8" s="61">
        <f>+Comps!G11</f>
        <v>7472.0647764255345</v>
      </c>
      <c r="F8" s="61">
        <f>+Comps!L11</f>
        <v>12743.620627489363</v>
      </c>
      <c r="G8" s="61">
        <f>+Comps!M11</f>
        <v>6382.03</v>
      </c>
      <c r="H8" s="61">
        <f>+Comps!P11</f>
        <v>1781.6242553191498</v>
      </c>
    </row>
    <row r="9" spans="2:8" ht="38.25" customHeight="1" x14ac:dyDescent="0.2">
      <c r="B9" s="8" t="str">
        <f>Comps!B12</f>
        <v xml:space="preserve">Macquarie Technology Group Limited </v>
      </c>
      <c r="C9" s="5" t="str">
        <f>+Comps!C12</f>
        <v>MAQ</v>
      </c>
      <c r="D9" s="6" t="s">
        <v>56</v>
      </c>
      <c r="E9" s="61">
        <f>+Comps!G12</f>
        <v>6417.5903951042446</v>
      </c>
      <c r="F9" s="61">
        <f>+Comps!L12</f>
        <v>6835.4416549517264</v>
      </c>
      <c r="G9" s="61">
        <f>+Comps!M12</f>
        <v>1332.17761013424</v>
      </c>
      <c r="H9" s="61">
        <f>+Comps!P12</f>
        <v>337.81718535324904</v>
      </c>
    </row>
    <row r="10" spans="2:8" ht="38.25" customHeight="1" x14ac:dyDescent="0.2">
      <c r="B10" s="8" t="str">
        <f>Comps!B13</f>
        <v xml:space="preserve">SUNeVision Holdings Ltd. </v>
      </c>
      <c r="C10" s="74">
        <f>+Comps!C13</f>
        <v>1686</v>
      </c>
      <c r="D10" s="6" t="s">
        <v>57</v>
      </c>
      <c r="E10" s="61">
        <f>+Comps!G13</f>
        <v>25666.131895311315</v>
      </c>
      <c r="F10" s="61">
        <f>+Comps!L13</f>
        <v>38231.738950138875</v>
      </c>
      <c r="G10" s="61">
        <f>+Comps!M13</f>
        <v>2122.9321694939204</v>
      </c>
      <c r="H10" s="61">
        <f>+Comps!P13</f>
        <v>1233.92739898746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0707-1A5E-4EEB-AEF1-BCFE2E538371}">
  <dimension ref="A1:AD53"/>
  <sheetViews>
    <sheetView showGridLines="0" tabSelected="1" zoomScale="89" zoomScaleNormal="89" workbookViewId="0">
      <selection activeCell="L8" sqref="L8"/>
    </sheetView>
  </sheetViews>
  <sheetFormatPr defaultRowHeight="12.75" outlineLevelCol="1" x14ac:dyDescent="0.2"/>
  <cols>
    <col min="1" max="1" width="2.7109375" style="11" customWidth="1"/>
    <col min="2" max="2" width="42.140625" style="17" bestFit="1" customWidth="1"/>
    <col min="3" max="3" width="9.140625" style="17"/>
    <col min="4" max="4" width="12.140625" style="17" customWidth="1"/>
    <col min="5" max="5" width="13.7109375" style="17" hidden="1" customWidth="1" outlineLevel="1"/>
    <col min="6" max="6" width="13.5703125" style="17" hidden="1" customWidth="1" outlineLevel="1"/>
    <col min="7" max="7" width="13.7109375" style="17" customWidth="1" collapsed="1"/>
    <col min="8" max="11" width="11.7109375" style="17" hidden="1" customWidth="1" outlineLevel="1"/>
    <col min="12" max="12" width="11.5703125" style="17" bestFit="1" customWidth="1" collapsed="1"/>
    <col min="13" max="16" width="9.85546875" style="17" bestFit="1" customWidth="1"/>
    <col min="17" max="18" width="9.28515625" style="17" bestFit="1" customWidth="1"/>
    <col min="19" max="21" width="9.28515625" style="17" customWidth="1"/>
    <col min="22" max="24" width="9.28515625" style="17" bestFit="1" customWidth="1"/>
    <col min="25" max="27" width="10.85546875" style="17" customWidth="1"/>
    <col min="28" max="30" width="9.28515625" style="17" bestFit="1" customWidth="1"/>
    <col min="31" max="16384" width="9.140625" style="17"/>
  </cols>
  <sheetData>
    <row r="1" spans="2:30" x14ac:dyDescent="0.2">
      <c r="B1" s="2" t="s">
        <v>37</v>
      </c>
      <c r="D1" s="2"/>
    </row>
    <row r="2" spans="2:30" x14ac:dyDescent="0.2">
      <c r="B2" s="2" t="s">
        <v>36</v>
      </c>
    </row>
    <row r="3" spans="2:30" x14ac:dyDescent="0.2">
      <c r="B3" s="75" t="s">
        <v>74</v>
      </c>
      <c r="D3" s="10"/>
    </row>
    <row r="5" spans="2:30" x14ac:dyDescent="0.2">
      <c r="B5" s="95"/>
      <c r="C5" s="95"/>
      <c r="D5" s="95"/>
      <c r="E5" s="96" t="s">
        <v>13</v>
      </c>
      <c r="F5" s="96" t="s">
        <v>17</v>
      </c>
      <c r="G5" s="96"/>
      <c r="H5" s="96"/>
      <c r="I5" s="96"/>
      <c r="J5" s="96" t="s">
        <v>19</v>
      </c>
      <c r="K5" s="96"/>
      <c r="L5" s="96"/>
      <c r="M5" s="97" t="s">
        <v>26</v>
      </c>
      <c r="N5" s="97"/>
      <c r="O5" s="97"/>
      <c r="P5" s="98" t="s">
        <v>5</v>
      </c>
      <c r="Q5" s="98"/>
      <c r="R5" s="98"/>
      <c r="S5" s="97" t="s">
        <v>12</v>
      </c>
      <c r="T5" s="97"/>
      <c r="U5" s="97"/>
      <c r="V5" s="97" t="s">
        <v>27</v>
      </c>
      <c r="W5" s="97"/>
      <c r="X5" s="97"/>
      <c r="Y5" s="96" t="s">
        <v>26</v>
      </c>
      <c r="Z5" s="96" t="s">
        <v>5</v>
      </c>
      <c r="AA5" s="96" t="s">
        <v>12</v>
      </c>
      <c r="AB5" s="97" t="s">
        <v>28</v>
      </c>
      <c r="AC5" s="97"/>
      <c r="AD5" s="97"/>
    </row>
    <row r="6" spans="2:30" x14ac:dyDescent="0.2">
      <c r="B6" s="99" t="s">
        <v>29</v>
      </c>
      <c r="C6" s="99" t="s">
        <v>0</v>
      </c>
      <c r="D6" s="99" t="s">
        <v>44</v>
      </c>
      <c r="E6" s="100" t="s">
        <v>14</v>
      </c>
      <c r="F6" s="100" t="s">
        <v>15</v>
      </c>
      <c r="G6" s="104" t="s">
        <v>30</v>
      </c>
      <c r="H6" s="100" t="s">
        <v>31</v>
      </c>
      <c r="I6" s="100" t="s">
        <v>18</v>
      </c>
      <c r="J6" s="100" t="s">
        <v>20</v>
      </c>
      <c r="K6" s="96" t="s">
        <v>32</v>
      </c>
      <c r="L6" s="100" t="s">
        <v>33</v>
      </c>
      <c r="M6" s="101" t="s">
        <v>2</v>
      </c>
      <c r="N6" s="102" t="s">
        <v>34</v>
      </c>
      <c r="O6" s="102" t="s">
        <v>35</v>
      </c>
      <c r="P6" s="101" t="str">
        <f>+$M$6</f>
        <v>LTM</v>
      </c>
      <c r="Q6" s="102" t="str">
        <f>+$N$6</f>
        <v>FY22</v>
      </c>
      <c r="R6" s="102" t="str">
        <f>+$O$6</f>
        <v>FY23</v>
      </c>
      <c r="S6" s="101" t="str">
        <f>+$M$6</f>
        <v>LTM</v>
      </c>
      <c r="T6" s="102" t="str">
        <f>+$N$6</f>
        <v>FY22</v>
      </c>
      <c r="U6" s="102" t="str">
        <f>+$O$6</f>
        <v>FY23</v>
      </c>
      <c r="V6" s="101" t="str">
        <f>+$M$6</f>
        <v>LTM</v>
      </c>
      <c r="W6" s="102" t="str">
        <f>+$N$6</f>
        <v>FY22</v>
      </c>
      <c r="X6" s="102" t="str">
        <f>+$O$6</f>
        <v>FY23</v>
      </c>
      <c r="Y6" s="100" t="s">
        <v>16</v>
      </c>
      <c r="Z6" s="100" t="s">
        <v>16</v>
      </c>
      <c r="AA6" s="100" t="s">
        <v>16</v>
      </c>
      <c r="AB6" s="101" t="s">
        <v>2</v>
      </c>
      <c r="AC6" s="102" t="s">
        <v>34</v>
      </c>
      <c r="AD6" s="102" t="s">
        <v>35</v>
      </c>
    </row>
    <row r="7" spans="2:30" x14ac:dyDescent="0.2">
      <c r="B7" s="19" t="s">
        <v>8</v>
      </c>
      <c r="C7" s="19" t="s">
        <v>11</v>
      </c>
      <c r="D7" s="19" t="s">
        <v>47</v>
      </c>
      <c r="E7" s="42">
        <v>859.52</v>
      </c>
      <c r="F7" s="43">
        <v>97.332004999999995</v>
      </c>
      <c r="G7" s="36">
        <f>+(E7*F7)</f>
        <v>83658.804937599998</v>
      </c>
      <c r="H7" s="43">
        <v>3081</v>
      </c>
      <c r="I7" s="43">
        <v>18961</v>
      </c>
      <c r="J7" s="43">
        <v>0</v>
      </c>
      <c r="K7" s="43">
        <v>0</v>
      </c>
      <c r="L7" s="33">
        <f>+G7-H7+I7+J7+K7</f>
        <v>99538.804937599998</v>
      </c>
      <c r="M7" s="43">
        <v>8868</v>
      </c>
      <c r="N7" s="43">
        <v>7249.7709999999997</v>
      </c>
      <c r="O7" s="43">
        <v>8272.6669999999995</v>
      </c>
      <c r="P7" s="43">
        <v>3443</v>
      </c>
      <c r="Q7" s="43">
        <v>2925.08</v>
      </c>
      <c r="R7" s="43">
        <v>3369.9169999999999</v>
      </c>
      <c r="S7" s="43">
        <v>1432</v>
      </c>
      <c r="T7" s="43">
        <v>1185.7059999999999</v>
      </c>
      <c r="U7" s="43">
        <v>1526.252</v>
      </c>
      <c r="V7" s="43">
        <v>814</v>
      </c>
      <c r="W7" s="43">
        <v>704.577</v>
      </c>
      <c r="X7" s="43">
        <v>968.98</v>
      </c>
      <c r="Y7" s="35">
        <f>IFERROR(+O7/N7-1,"N/A")</f>
        <v>0.14109356005865559</v>
      </c>
      <c r="Z7" s="35">
        <f>IFERROR(+R7/Q7-1,"N/A")</f>
        <v>0.15207686627374284</v>
      </c>
      <c r="AA7" s="35">
        <f>IFERROR(+U7/T7-1,"N/A")</f>
        <v>0.28720947688550114</v>
      </c>
      <c r="AB7" s="35">
        <f>P7/M7</f>
        <v>0.38824988723500226</v>
      </c>
      <c r="AC7" s="35">
        <f>Q7/N7</f>
        <v>0.40347205449661788</v>
      </c>
      <c r="AD7" s="35">
        <f>R7/O7</f>
        <v>0.40735557227191665</v>
      </c>
    </row>
    <row r="8" spans="2:30" x14ac:dyDescent="0.2">
      <c r="B8" s="23" t="s">
        <v>7</v>
      </c>
      <c r="C8" s="23" t="s">
        <v>10</v>
      </c>
      <c r="D8" s="23" t="s">
        <v>48</v>
      </c>
      <c r="E8" s="44">
        <v>36.36</v>
      </c>
      <c r="F8" s="45">
        <v>194.39761200000001</v>
      </c>
      <c r="G8" s="36">
        <f t="shared" ref="G8:G13" si="0">+(E8*F8)</f>
        <v>7068.2971723199998</v>
      </c>
      <c r="H8" s="45">
        <v>1087.4093556530202</v>
      </c>
      <c r="I8" s="45">
        <v>6768.3074080864199</v>
      </c>
      <c r="J8" s="45">
        <v>150.15950020448699</v>
      </c>
      <c r="K8" s="45">
        <v>0</v>
      </c>
      <c r="L8" s="36">
        <f t="shared" ref="L8:L9" si="1">+G8-H8+I8+J8+K8</f>
        <v>12899.354724957886</v>
      </c>
      <c r="M8" s="45">
        <v>1524.2378552360199</v>
      </c>
      <c r="N8" s="45">
        <v>1388.04358541137</v>
      </c>
      <c r="O8" s="45">
        <v>1407.0086095995</v>
      </c>
      <c r="P8" s="45">
        <v>623.25912907808299</v>
      </c>
      <c r="Q8" s="45">
        <v>557.71464213456204</v>
      </c>
      <c r="R8" s="45">
        <v>575.69730251099907</v>
      </c>
      <c r="S8" s="45">
        <v>129.19806823865099</v>
      </c>
      <c r="T8" s="45">
        <v>84.026844898856297</v>
      </c>
      <c r="U8" s="45">
        <v>78.389300903957206</v>
      </c>
      <c r="V8" s="45">
        <v>-551.6577412199581</v>
      </c>
      <c r="W8" s="45">
        <v>-188.45126600804599</v>
      </c>
      <c r="X8" s="45">
        <v>-605.59275256613205</v>
      </c>
      <c r="Y8" s="38">
        <f>IFERROR(+O8/N8-1,"N/A")</f>
        <v>1.3663133051048604E-2</v>
      </c>
      <c r="Z8" s="38">
        <f>IFERROR(+R8/Q8-1,"N/A")</f>
        <v>3.2243479044429035E-2</v>
      </c>
      <c r="AA8" s="38">
        <f>IFERROR(+U8/T8-1,"N/A")</f>
        <v>-6.7092177525944763E-2</v>
      </c>
      <c r="AB8" s="38">
        <f t="shared" ref="AB8:AB9" si="2">P8/M8</f>
        <v>0.40889886505382372</v>
      </c>
      <c r="AC8" s="38">
        <f t="shared" ref="AC8:AC9" si="3">Q8/N8</f>
        <v>0.4017990846946452</v>
      </c>
      <c r="AD8" s="38">
        <f t="shared" ref="AD8:AD9" si="4">R8/O8</f>
        <v>0.40916402258182999</v>
      </c>
    </row>
    <row r="9" spans="2:30" x14ac:dyDescent="0.2">
      <c r="B9" s="23" t="s">
        <v>6</v>
      </c>
      <c r="C9" s="23" t="s">
        <v>9</v>
      </c>
      <c r="D9" s="23" t="s">
        <v>46</v>
      </c>
      <c r="E9" s="44">
        <v>8.3947816222348308</v>
      </c>
      <c r="F9" s="45">
        <v>640.41609000000005</v>
      </c>
      <c r="G9" s="36">
        <f t="shared" si="0"/>
        <v>5376.1532229154882</v>
      </c>
      <c r="H9" s="45">
        <v>824.78783026421104</v>
      </c>
      <c r="I9" s="45">
        <v>970.83133173205204</v>
      </c>
      <c r="J9" s="45">
        <v>0</v>
      </c>
      <c r="K9" s="45">
        <v>0</v>
      </c>
      <c r="L9" s="36">
        <f t="shared" si="1"/>
        <v>5522.1967243833287</v>
      </c>
      <c r="M9" s="45">
        <v>264.35027929200999</v>
      </c>
      <c r="N9" s="45">
        <v>211.19175718493301</v>
      </c>
      <c r="O9" s="45">
        <v>243.91749321318198</v>
      </c>
      <c r="P9" s="45">
        <v>116.43853543711201</v>
      </c>
      <c r="Q9" s="45">
        <v>111.242771345497</v>
      </c>
      <c r="R9" s="45">
        <v>117.17118704581499</v>
      </c>
      <c r="S9" s="45">
        <v>9.3329201378051607</v>
      </c>
      <c r="T9" s="45">
        <v>39.710383694374201</v>
      </c>
      <c r="U9" s="45">
        <v>32.137398055490799</v>
      </c>
      <c r="V9" s="45">
        <v>-43.080648532629503</v>
      </c>
      <c r="W9" s="45">
        <v>6.6315796543241001</v>
      </c>
      <c r="X9" s="45">
        <v>-14.8301598935693</v>
      </c>
      <c r="Y9" s="38">
        <f>IFERROR(+O9/N9-1,"N/A")</f>
        <v>0.15495744940268774</v>
      </c>
      <c r="Z9" s="38">
        <f>IFERROR(+R9/Q9-1,"N/A")</f>
        <v>5.3292592665689309E-2</v>
      </c>
      <c r="AA9" s="38">
        <f t="shared" ref="AA8:AA9" si="5">IFERROR(+U9/T9-1,"N/A")</f>
        <v>-0.19070542599557583</v>
      </c>
      <c r="AB9" s="38">
        <f t="shared" si="2"/>
        <v>0.44047063520780388</v>
      </c>
      <c r="AC9" s="38">
        <f t="shared" si="3"/>
        <v>0.52673822514808533</v>
      </c>
      <c r="AD9" s="38">
        <f t="shared" si="4"/>
        <v>0.48037221727024015</v>
      </c>
    </row>
    <row r="10" spans="2:30" x14ac:dyDescent="0.2">
      <c r="B10" s="23" t="s">
        <v>38</v>
      </c>
      <c r="C10" s="46">
        <v>603881</v>
      </c>
      <c r="D10" s="23" t="s">
        <v>48</v>
      </c>
      <c r="E10" s="44">
        <v>29.2217196571745</v>
      </c>
      <c r="F10" s="45">
        <v>598.64749900000004</v>
      </c>
      <c r="G10" s="36">
        <f t="shared" si="0"/>
        <v>17493.509389246654</v>
      </c>
      <c r="H10" s="45">
        <v>768.69051732706703</v>
      </c>
      <c r="I10" s="45">
        <v>2779.0267447395599</v>
      </c>
      <c r="J10" s="45">
        <v>0</v>
      </c>
      <c r="K10" s="45">
        <v>0</v>
      </c>
      <c r="L10" s="36">
        <f t="shared" ref="L10" si="6">+G10-H10+I10+J10+K10</f>
        <v>19503.845616659146</v>
      </c>
      <c r="M10" s="45">
        <v>1286.3858893279</v>
      </c>
      <c r="N10" s="45">
        <v>1163.2704866773599</v>
      </c>
      <c r="O10" s="45">
        <v>1232.59828442245</v>
      </c>
      <c r="P10" s="45">
        <v>801.87125966574501</v>
      </c>
      <c r="Q10" s="45">
        <v>756.30147212551799</v>
      </c>
      <c r="R10" s="45">
        <v>798.98085592949997</v>
      </c>
      <c r="S10" s="45">
        <v>233.11037866215099</v>
      </c>
      <c r="T10" s="45">
        <v>237.71675035499001</v>
      </c>
      <c r="U10" s="45">
        <v>251.72404339701399</v>
      </c>
      <c r="V10" s="45">
        <v>100.926298261543</v>
      </c>
      <c r="W10" s="45">
        <v>87.665218917611298</v>
      </c>
      <c r="X10" s="45">
        <v>98.281208304119403</v>
      </c>
      <c r="Y10" s="38">
        <f t="shared" ref="Y10" si="7">IFERROR(+O10/N10-1,"N/A")</f>
        <v>5.9597315103480764E-2</v>
      </c>
      <c r="Z10" s="38">
        <f t="shared" ref="Z10" si="8">IFERROR(+R10/Q10-1,"N/A")</f>
        <v>5.6431707959043509E-2</v>
      </c>
      <c r="AA10" s="38">
        <f t="shared" ref="AA10" si="9">IFERROR(+U10/T10-1,"N/A")</f>
        <v>5.8924299701667682E-2</v>
      </c>
      <c r="AB10" s="38">
        <f t="shared" ref="AB10" si="10">P10/M10</f>
        <v>0.62335203325706556</v>
      </c>
      <c r="AC10" s="38">
        <f t="shared" ref="AC10" si="11">Q10/N10</f>
        <v>0.65015100166921258</v>
      </c>
      <c r="AD10" s="38">
        <f t="shared" ref="AD10" si="12">R10/O10</f>
        <v>0.64820863863515188</v>
      </c>
    </row>
    <row r="11" spans="2:30" x14ac:dyDescent="0.2">
      <c r="B11" s="23" t="s">
        <v>41</v>
      </c>
      <c r="C11" s="46" t="s">
        <v>43</v>
      </c>
      <c r="D11" s="23" t="s">
        <v>49</v>
      </c>
      <c r="E11" s="44">
        <v>49.271276595744702</v>
      </c>
      <c r="F11" s="45">
        <v>151.65153599999999</v>
      </c>
      <c r="G11" s="36">
        <f t="shared" si="0"/>
        <v>7472.0647764255345</v>
      </c>
      <c r="H11" s="45">
        <v>224.56404255319097</v>
      </c>
      <c r="I11" s="45">
        <v>5496.1198936170204</v>
      </c>
      <c r="J11" s="45">
        <v>0</v>
      </c>
      <c r="K11" s="45">
        <v>0</v>
      </c>
      <c r="L11" s="36">
        <f>+G11-H11+I11+J11+K11</f>
        <v>12743.620627489363</v>
      </c>
      <c r="M11" s="45">
        <v>6382.03</v>
      </c>
      <c r="N11" s="45">
        <v>4945.9448936170202</v>
      </c>
      <c r="O11" s="45">
        <v>5631.9830851063807</v>
      </c>
      <c r="P11" s="45">
        <v>1781.6242553191498</v>
      </c>
      <c r="Q11" s="45">
        <v>1524.855</v>
      </c>
      <c r="R11" s="45">
        <v>1648.3595744680899</v>
      </c>
      <c r="S11" s="45">
        <v>233.690212765957</v>
      </c>
      <c r="T11" s="45">
        <v>52.491170212766001</v>
      </c>
      <c r="U11" s="45">
        <v>-10.889893617021301</v>
      </c>
      <c r="V11" s="45">
        <v>-33.291063829787198</v>
      </c>
      <c r="W11" s="45">
        <v>-179.221914893617</v>
      </c>
      <c r="X11" s="45">
        <v>-253.07234042553199</v>
      </c>
      <c r="Y11" s="38">
        <f>IFERROR(+O11/N11-1,"N/A")</f>
        <v>0.13870720484062127</v>
      </c>
      <c r="Z11" s="38">
        <f>IFERROR(+R11/Q11-1,"N/A")</f>
        <v>8.0994307306655244E-2</v>
      </c>
      <c r="AA11" s="38">
        <f>IFERROR(+U11/T11-1,"N/A")</f>
        <v>-1.2074614372832719</v>
      </c>
      <c r="AB11" s="38">
        <f>P11/M11</f>
        <v>0.27916262620500842</v>
      </c>
      <c r="AC11" s="38">
        <f>Q11/N11</f>
        <v>0.30830408199005588</v>
      </c>
      <c r="AD11" s="38">
        <f>R11/O11</f>
        <v>0.29267836027901611</v>
      </c>
    </row>
    <row r="12" spans="2:30" x14ac:dyDescent="0.2">
      <c r="B12" s="23" t="s">
        <v>39</v>
      </c>
      <c r="C12" s="46" t="s">
        <v>42</v>
      </c>
      <c r="D12" s="23" t="s">
        <v>46</v>
      </c>
      <c r="E12" s="44">
        <v>248.997327787231</v>
      </c>
      <c r="F12" s="45">
        <v>25.773731999999999</v>
      </c>
      <c r="G12" s="36">
        <f t="shared" si="0"/>
        <v>6417.5903951042446</v>
      </c>
      <c r="H12" s="45">
        <v>58.596180752505198</v>
      </c>
      <c r="I12" s="45">
        <v>476.44744059998698</v>
      </c>
      <c r="J12" s="45">
        <v>0</v>
      </c>
      <c r="K12" s="45">
        <v>0</v>
      </c>
      <c r="L12" s="36">
        <f>+G12-H12+I12+J12+K12</f>
        <v>6835.4416549517264</v>
      </c>
      <c r="M12" s="45">
        <v>1332.17761013424</v>
      </c>
      <c r="N12" s="45">
        <v>1127.1383500346599</v>
      </c>
      <c r="O12" s="45">
        <v>1257.4164630995099</v>
      </c>
      <c r="P12" s="45">
        <v>337.81718535324904</v>
      </c>
      <c r="Q12" s="45">
        <v>226.258511375811</v>
      </c>
      <c r="R12" s="45">
        <v>289.95270561542799</v>
      </c>
      <c r="S12" s="45">
        <v>204.295875716897</v>
      </c>
      <c r="T12" s="45">
        <v>79.181368878805088</v>
      </c>
      <c r="U12" s="45">
        <v>139.009235520262</v>
      </c>
      <c r="V12" s="45">
        <v>131.57174765236002</v>
      </c>
      <c r="W12" s="45">
        <v>30.8140114703473</v>
      </c>
      <c r="X12" s="45">
        <v>64.466730951030399</v>
      </c>
      <c r="Y12" s="38">
        <f>IFERROR(+O12/N12-1,"N/A")</f>
        <v>0.11558307199896434</v>
      </c>
      <c r="Z12" s="38">
        <f>IFERROR(+R12/Q12-1,"N/A")</f>
        <v>0.28151071025930241</v>
      </c>
      <c r="AA12" s="38">
        <f>IFERROR(+U12/T12-1,"N/A")</f>
        <v>0.75558010032674949</v>
      </c>
      <c r="AB12" s="38">
        <f>P12/M12</f>
        <v>0.25358269256545163</v>
      </c>
      <c r="AC12" s="38">
        <f>Q12/N12</f>
        <v>0.20073712456758611</v>
      </c>
      <c r="AD12" s="38">
        <f>R12/O12</f>
        <v>0.23059401091401299</v>
      </c>
    </row>
    <row r="13" spans="2:30" x14ac:dyDescent="0.2">
      <c r="B13" s="28" t="s">
        <v>40</v>
      </c>
      <c r="C13" s="47">
        <v>1686</v>
      </c>
      <c r="D13" s="28" t="s">
        <v>50</v>
      </c>
      <c r="E13" s="48">
        <v>6.3231500601475696</v>
      </c>
      <c r="F13" s="49">
        <v>4059.0736659999998</v>
      </c>
      <c r="G13" s="39">
        <f t="shared" si="0"/>
        <v>25666.131895311315</v>
      </c>
      <c r="H13" s="49">
        <v>384.49662105743903</v>
      </c>
      <c r="I13" s="49">
        <v>12950.103675885</v>
      </c>
      <c r="J13" s="49">
        <v>0</v>
      </c>
      <c r="K13" s="49">
        <v>0</v>
      </c>
      <c r="L13" s="39">
        <f>+G13-H13+I13+J13+K13</f>
        <v>38231.738950138875</v>
      </c>
      <c r="M13" s="49">
        <v>2122.9321694939204</v>
      </c>
      <c r="N13" s="49">
        <v>1551.6601102598199</v>
      </c>
      <c r="O13" s="49">
        <v>1745.11725830004</v>
      </c>
      <c r="P13" s="49">
        <v>1233.92739898746</v>
      </c>
      <c r="Q13" s="49">
        <v>973.83801146341898</v>
      </c>
      <c r="R13" s="49">
        <v>1087.55726164515</v>
      </c>
      <c r="S13" s="49">
        <v>1037.80522917189</v>
      </c>
      <c r="T13" s="49">
        <v>775.02031997221002</v>
      </c>
      <c r="U13" s="49">
        <v>871.19766408707596</v>
      </c>
      <c r="V13" s="49">
        <v>710.97648056300693</v>
      </c>
      <c r="W13" s="49">
        <v>629.95758689233298</v>
      </c>
      <c r="X13" s="49">
        <v>673.50102990652999</v>
      </c>
      <c r="Y13" s="41">
        <f>IFERROR(+O13/N13-1,"N/A")</f>
        <v>0.12467752877131466</v>
      </c>
      <c r="Z13" s="41">
        <f>IFERROR(+R13/Q13-1,"N/A")</f>
        <v>0.11677429802810968</v>
      </c>
      <c r="AA13" s="41">
        <f>IFERROR(+U13/T13-1,"N/A")</f>
        <v>0.12409654513099033</v>
      </c>
      <c r="AB13" s="41">
        <f>P13/M13</f>
        <v>0.58123731729102412</v>
      </c>
      <c r="AC13" s="41">
        <f>Q13/N13</f>
        <v>0.62761039291030896</v>
      </c>
      <c r="AD13" s="41">
        <f>R13/O13</f>
        <v>0.62320010673928306</v>
      </c>
    </row>
    <row r="14" spans="2:30" x14ac:dyDescent="0.2">
      <c r="B14" s="12"/>
      <c r="C14" s="18"/>
      <c r="D14" s="12"/>
      <c r="E14" s="16"/>
      <c r="F14" s="13"/>
      <c r="G14" s="14"/>
      <c r="H14" s="13"/>
      <c r="I14" s="13"/>
      <c r="J14" s="13"/>
      <c r="K14" s="13"/>
      <c r="L14" s="1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5"/>
      <c r="Z14" s="15"/>
      <c r="AA14" s="15"/>
      <c r="AB14" s="15"/>
      <c r="AC14" s="15"/>
      <c r="AD14" s="15"/>
    </row>
    <row r="15" spans="2:30" x14ac:dyDescent="0.2">
      <c r="B15" s="19" t="s">
        <v>21</v>
      </c>
      <c r="C15" s="19"/>
      <c r="D15" s="19"/>
      <c r="E15" s="20">
        <f>MAX(E7:E13)</f>
        <v>859.52</v>
      </c>
      <c r="F15" s="33">
        <f>MAX(F7:F13)</f>
        <v>4059.0736659999998</v>
      </c>
      <c r="G15" s="34">
        <f>MAX(G7:G13)</f>
        <v>83658.804937599998</v>
      </c>
      <c r="H15" s="34">
        <f>MAX(H7:H13)</f>
        <v>3081</v>
      </c>
      <c r="I15" s="34">
        <f>MAX(I7:I13)</f>
        <v>18961</v>
      </c>
      <c r="J15" s="34">
        <f>MAX(J7:J13)</f>
        <v>150.15950020448699</v>
      </c>
      <c r="K15" s="34">
        <f>MAX(K7:K13)</f>
        <v>0</v>
      </c>
      <c r="L15" s="34">
        <f>MAX(L7:L13)</f>
        <v>99538.804937599998</v>
      </c>
      <c r="M15" s="34">
        <f>MAX(M7:M13)</f>
        <v>8868</v>
      </c>
      <c r="N15" s="34">
        <f>MAX(N7:N13)</f>
        <v>7249.7709999999997</v>
      </c>
      <c r="O15" s="34">
        <f>MAX(O7:O13)</f>
        <v>8272.6669999999995</v>
      </c>
      <c r="P15" s="34">
        <f>MAX(P7:P13)</f>
        <v>3443</v>
      </c>
      <c r="Q15" s="34">
        <f>MAX(Q7:Q13)</f>
        <v>2925.08</v>
      </c>
      <c r="R15" s="34">
        <f>MAX(R7:R13)</f>
        <v>3369.9169999999999</v>
      </c>
      <c r="S15" s="34">
        <f>MAX(S7:S13)</f>
        <v>1432</v>
      </c>
      <c r="T15" s="34">
        <f>MAX(T7:T13)</f>
        <v>1185.7059999999999</v>
      </c>
      <c r="U15" s="34">
        <f>MAX(U7:U13)</f>
        <v>1526.252</v>
      </c>
      <c r="V15" s="34">
        <f>MAX(V7:V13)</f>
        <v>814</v>
      </c>
      <c r="W15" s="34">
        <f>MAX(W7:W13)</f>
        <v>704.577</v>
      </c>
      <c r="X15" s="34">
        <f>MAX(X7:X13)</f>
        <v>968.98</v>
      </c>
      <c r="Y15" s="35">
        <f>MAX(Y7:Y13)</f>
        <v>0.15495744940268774</v>
      </c>
      <c r="Z15" s="35">
        <f>MAX(Z7:Z13)</f>
        <v>0.28151071025930241</v>
      </c>
      <c r="AA15" s="35">
        <f>MAX(AA7:AA13)</f>
        <v>0.75558010032674949</v>
      </c>
      <c r="AB15" s="35">
        <f>MAX(AB7:AB13)</f>
        <v>0.62335203325706556</v>
      </c>
      <c r="AC15" s="35">
        <f>MAX(AC7:AC13)</f>
        <v>0.65015100166921258</v>
      </c>
      <c r="AD15" s="35">
        <f>MAX(AD7:AD13)</f>
        <v>0.64820863863515188</v>
      </c>
    </row>
    <row r="16" spans="2:30" x14ac:dyDescent="0.2">
      <c r="B16" s="23" t="s">
        <v>22</v>
      </c>
      <c r="C16" s="23"/>
      <c r="D16" s="23"/>
      <c r="E16" s="76">
        <f>QUARTILE(E7:E13,3)</f>
        <v>149.13430219148785</v>
      </c>
      <c r="F16" s="36">
        <f>QUARTILE(F7:F13,3)</f>
        <v>619.53179450000005</v>
      </c>
      <c r="G16" s="37">
        <f>QUARTILE(G7:G13,3)</f>
        <v>21579.820642278984</v>
      </c>
      <c r="H16" s="37">
        <f>QUARTILE(H7:H13,3)</f>
        <v>956.09859295861565</v>
      </c>
      <c r="I16" s="37">
        <f>QUARTILE(I7:I13,3)</f>
        <v>9859.2055419857097</v>
      </c>
      <c r="J16" s="37">
        <f>QUARTILE(J7:J13,3)</f>
        <v>0</v>
      </c>
      <c r="K16" s="37">
        <f>QUARTILE(K7:K13,3)</f>
        <v>0</v>
      </c>
      <c r="L16" s="37">
        <f>QUARTILE(L7:L13,3)</f>
        <v>28867.792283399009</v>
      </c>
      <c r="M16" s="37">
        <f>QUARTILE(M7:M13,3)</f>
        <v>4252.4810847469598</v>
      </c>
      <c r="N16" s="37">
        <f>QUARTILE(N7:N13,3)</f>
        <v>3248.8025019384204</v>
      </c>
      <c r="O16" s="37">
        <f>QUARTILE(O7:O13,3)</f>
        <v>3688.5501717032103</v>
      </c>
      <c r="P16" s="37">
        <f>QUARTILE(P7:P13,3)</f>
        <v>1507.7758271533048</v>
      </c>
      <c r="Q16" s="37">
        <f>QUARTILE(Q7:Q13,3)</f>
        <v>1249.3465057317094</v>
      </c>
      <c r="R16" s="37">
        <f>QUARTILE(R7:R13,3)</f>
        <v>1367.9584180566198</v>
      </c>
      <c r="S16" s="37">
        <f>QUARTILE(S7:S13,3)</f>
        <v>635.74772096892355</v>
      </c>
      <c r="T16" s="37">
        <f>QUARTILE(T7:T13,3)</f>
        <v>506.36853516359997</v>
      </c>
      <c r="U16" s="37">
        <f>QUARTILE(U7:U13,3)</f>
        <v>561.46085374204495</v>
      </c>
      <c r="V16" s="37">
        <f>QUARTILE(V7:V13,3)</f>
        <v>421.27411410768343</v>
      </c>
      <c r="W16" s="37">
        <f>QUARTILE(W7:W13,3)</f>
        <v>358.81140290497211</v>
      </c>
      <c r="X16" s="37">
        <f>QUARTILE(X7:X13,3)</f>
        <v>385.89111910532466</v>
      </c>
      <c r="Y16" s="38">
        <f>QUARTILE(Y7:Y13,3)</f>
        <v>0.13990038244963843</v>
      </c>
      <c r="Z16" s="38">
        <f>QUARTILE(Z7:Z13,3)</f>
        <v>0.13442558215092626</v>
      </c>
      <c r="AA16" s="38">
        <f>QUARTILE(AA7:AA13,3)</f>
        <v>0.20565301100824573</v>
      </c>
      <c r="AB16" s="38">
        <f>QUARTILE(AB7:AB13,3)</f>
        <v>0.51085397624941398</v>
      </c>
      <c r="AC16" s="38">
        <f>QUARTILE(AC7:AC13,3)</f>
        <v>0.5771743090291972</v>
      </c>
      <c r="AD16" s="38">
        <f>QUARTILE(AD7:AD13,3)</f>
        <v>0.5517861620047616</v>
      </c>
    </row>
    <row r="17" spans="2:30" x14ac:dyDescent="0.2">
      <c r="B17" s="111" t="s">
        <v>23</v>
      </c>
      <c r="C17" s="111"/>
      <c r="D17" s="111"/>
      <c r="E17" s="112">
        <f>MEDIAN(E7:E13)</f>
        <v>36.36</v>
      </c>
      <c r="F17" s="113">
        <f>MEDIAN(F7:F13)</f>
        <v>194.39761200000001</v>
      </c>
      <c r="G17" s="114">
        <f>MEDIAN(G7:G13)</f>
        <v>7472.0647764255345</v>
      </c>
      <c r="H17" s="114">
        <f>MEDIAN(H7:H13)</f>
        <v>768.69051732706703</v>
      </c>
      <c r="I17" s="114">
        <f>MEDIAN(I7:I13)</f>
        <v>5496.1198936170204</v>
      </c>
      <c r="J17" s="114">
        <f>MEDIAN(J7:J13)</f>
        <v>0</v>
      </c>
      <c r="K17" s="114">
        <f>MEDIAN(K7:K13)</f>
        <v>0</v>
      </c>
      <c r="L17" s="114">
        <f>MEDIAN(L7:L13)</f>
        <v>12899.354724957886</v>
      </c>
      <c r="M17" s="114">
        <f>MEDIAN(M7:M13)</f>
        <v>1524.2378552360199</v>
      </c>
      <c r="N17" s="114">
        <f>MEDIAN(N7:N13)</f>
        <v>1388.04358541137</v>
      </c>
      <c r="O17" s="114">
        <f>MEDIAN(O7:O13)</f>
        <v>1407.0086095995</v>
      </c>
      <c r="P17" s="114">
        <f>MEDIAN(P7:P13)</f>
        <v>801.87125966574501</v>
      </c>
      <c r="Q17" s="114">
        <f>MEDIAN(Q7:Q13)</f>
        <v>756.30147212551799</v>
      </c>
      <c r="R17" s="114">
        <f>MEDIAN(R7:R13)</f>
        <v>798.98085592949997</v>
      </c>
      <c r="S17" s="114">
        <f>MEDIAN(S7:S13)</f>
        <v>233.11037866215099</v>
      </c>
      <c r="T17" s="114">
        <f>MEDIAN(T7:T13)</f>
        <v>84.026844898856297</v>
      </c>
      <c r="U17" s="114">
        <f>MEDIAN(U7:U13)</f>
        <v>139.009235520262</v>
      </c>
      <c r="V17" s="114">
        <f>MEDIAN(V7:V13)</f>
        <v>100.926298261543</v>
      </c>
      <c r="W17" s="114">
        <f>MEDIAN(W7:W13)</f>
        <v>30.8140114703473</v>
      </c>
      <c r="X17" s="114">
        <f>MEDIAN(X7:X13)</f>
        <v>64.466730951030399</v>
      </c>
      <c r="Y17" s="115">
        <f>MEDIAN(Y7:Y13)</f>
        <v>0.12467752877131466</v>
      </c>
      <c r="Z17" s="115">
        <f>MEDIAN(Z7:Z13)</f>
        <v>8.0994307306655244E-2</v>
      </c>
      <c r="AA17" s="115">
        <f>MEDIAN(AA7:AA13)</f>
        <v>5.8924299701667682E-2</v>
      </c>
      <c r="AB17" s="115">
        <f>MEDIAN(AB7:AB13)</f>
        <v>0.40889886505382372</v>
      </c>
      <c r="AC17" s="115">
        <f>MEDIAN(AC7:AC13)</f>
        <v>0.40347205449661788</v>
      </c>
      <c r="AD17" s="115">
        <f>MEDIAN(AD7:AD13)</f>
        <v>0.40916402258182999</v>
      </c>
    </row>
    <row r="18" spans="2:30" x14ac:dyDescent="0.2">
      <c r="B18" s="23" t="s">
        <v>24</v>
      </c>
      <c r="C18" s="27"/>
      <c r="D18" s="23"/>
      <c r="E18" s="76">
        <f>QUARTILE(E7:E13,1)</f>
        <v>18.808250639704667</v>
      </c>
      <c r="F18" s="36">
        <f>QUARTILE(F7:F13,1)</f>
        <v>124.4917705</v>
      </c>
      <c r="G18" s="37">
        <f>QUARTILE(G7:G13,1)</f>
        <v>6742.9437837121222</v>
      </c>
      <c r="H18" s="37">
        <f>QUARTILE(H7:H13,1)</f>
        <v>304.53033180531497</v>
      </c>
      <c r="I18" s="37">
        <f>QUARTILE(I7:I13,1)</f>
        <v>1874.9290382358058</v>
      </c>
      <c r="J18" s="37">
        <f>QUARTILE(J7:J13,1)</f>
        <v>0</v>
      </c>
      <c r="K18" s="37">
        <f>QUARTILE(K7:K13,1)</f>
        <v>0</v>
      </c>
      <c r="L18" s="37">
        <f>QUARTILE(L7:L13,1)</f>
        <v>9789.5311412205447</v>
      </c>
      <c r="M18" s="37">
        <f>QUARTILE(M7:M13,1)</f>
        <v>1309.28174973107</v>
      </c>
      <c r="N18" s="37">
        <f>QUARTILE(N7:N13,1)</f>
        <v>1145.2044183560099</v>
      </c>
      <c r="O18" s="37">
        <f>QUARTILE(O7:O13,1)</f>
        <v>1245.00737376098</v>
      </c>
      <c r="P18" s="37">
        <f>QUARTILE(P7:P13,1)</f>
        <v>480.53815721566605</v>
      </c>
      <c r="Q18" s="37">
        <f>QUARTILE(Q7:Q13,1)</f>
        <v>391.98657675518655</v>
      </c>
      <c r="R18" s="37">
        <f>QUARTILE(R7:R13,1)</f>
        <v>432.82500406321356</v>
      </c>
      <c r="S18" s="37">
        <f>QUARTILE(S7:S13,1)</f>
        <v>166.746971977774</v>
      </c>
      <c r="T18" s="37">
        <f>QUARTILE(T7:T13,1)</f>
        <v>65.836269545785541</v>
      </c>
      <c r="U18" s="37">
        <f>QUARTILE(U7:U13,1)</f>
        <v>55.263349479723999</v>
      </c>
      <c r="V18" s="37">
        <f>QUARTILE(V7:V13,1)</f>
        <v>-38.185856181208351</v>
      </c>
      <c r="W18" s="37">
        <f>QUARTILE(W7:W13,1)</f>
        <v>-86.295167619646449</v>
      </c>
      <c r="X18" s="37">
        <f>QUARTILE(X7:X13,1)</f>
        <v>-133.95125015955063</v>
      </c>
      <c r="Y18" s="38">
        <f>QUARTILE(Y7:Y13,1)</f>
        <v>8.759019355122255E-2</v>
      </c>
      <c r="Z18" s="38">
        <f>QUARTILE(Z7:Z13,1)</f>
        <v>5.4862150312366409E-2</v>
      </c>
      <c r="AA18" s="38">
        <f>QUARTILE(AA7:AA13,1)</f>
        <v>-0.1288988017607603</v>
      </c>
      <c r="AB18" s="38">
        <f>QUARTILE(AB7:AB13,1)</f>
        <v>0.33370625672000531</v>
      </c>
      <c r="AC18" s="38">
        <f>QUARTILE(AC7:AC13,1)</f>
        <v>0.35505158334235054</v>
      </c>
      <c r="AD18" s="38">
        <f>QUARTILE(AD7:AD13,1)</f>
        <v>0.35001696627546641</v>
      </c>
    </row>
    <row r="19" spans="2:30" x14ac:dyDescent="0.2">
      <c r="B19" s="28" t="s">
        <v>25</v>
      </c>
      <c r="C19" s="29"/>
      <c r="D19" s="28"/>
      <c r="E19" s="77">
        <f>MIN(E7:E13)</f>
        <v>6.3231500601475696</v>
      </c>
      <c r="F19" s="39">
        <f>MIN(F7:F13)</f>
        <v>25.773731999999999</v>
      </c>
      <c r="G19" s="40">
        <f>MIN(G7:G13)</f>
        <v>5376.1532229154882</v>
      </c>
      <c r="H19" s="40">
        <f>MIN(H7:H13)</f>
        <v>58.596180752505198</v>
      </c>
      <c r="I19" s="40">
        <f>MIN(I7:I13)</f>
        <v>476.44744059998698</v>
      </c>
      <c r="J19" s="40">
        <f>MIN(J7:J13)</f>
        <v>0</v>
      </c>
      <c r="K19" s="40">
        <f>MIN(K7:K13)</f>
        <v>0</v>
      </c>
      <c r="L19" s="40">
        <f>MIN(L7:L13)</f>
        <v>5522.1967243833287</v>
      </c>
      <c r="M19" s="40">
        <f>MIN(M7:M13)</f>
        <v>264.35027929200999</v>
      </c>
      <c r="N19" s="40">
        <f>MIN(N7:N13)</f>
        <v>211.19175718493301</v>
      </c>
      <c r="O19" s="40">
        <f>MIN(O7:O13)</f>
        <v>243.91749321318198</v>
      </c>
      <c r="P19" s="40">
        <f>MIN(P7:P13)</f>
        <v>116.43853543711201</v>
      </c>
      <c r="Q19" s="40">
        <f>MIN(Q7:Q13)</f>
        <v>111.242771345497</v>
      </c>
      <c r="R19" s="40">
        <f>MIN(R7:R13)</f>
        <v>117.17118704581499</v>
      </c>
      <c r="S19" s="40">
        <f>MIN(S7:S13)</f>
        <v>9.3329201378051607</v>
      </c>
      <c r="T19" s="40">
        <f>MIN(T7:T13)</f>
        <v>39.710383694374201</v>
      </c>
      <c r="U19" s="40">
        <f>MIN(U7:U13)</f>
        <v>-10.889893617021301</v>
      </c>
      <c r="V19" s="40">
        <f>MIN(V7:V13)</f>
        <v>-551.6577412199581</v>
      </c>
      <c r="W19" s="40">
        <f>MIN(W7:W13)</f>
        <v>-188.45126600804599</v>
      </c>
      <c r="X19" s="40">
        <f>MIN(X7:X13)</f>
        <v>-605.59275256613205</v>
      </c>
      <c r="Y19" s="41">
        <f>MIN(Y7:Y13)</f>
        <v>1.3663133051048604E-2</v>
      </c>
      <c r="Z19" s="41">
        <f>MIN(Z7:Z13)</f>
        <v>3.2243479044429035E-2</v>
      </c>
      <c r="AA19" s="41">
        <f>MIN(AA7:AA13)</f>
        <v>-1.2074614372832719</v>
      </c>
      <c r="AB19" s="41">
        <f>MIN(AB7:AB13)</f>
        <v>0.25358269256545163</v>
      </c>
      <c r="AC19" s="41">
        <f>MIN(AC7:AC13)</f>
        <v>0.20073712456758611</v>
      </c>
      <c r="AD19" s="41">
        <f>MIN(AD7:AD13)</f>
        <v>0.23059401091401299</v>
      </c>
    </row>
    <row r="20" spans="2:30" ht="13.5" thickBot="1" x14ac:dyDescent="0.25"/>
    <row r="21" spans="2:30" ht="13.5" thickBot="1" x14ac:dyDescent="0.25">
      <c r="B21" s="63" t="s">
        <v>37</v>
      </c>
      <c r="C21" s="64"/>
      <c r="D21" s="63" t="s">
        <v>45</v>
      </c>
      <c r="E21" s="71">
        <f>+G21/F21</f>
        <v>10.869364401135146</v>
      </c>
      <c r="F21" s="70">
        <f>+F17</f>
        <v>194.39761200000001</v>
      </c>
      <c r="G21" s="132">
        <f>+L21-K21-J21-I21+H21</f>
        <v>2112.9784835384826</v>
      </c>
      <c r="H21" s="65">
        <v>17.7521999876347</v>
      </c>
      <c r="I21" s="65">
        <v>1114.0168579848701</v>
      </c>
      <c r="J21" s="66">
        <v>0</v>
      </c>
      <c r="K21" s="66">
        <v>0</v>
      </c>
      <c r="L21" s="132">
        <f>+P35*P21</f>
        <v>3209.2431415357178</v>
      </c>
      <c r="M21" s="65">
        <v>295.16492386883499</v>
      </c>
      <c r="N21" s="65">
        <v>247.893268956687</v>
      </c>
      <c r="O21" s="65">
        <v>295.16492386883499</v>
      </c>
      <c r="P21" s="65">
        <v>131.94320192315499</v>
      </c>
      <c r="Q21" s="65">
        <v>129.97580371974999</v>
      </c>
      <c r="R21" s="65">
        <v>131.94320192315499</v>
      </c>
      <c r="S21" s="65">
        <v>48.996770284651397</v>
      </c>
      <c r="T21" s="65">
        <v>68.546147812058905</v>
      </c>
      <c r="U21" s="65">
        <v>48.996770284651397</v>
      </c>
      <c r="V21" s="65">
        <v>32.492675173128198</v>
      </c>
      <c r="W21" s="65">
        <v>91.104018518901896</v>
      </c>
      <c r="X21" s="65">
        <v>32.492675173128198</v>
      </c>
      <c r="Y21" s="67">
        <f>IFERROR(+O21/N21-1,"N/A")</f>
        <v>0.19069357998747227</v>
      </c>
      <c r="Z21" s="67">
        <f>IFERROR(+R21/Q21-1,"N/A")</f>
        <v>1.5136649646322109E-2</v>
      </c>
      <c r="AA21" s="67">
        <f>IFERROR(+U21/T21-1,"N/A")</f>
        <v>-0.28520023592001631</v>
      </c>
      <c r="AB21" s="67">
        <f>P21/M21</f>
        <v>0.44701518118659567</v>
      </c>
      <c r="AC21" s="67">
        <f>Q21/N21</f>
        <v>0.52432163352712868</v>
      </c>
      <c r="AD21" s="67">
        <f>R21/O21</f>
        <v>0.44701518118659567</v>
      </c>
    </row>
    <row r="23" spans="2:30" x14ac:dyDescent="0.2">
      <c r="B23" s="95"/>
      <c r="C23" s="95"/>
      <c r="D23" s="95"/>
      <c r="E23" s="96"/>
      <c r="F23" s="96"/>
      <c r="G23" s="96"/>
      <c r="H23" s="96"/>
      <c r="I23" s="96"/>
      <c r="J23" s="96"/>
      <c r="K23" s="96"/>
      <c r="L23" s="96"/>
      <c r="M23" s="97" t="s">
        <v>61</v>
      </c>
      <c r="N23" s="97"/>
      <c r="O23" s="97"/>
      <c r="P23" s="97" t="s">
        <v>62</v>
      </c>
      <c r="Q23" s="97"/>
      <c r="R23" s="97"/>
      <c r="S23" s="97" t="s">
        <v>63</v>
      </c>
      <c r="T23" s="97"/>
      <c r="U23" s="97"/>
      <c r="V23" s="97" t="s">
        <v>64</v>
      </c>
      <c r="W23" s="97"/>
      <c r="X23" s="97"/>
    </row>
    <row r="24" spans="2:30" x14ac:dyDescent="0.2">
      <c r="B24" s="103" t="s">
        <v>29</v>
      </c>
      <c r="C24" s="103"/>
      <c r="D24" s="103"/>
      <c r="E24" s="104"/>
      <c r="F24" s="104"/>
      <c r="G24" s="104" t="s">
        <v>30</v>
      </c>
      <c r="H24" s="104"/>
      <c r="I24" s="104"/>
      <c r="J24" s="104"/>
      <c r="K24" s="104"/>
      <c r="L24" s="104" t="s">
        <v>33</v>
      </c>
      <c r="M24" s="105" t="str">
        <f>$M$6</f>
        <v>LTM</v>
      </c>
      <c r="N24" s="106" t="str">
        <f>+$N$6</f>
        <v>FY22</v>
      </c>
      <c r="O24" s="106" t="str">
        <f>+$O$6</f>
        <v>FY23</v>
      </c>
      <c r="P24" s="105" t="str">
        <f>$M$6</f>
        <v>LTM</v>
      </c>
      <c r="Q24" s="106" t="str">
        <f>+$N$6</f>
        <v>FY22</v>
      </c>
      <c r="R24" s="106" t="str">
        <f>+$O$6</f>
        <v>FY23</v>
      </c>
      <c r="S24" s="105" t="str">
        <f>$M$6</f>
        <v>LTM</v>
      </c>
      <c r="T24" s="106" t="str">
        <f>+$N$6</f>
        <v>FY22</v>
      </c>
      <c r="U24" s="106" t="str">
        <f>+$O$6</f>
        <v>FY23</v>
      </c>
      <c r="V24" s="105" t="str">
        <f>$M$6</f>
        <v>LTM</v>
      </c>
      <c r="W24" s="106" t="str">
        <f>+$N$6</f>
        <v>FY22</v>
      </c>
      <c r="X24" s="106" t="str">
        <f>+$O$6</f>
        <v>FY23</v>
      </c>
    </row>
    <row r="25" spans="2:30" x14ac:dyDescent="0.2">
      <c r="B25" s="19" t="str">
        <f>+B7</f>
        <v xml:space="preserve">Equinix, Inc. </v>
      </c>
      <c r="C25" s="50" t="str">
        <f>+C7</f>
        <v>EQIX</v>
      </c>
      <c r="D25" s="19"/>
      <c r="E25" s="51"/>
      <c r="F25" s="52"/>
      <c r="G25" s="33">
        <f>+G7</f>
        <v>83658.804937599998</v>
      </c>
      <c r="H25" s="43"/>
      <c r="I25" s="43"/>
      <c r="J25" s="43"/>
      <c r="K25" s="43"/>
      <c r="L25" s="33">
        <f>+L7</f>
        <v>99538.804937599998</v>
      </c>
      <c r="M25" s="53">
        <f>IFERROR(IF(OR(+$L7/M7&lt;0,+$L7/M7&gt;=100),"NM",+$L7/M7),"N/A")</f>
        <v>11.224493114298602</v>
      </c>
      <c r="N25" s="53">
        <f>IFERROR(IF(OR(+$L7/N7&lt;0,+$L7/N7&gt;=100),"NM",+$L7/N7),"N/A")</f>
        <v>13.72992401244122</v>
      </c>
      <c r="O25" s="53">
        <f>IFERROR(IF(OR(+$L7/O7&lt;0,+$L7/O7&gt;=100),"NM",+$L7/O7),"N/A")</f>
        <v>12.03225089775764</v>
      </c>
      <c r="P25" s="53">
        <f>IFERROR(IF(OR(+$L7/P7&lt;0,+$L7/P7&gt;=100),"NM",+$L7/P7),"N/A")</f>
        <v>28.910486476212604</v>
      </c>
      <c r="Q25" s="53">
        <f>IFERROR(IF(OR(+$L7/Q7&lt;0,+$L7/Q7&gt;=100),"NM",+$L7/Q7),"N/A")</f>
        <v>34.029429942975916</v>
      </c>
      <c r="R25" s="53">
        <f>IFERROR(IF(OR(+$L7/R7&lt;0,+$L7/R7&gt;=100),"NM",+$L7/R7),"N/A")</f>
        <v>29.537464850796027</v>
      </c>
      <c r="S25" s="53">
        <f>IFERROR(IF(OR(+$L7/S7&lt;0,+$L7/S7&gt;=100),"NM",+$L7/S7),"N/A")</f>
        <v>69.510338643575423</v>
      </c>
      <c r="T25" s="53">
        <f>IFERROR(IF(OR(+$L7/T7&lt;0,+$L7/T7&gt;=100),"NM",+$L7/T7),"N/A")</f>
        <v>83.948976337810564</v>
      </c>
      <c r="U25" s="53">
        <f>IFERROR(IF(OR(+$L7/U7&lt;0,+$L7/U7&gt;=100),"NM",+$L7/U7),"N/A")</f>
        <v>65.217804751508922</v>
      </c>
      <c r="V25" s="53" t="str">
        <f>IFERROR(IF(OR(+$G7/V7&lt;0,+$G7/V7&gt;=100),"NM",+$G7/V7),"N/A")</f>
        <v>NM</v>
      </c>
      <c r="W25" s="53" t="str">
        <f>IFERROR(IF(OR(+$G7/W7&lt;0,+$G7/W7&gt;=100),"NM",+$G7/W7),"N/A")</f>
        <v>NM</v>
      </c>
      <c r="X25" s="53">
        <f>IFERROR(IF(OR(+$G7/X7&lt;0,+$G7/X7&gt;=100),"NM",+$G7/X7),"N/A")</f>
        <v>86.336977995005057</v>
      </c>
    </row>
    <row r="26" spans="2:30" x14ac:dyDescent="0.2">
      <c r="B26" s="23" t="str">
        <f>+B8</f>
        <v xml:space="preserve">GDS Holdings Limited </v>
      </c>
      <c r="C26" s="46" t="str">
        <f>+C8</f>
        <v>GDS</v>
      </c>
      <c r="D26" s="23"/>
      <c r="E26" s="54"/>
      <c r="F26" s="55"/>
      <c r="G26" s="36">
        <f>+G8</f>
        <v>7068.2971723199998</v>
      </c>
      <c r="H26" s="45"/>
      <c r="I26" s="45"/>
      <c r="J26" s="45"/>
      <c r="K26" s="45"/>
      <c r="L26" s="36">
        <f>+L8</f>
        <v>12899.354724957886</v>
      </c>
      <c r="M26" s="56">
        <f>IFERROR(IF(OR(+$L8/M8&lt;0,+$L8/M8&gt;=100),"NM",+$L8/M8),"N/A")</f>
        <v>8.4628227022746998</v>
      </c>
      <c r="N26" s="56">
        <f>IFERROR(IF(OR(+$L8/N8&lt;0,+$L8/N8&gt;=100),"NM",+$L8/N8),"N/A")</f>
        <v>9.2931914102214197</v>
      </c>
      <c r="O26" s="56">
        <f>IFERROR(IF(OR(+$L8/O8&lt;0,+$L8/O8&gt;=100),"NM",+$L8/O8),"N/A")</f>
        <v>9.1679287795045123</v>
      </c>
      <c r="P26" s="56">
        <f>IFERROR(IF(OR(+$L8/P8&lt;0,+$L8/P8&gt;=100),"NM",+$L8/P8),"N/A")</f>
        <v>20.696615778477963</v>
      </c>
      <c r="Q26" s="56">
        <f>IFERROR(IF(OR(+$L8/Q8&lt;0,+$L8/Q8&gt;=100),"NM",+$L8/Q8),"N/A")</f>
        <v>23.128951170418809</v>
      </c>
      <c r="R26" s="56">
        <f>IFERROR(IF(OR(+$L8/R8&lt;0,+$L8/R8&gt;=100),"NM",+$L8/R8),"N/A")</f>
        <v>22.40648804275305</v>
      </c>
      <c r="S26" s="56">
        <f>IFERROR(IF(OR(+$L8/S8&lt;0,+$L8/S8&gt;=100),"NM",+$L8/S8),"N/A")</f>
        <v>99.841699653980626</v>
      </c>
      <c r="T26" s="56" t="str">
        <f>IFERROR(IF(OR(+$L8/T8&lt;0,+$L8/T8&gt;=100),"NM",+$L8/T8),"N/A")</f>
        <v>NM</v>
      </c>
      <c r="U26" s="56" t="str">
        <f>IFERROR(IF(OR(+$L8/U8&lt;0,+$L8/U8&gt;=100),"NM",+$L8/U8),"N/A")</f>
        <v>NM</v>
      </c>
      <c r="V26" s="56" t="str">
        <f>IFERROR(IF(OR(+$G8/V8&lt;0,+$G8/V8&gt;=100),"NM",+$G8/V8),"N/A")</f>
        <v>NM</v>
      </c>
      <c r="W26" s="56" t="str">
        <f>IFERROR(IF(OR(+$G8/W8&lt;0,+$G8/W8&gt;=100),"NM",+$G8/W8),"N/A")</f>
        <v>NM</v>
      </c>
      <c r="X26" s="56" t="str">
        <f>IFERROR(IF(OR(+$G8/X8&lt;0,+$G8/X8&gt;=100),"NM",+$G8/X8),"N/A")</f>
        <v>NM</v>
      </c>
    </row>
    <row r="27" spans="2:30" x14ac:dyDescent="0.2">
      <c r="B27" s="23" t="str">
        <f>+B9</f>
        <v xml:space="preserve">NEXTDC Limited </v>
      </c>
      <c r="C27" s="46" t="str">
        <f>+C9</f>
        <v>NXT</v>
      </c>
      <c r="D27" s="23"/>
      <c r="E27" s="54"/>
      <c r="F27" s="55"/>
      <c r="G27" s="36">
        <f>+G9</f>
        <v>5376.1532229154882</v>
      </c>
      <c r="H27" s="45"/>
      <c r="I27" s="45"/>
      <c r="J27" s="45"/>
      <c r="K27" s="45"/>
      <c r="L27" s="36">
        <f>+L9</f>
        <v>5522.1967243833287</v>
      </c>
      <c r="M27" s="56">
        <f>IFERROR(IF(OR(+$L9/M9&lt;0,+$L9/M9&gt;=100),"NM",+$L9/M9),"N/A")</f>
        <v>20.889695063583908</v>
      </c>
      <c r="N27" s="56">
        <f>IFERROR(IF(OR(+$L9/N9&lt;0,+$L9/N9&gt;=100),"NM",+$L9/N9),"N/A")</f>
        <v>26.147785301808632</v>
      </c>
      <c r="O27" s="56">
        <f>IFERROR(IF(OR(+$L9/O9&lt;0,+$L9/O9&gt;=100),"NM",+$L9/O9),"N/A")</f>
        <v>22.639609204072016</v>
      </c>
      <c r="P27" s="56">
        <f>IFERROR(IF(OR(+$L9/P9&lt;0,+$L9/P9&gt;=100),"NM",+$L9/P9),"N/A")</f>
        <v>47.425851790843289</v>
      </c>
      <c r="Q27" s="56">
        <f>IFERROR(IF(OR(+$L9/Q9&lt;0,+$L9/Q9&gt;=100),"NM",+$L9/Q9),"N/A")</f>
        <v>49.640948868781145</v>
      </c>
      <c r="R27" s="56">
        <f>IFERROR(IF(OR(+$L9/R9&lt;0,+$L9/R9&gt;=100),"NM",+$L9/R9),"N/A")</f>
        <v>47.129305963454136</v>
      </c>
      <c r="S27" s="56" t="str">
        <f>IFERROR(IF(OR(+$L9/S9&lt;0,+$L9/S9&gt;=100),"NM",+$L9/S9),"N/A")</f>
        <v>NM</v>
      </c>
      <c r="T27" s="56" t="str">
        <f>IFERROR(IF(OR(+$L9/T9&lt;0,+$L9/T9&gt;=100),"NM",+$L9/T9),"N/A")</f>
        <v>NM</v>
      </c>
      <c r="U27" s="56" t="str">
        <f>IFERROR(IF(OR(+$L9/U9&lt;0,+$L9/U9&gt;=100),"NM",+$L9/U9),"N/A")</f>
        <v>NM</v>
      </c>
      <c r="V27" s="56" t="str">
        <f>IFERROR(IF(OR(+$G9/V9&lt;0,+$G9/V9&gt;=100),"NM",+$G9/V9),"N/A")</f>
        <v>NM</v>
      </c>
      <c r="W27" s="56" t="str">
        <f>IFERROR(IF(OR(+$G9/W9&lt;0,+$G9/W9&gt;=100),"NM",+$G9/W9),"N/A")</f>
        <v>NM</v>
      </c>
      <c r="X27" s="56" t="str">
        <f>IFERROR(IF(OR(+$G9/X9&lt;0,+$G9/X9&gt;=100),"NM",+$G9/X9),"N/A")</f>
        <v>NM</v>
      </c>
    </row>
    <row r="28" spans="2:30" x14ac:dyDescent="0.2">
      <c r="B28" s="23" t="str">
        <f t="shared" ref="B28" si="13">+B10</f>
        <v xml:space="preserve">Shanghai @hub Co.,Ltd. </v>
      </c>
      <c r="C28" s="46">
        <f>+C10</f>
        <v>603881</v>
      </c>
      <c r="D28" s="23"/>
      <c r="E28" s="54"/>
      <c r="F28" s="55"/>
      <c r="G28" s="36">
        <f>+G10</f>
        <v>17493.509389246654</v>
      </c>
      <c r="H28" s="45"/>
      <c r="I28" s="45"/>
      <c r="J28" s="45"/>
      <c r="K28" s="45"/>
      <c r="L28" s="36">
        <f>+L10</f>
        <v>19503.845616659146</v>
      </c>
      <c r="M28" s="56">
        <f>IFERROR(IF(OR(+$L10/M10&lt;0,+$L10/M10&gt;=100),"NM",+$L10/M10),"N/A")</f>
        <v>15.161737841239342</v>
      </c>
      <c r="N28" s="56">
        <f>IFERROR(IF(OR(+$L10/N10&lt;0,+$L10/N10&gt;=100),"NM",+$L10/N10),"N/A")</f>
        <v>16.766389107289932</v>
      </c>
      <c r="O28" s="56">
        <f>IFERROR(IF(OR(+$L10/O10&lt;0,+$L10/O10&gt;=100),"NM",+$L10/O10),"N/A")</f>
        <v>15.823359372756167</v>
      </c>
      <c r="P28" s="56">
        <f>IFERROR(IF(OR(+$L10/P10&lt;0,+$L10/P10&gt;=100),"NM",+$L10/P10),"N/A")</f>
        <v>24.322913911129824</v>
      </c>
      <c r="Q28" s="56">
        <f>IFERROR(IF(OR(+$L10/Q10&lt;0,+$L10/Q10&gt;=100),"NM",+$L10/Q10),"N/A")</f>
        <v>25.788453858016862</v>
      </c>
      <c r="R28" s="56">
        <f>IFERROR(IF(OR(+$L10/R10&lt;0,+$L10/R10&gt;=100),"NM",+$L10/R10),"N/A")</f>
        <v>24.410904806935843</v>
      </c>
      <c r="S28" s="56">
        <f>IFERROR(IF(OR(+$L10/S10&lt;0,+$L10/S10&gt;=100),"NM",+$L10/S10),"N/A")</f>
        <v>83.66785609715923</v>
      </c>
      <c r="T28" s="56">
        <f>IFERROR(IF(OR(+$L10/T10&lt;0,+$L10/T10&gt;=100),"NM",+$L10/T10),"N/A")</f>
        <v>82.046576808463982</v>
      </c>
      <c r="U28" s="56">
        <f>IFERROR(IF(OR(+$L10/U10&lt;0,+$L10/U10&gt;=100),"NM",+$L10/U10),"N/A")</f>
        <v>77.481059629644051</v>
      </c>
      <c r="V28" s="56" t="str">
        <f>IFERROR(IF(OR(+$G10/V10&lt;0,+$G10/V10&gt;=100),"NM",+$G10/V10),"N/A")</f>
        <v>NM</v>
      </c>
      <c r="W28" s="56" t="str">
        <f>IFERROR(IF(OR(+$G10/W10&lt;0,+$G10/W10&gt;=100),"NM",+$G10/W10),"N/A")</f>
        <v>NM</v>
      </c>
      <c r="X28" s="56" t="str">
        <f>IFERROR(IF(OR(+$G10/X10&lt;0,+$G10/X10&gt;=100),"NM",+$G10/X10),"N/A")</f>
        <v>NM</v>
      </c>
    </row>
    <row r="29" spans="2:30" x14ac:dyDescent="0.2">
      <c r="B29" s="23" t="str">
        <f t="shared" ref="B29" si="14">+B11</f>
        <v xml:space="preserve">OVH Groupe S.A. </v>
      </c>
      <c r="C29" s="46" t="str">
        <f>+C11</f>
        <v>OVH</v>
      </c>
      <c r="D29" s="23"/>
      <c r="E29" s="54"/>
      <c r="F29" s="55"/>
      <c r="G29" s="36">
        <f>+G11</f>
        <v>7472.0647764255345</v>
      </c>
      <c r="H29" s="45"/>
      <c r="I29" s="45"/>
      <c r="J29" s="45"/>
      <c r="K29" s="45"/>
      <c r="L29" s="36">
        <f>+L11</f>
        <v>12743.620627489363</v>
      </c>
      <c r="M29" s="56">
        <f>IFERROR(IF(OR(+$L11/M11&lt;0,+$L11/M11&gt;=100),"NM",+$L11/M11),"N/A")</f>
        <v>1.9967973556202907</v>
      </c>
      <c r="N29" s="56">
        <f>IFERROR(IF(OR(+$L11/N11&lt;0,+$L11/N11&gt;=100),"NM",+$L11/N11),"N/A")</f>
        <v>2.5765795821816817</v>
      </c>
      <c r="O29" s="56">
        <f>IFERROR(IF(OR(+$L11/O11&lt;0,+$L11/O11&gt;=100),"NM",+$L11/O11),"N/A")</f>
        <v>2.262723526494514</v>
      </c>
      <c r="P29" s="56">
        <f>IFERROR(IF(OR(+$L11/P11&lt;0,+$L11/P11&gt;=100),"NM",+$L11/P11),"N/A")</f>
        <v>7.1528104702450541</v>
      </c>
      <c r="Q29" s="56">
        <f>IFERROR(IF(OR(+$L11/Q11&lt;0,+$L11/Q11&gt;=100),"NM",+$L11/Q11),"N/A")</f>
        <v>8.3572671680188364</v>
      </c>
      <c r="R29" s="56">
        <f>IFERROR(IF(OR(+$L11/R11&lt;0,+$L11/R11&gt;=100),"NM",+$L11/R11),"N/A")</f>
        <v>7.7310926723021636</v>
      </c>
      <c r="S29" s="56">
        <f>IFERROR(IF(OR(+$L11/S11&lt;0,+$L11/S11&gt;=100),"NM",+$L11/S11),"N/A")</f>
        <v>54.532111022776213</v>
      </c>
      <c r="T29" s="56" t="str">
        <f>IFERROR(IF(OR(+$L11/T11&lt;0,+$L11/T11&gt;=100),"NM",+$L11/T11),"N/A")</f>
        <v>NM</v>
      </c>
      <c r="U29" s="56" t="str">
        <f>IFERROR(IF(OR(+$L11/U11&lt;0,+$L11/U11&gt;=100),"NM",+$L11/U11),"N/A")</f>
        <v>NM</v>
      </c>
      <c r="V29" s="56" t="str">
        <f>IFERROR(IF(OR(+$G11/V11&lt;0,+$G11/V11&gt;=100),"NM",+$G11/V11),"N/A")</f>
        <v>NM</v>
      </c>
      <c r="W29" s="56" t="str">
        <f>IFERROR(IF(OR(+$G11/W11&lt;0,+$G11/W11&gt;=100),"NM",+$G11/W11),"N/A")</f>
        <v>NM</v>
      </c>
      <c r="X29" s="56" t="str">
        <f>IFERROR(IF(OR(+$G11/X11&lt;0,+$G11/X11&gt;=100),"NM",+$G11/X11),"N/A")</f>
        <v>NM</v>
      </c>
    </row>
    <row r="30" spans="2:30" x14ac:dyDescent="0.2">
      <c r="B30" s="23" t="str">
        <f t="shared" ref="B30" si="15">+B12</f>
        <v xml:space="preserve">Macquarie Technology Group Limited </v>
      </c>
      <c r="C30" s="46" t="str">
        <f>+C12</f>
        <v>MAQ</v>
      </c>
      <c r="D30" s="23"/>
      <c r="E30" s="54"/>
      <c r="F30" s="55"/>
      <c r="G30" s="36">
        <f>+G12</f>
        <v>6417.5903951042446</v>
      </c>
      <c r="H30" s="45"/>
      <c r="I30" s="45"/>
      <c r="J30" s="45"/>
      <c r="K30" s="45"/>
      <c r="L30" s="36">
        <f>+L12</f>
        <v>6835.4416549517264</v>
      </c>
      <c r="M30" s="56">
        <f>IFERROR(IF(OR(+$L12/M12&lt;0,+$L12/M12&gt;=100),"NM",+$L12/M12),"N/A")</f>
        <v>5.1310287779592221</v>
      </c>
      <c r="N30" s="56">
        <f>IFERROR(IF(OR(+$L12/N12&lt;0,+$L12/N12&gt;=100),"NM",+$L12/N12),"N/A")</f>
        <v>6.0644211553457783</v>
      </c>
      <c r="O30" s="56">
        <f>IFERROR(IF(OR(+$L12/O12&lt;0,+$L12/O12&gt;=100),"NM",+$L12/O12),"N/A")</f>
        <v>5.4361000158233024</v>
      </c>
      <c r="P30" s="56">
        <f>IFERROR(IF(OR(+$L12/P12&lt;0,+$L12/P12&gt;=100),"NM",+$L12/P12),"N/A")</f>
        <v>20.234144239299237</v>
      </c>
      <c r="Q30" s="56">
        <f>IFERROR(IF(OR(+$L12/Q12&lt;0,+$L12/Q12&gt;=100),"NM",+$L12/Q12),"N/A")</f>
        <v>30.210760308584327</v>
      </c>
      <c r="R30" s="56">
        <f>IFERROR(IF(OR(+$L12/R12&lt;0,+$L12/R12&gt;=100),"NM",+$L12/R12),"N/A")</f>
        <v>23.57433306388165</v>
      </c>
      <c r="S30" s="56">
        <f>IFERROR(IF(OR(+$L12/S12&lt;0,+$L12/S12&gt;=100),"NM",+$L12/S12),"N/A")</f>
        <v>33.458539635053327</v>
      </c>
      <c r="T30" s="56">
        <f>IFERROR(IF(OR(+$L12/T12&lt;0,+$L12/T12&gt;=100),"NM",+$L12/T12),"N/A")</f>
        <v>86.326389045054853</v>
      </c>
      <c r="U30" s="56">
        <f>IFERROR(IF(OR(+$L12/U12&lt;0,+$L12/U12&gt;=100),"NM",+$L12/U12),"N/A")</f>
        <v>49.172572091121182</v>
      </c>
      <c r="V30" s="56">
        <f>IFERROR(IF(OR(+$G12/V12&lt;0,+$G12/V12&gt;=100),"NM",+$G12/V12),"N/A")</f>
        <v>48.776355939733023</v>
      </c>
      <c r="W30" s="56" t="str">
        <f>IFERROR(IF(OR(+$G12/W12&lt;0,+$G12/W12&gt;=100),"NM",+$G12/W12),"N/A")</f>
        <v>NM</v>
      </c>
      <c r="X30" s="56">
        <f>IFERROR(IF(OR(+$G12/X12&lt;0,+$G12/X12&gt;=100),"NM",+$G12/X12),"N/A")</f>
        <v>99.548872735289052</v>
      </c>
    </row>
    <row r="31" spans="2:30" x14ac:dyDescent="0.2">
      <c r="B31" s="28" t="str">
        <f>+B13</f>
        <v xml:space="preserve">SUNeVision Holdings Ltd. </v>
      </c>
      <c r="C31" s="47">
        <f>+C13</f>
        <v>1686</v>
      </c>
      <c r="D31" s="28"/>
      <c r="E31" s="57"/>
      <c r="F31" s="58"/>
      <c r="G31" s="39">
        <f>+G13</f>
        <v>25666.131895311315</v>
      </c>
      <c r="H31" s="49"/>
      <c r="I31" s="49"/>
      <c r="J31" s="49"/>
      <c r="K31" s="49"/>
      <c r="L31" s="39">
        <f>+L13</f>
        <v>38231.738950138875</v>
      </c>
      <c r="M31" s="59">
        <f>IFERROR(IF(OR(+$L13/M13&lt;0,+$L13/M13&gt;=100),"NM",+$L13/M13),"N/A")</f>
        <v>18.008930996251674</v>
      </c>
      <c r="N31" s="59">
        <f>IFERROR(IF(OR(+$L13/N13&lt;0,+$L13/N13&gt;=100),"NM",+$L13/N13),"N/A")</f>
        <v>24.639248439361573</v>
      </c>
      <c r="O31" s="59">
        <f>IFERROR(IF(OR(+$L13/O13&lt;0,+$L13/O13&gt;=100),"NM",+$L13/O13),"N/A")</f>
        <v>21.907833853744197</v>
      </c>
      <c r="P31" s="59">
        <f>IFERROR(IF(OR(+$L13/P13&lt;0,+$L13/P13&gt;=100),"NM",+$L13/P13),"N/A")</f>
        <v>30.983783147623754</v>
      </c>
      <c r="Q31" s="59">
        <f>IFERROR(IF(OR(+$L13/Q13&lt;0,+$L13/Q13&gt;=100),"NM",+$L13/Q13),"N/A")</f>
        <v>39.258827957112459</v>
      </c>
      <c r="R31" s="59">
        <f>IFERROR(IF(OR(+$L13/R13&lt;0,+$L13/R13&gt;=100),"NM",+$L13/R13),"N/A")</f>
        <v>35.15377102287529</v>
      </c>
      <c r="S31" s="59">
        <f>IFERROR(IF(OR(+$L13/S13&lt;0,+$L13/S13&gt;=100),"NM",+$L13/S13),"N/A")</f>
        <v>36.839030942873208</v>
      </c>
      <c r="T31" s="59">
        <f>IFERROR(IF(OR(+$L13/T13&lt;0,+$L13/T13&gt;=100),"NM",+$L13/T13),"N/A")</f>
        <v>49.329982666144488</v>
      </c>
      <c r="U31" s="59">
        <f>IFERROR(IF(OR(+$L13/U13&lt;0,+$L13/U13&gt;=100),"NM",+$L13/U13),"N/A")</f>
        <v>43.884115541335547</v>
      </c>
      <c r="V31" s="59">
        <f>IFERROR(IF(OR(+$G13/V13&lt;0,+$G13/V13&gt;=100),"NM",+$G13/V13),"N/A")</f>
        <v>36.099832549997799</v>
      </c>
      <c r="W31" s="59">
        <f>IFERROR(IF(OR(+$G13/W13&lt;0,+$G13/W13&gt;=100),"NM",+$G13/W13),"N/A")</f>
        <v>40.742634788995652</v>
      </c>
      <c r="X31" s="59">
        <f>IFERROR(IF(OR(+$G13/X13&lt;0,+$G13/X13&gt;=100),"NM",+$G13/X13),"N/A")</f>
        <v>38.108526573260505</v>
      </c>
    </row>
    <row r="32" spans="2:30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 x14ac:dyDescent="0.2">
      <c r="B33" s="19" t="s">
        <v>21</v>
      </c>
      <c r="C33" s="19"/>
      <c r="D33" s="19"/>
      <c r="E33" s="20"/>
      <c r="F33" s="20"/>
      <c r="G33" s="21">
        <f>MAX(G25:G31)</f>
        <v>83658.804937599998</v>
      </c>
      <c r="H33" s="21"/>
      <c r="I33" s="21"/>
      <c r="J33" s="21"/>
      <c r="K33" s="21"/>
      <c r="L33" s="21">
        <f>MAX(L25:L31)</f>
        <v>99538.804937599998</v>
      </c>
      <c r="M33" s="22">
        <f>MAX(M25:M31)</f>
        <v>20.889695063583908</v>
      </c>
      <c r="N33" s="22">
        <f>MAX(N25:N31)</f>
        <v>26.147785301808632</v>
      </c>
      <c r="O33" s="22">
        <f>MAX(O25:O31)</f>
        <v>22.639609204072016</v>
      </c>
      <c r="P33" s="22">
        <f>MAX(P25:P31)</f>
        <v>47.425851790843289</v>
      </c>
      <c r="Q33" s="22">
        <f>MAX(Q25:Q31)</f>
        <v>49.640948868781145</v>
      </c>
      <c r="R33" s="22">
        <f>MAX(R25:R31)</f>
        <v>47.129305963454136</v>
      </c>
      <c r="S33" s="22">
        <f>MAX(S25:S31)</f>
        <v>99.841699653980626</v>
      </c>
      <c r="T33" s="22">
        <f>MAX(T25:T31)</f>
        <v>86.326389045054853</v>
      </c>
      <c r="U33" s="22">
        <f>MAX(U25:U31)</f>
        <v>77.481059629644051</v>
      </c>
      <c r="V33" s="22">
        <f>MAX(V25:V31)</f>
        <v>48.776355939733023</v>
      </c>
      <c r="W33" s="22">
        <f>MAX(W25:W31)</f>
        <v>40.742634788995652</v>
      </c>
      <c r="X33" s="22">
        <f>MAX(X25:X31)</f>
        <v>99.548872735289052</v>
      </c>
    </row>
    <row r="34" spans="2:24" x14ac:dyDescent="0.2">
      <c r="B34" s="23" t="s">
        <v>22</v>
      </c>
      <c r="C34" s="23"/>
      <c r="D34" s="23"/>
      <c r="E34" s="24"/>
      <c r="F34" s="24"/>
      <c r="G34" s="25">
        <f>QUARTILE(G25:G31,3)</f>
        <v>21579.820642278984</v>
      </c>
      <c r="H34" s="25"/>
      <c r="I34" s="25"/>
      <c r="J34" s="25"/>
      <c r="K34" s="25"/>
      <c r="L34" s="25">
        <f>QUARTILE(L25:L31,3)</f>
        <v>28867.792283399009</v>
      </c>
      <c r="M34" s="26">
        <f>QUARTILE(M25:M31,3)</f>
        <v>16.585334418745507</v>
      </c>
      <c r="N34" s="26">
        <f>QUARTILE(N25:N31,3)</f>
        <v>20.702818773325752</v>
      </c>
      <c r="O34" s="26">
        <f>QUARTILE(O25:O31,3)</f>
        <v>18.865596613250183</v>
      </c>
      <c r="P34" s="26">
        <f>QUARTILE(P25:P31,3)</f>
        <v>29.947134811918179</v>
      </c>
      <c r="Q34" s="26">
        <f>QUARTILE(Q25:Q31,3)</f>
        <v>36.644128950044191</v>
      </c>
      <c r="R34" s="26">
        <f>QUARTILE(R25:R31,3)</f>
        <v>32.345617936835659</v>
      </c>
      <c r="S34" s="26">
        <f>QUARTILE(S25:S31,3)</f>
        <v>80.128476733763279</v>
      </c>
      <c r="T34" s="26">
        <f>QUARTILE(T25:T31,3)</f>
        <v>84.543329514621632</v>
      </c>
      <c r="U34" s="26">
        <f>QUARTILE(U25:U31,3)</f>
        <v>68.283618471042701</v>
      </c>
      <c r="V34" s="26">
        <f>QUARTILE(V25:V31,3)</f>
        <v>45.607225092299217</v>
      </c>
      <c r="W34" s="26">
        <f>QUARTILE(W25:W31,3)</f>
        <v>40.742634788995652</v>
      </c>
      <c r="X34" s="26">
        <f>QUARTILE(X25:X31,3)</f>
        <v>92.942925365147062</v>
      </c>
    </row>
    <row r="35" spans="2:24" x14ac:dyDescent="0.2">
      <c r="B35" s="111" t="s">
        <v>23</v>
      </c>
      <c r="C35" s="111"/>
      <c r="D35" s="111"/>
      <c r="E35" s="112"/>
      <c r="F35" s="112"/>
      <c r="G35" s="116">
        <f>MEDIAN(G25:G31)</f>
        <v>7472.0647764255345</v>
      </c>
      <c r="H35" s="116"/>
      <c r="I35" s="116"/>
      <c r="J35" s="116"/>
      <c r="K35" s="116"/>
      <c r="L35" s="116">
        <f>MEDIAN(L25:L31)</f>
        <v>12899.354724957886</v>
      </c>
      <c r="M35" s="117">
        <f>MEDIAN(M25:M31)</f>
        <v>11.224493114298602</v>
      </c>
      <c r="N35" s="117">
        <f>MEDIAN(N25:N31)</f>
        <v>13.72992401244122</v>
      </c>
      <c r="O35" s="117">
        <f>MEDIAN(O25:O31)</f>
        <v>12.03225089775764</v>
      </c>
      <c r="P35" s="117">
        <f>MEDIAN(P25:P31)</f>
        <v>24.322913911129824</v>
      </c>
      <c r="Q35" s="117">
        <f>MEDIAN(Q25:Q31)</f>
        <v>30.210760308584327</v>
      </c>
      <c r="R35" s="117">
        <f>MEDIAN(R25:R31)</f>
        <v>24.410904806935843</v>
      </c>
      <c r="S35" s="117">
        <f>MEDIAN(S25:S31)</f>
        <v>62.021224833175822</v>
      </c>
      <c r="T35" s="117">
        <f>MEDIAN(T25:T31)</f>
        <v>82.997776573137273</v>
      </c>
      <c r="U35" s="117">
        <f>MEDIAN(U25:U31)</f>
        <v>57.195188421315052</v>
      </c>
      <c r="V35" s="117">
        <f>MEDIAN(V25:V31)</f>
        <v>42.438094244865411</v>
      </c>
      <c r="W35" s="117">
        <f>MEDIAN(W25:W31)</f>
        <v>40.742634788995652</v>
      </c>
      <c r="X35" s="117">
        <f>MEDIAN(X25:X31)</f>
        <v>86.336977995005057</v>
      </c>
    </row>
    <row r="36" spans="2:24" x14ac:dyDescent="0.2">
      <c r="B36" s="23" t="s">
        <v>24</v>
      </c>
      <c r="C36" s="27"/>
      <c r="D36" s="23"/>
      <c r="E36" s="24"/>
      <c r="F36" s="24"/>
      <c r="G36" s="25">
        <f>QUARTILE(G25:G31,1)</f>
        <v>6742.9437837121222</v>
      </c>
      <c r="H36" s="25"/>
      <c r="I36" s="25"/>
      <c r="J36" s="25"/>
      <c r="K36" s="25"/>
      <c r="L36" s="25">
        <f>QUARTILE(L25:L31,1)</f>
        <v>9789.5311412205447</v>
      </c>
      <c r="M36" s="26">
        <f>QUARTILE(M25:M31,1)</f>
        <v>6.7969257401169614</v>
      </c>
      <c r="N36" s="26">
        <f>QUARTILE(N25:N31,1)</f>
        <v>7.678806282783599</v>
      </c>
      <c r="O36" s="26">
        <f>QUARTILE(O25:O31,1)</f>
        <v>7.3020143976639069</v>
      </c>
      <c r="P36" s="26">
        <f>QUARTILE(P25:P31,1)</f>
        <v>20.465380008888602</v>
      </c>
      <c r="Q36" s="26">
        <f>QUARTILE(Q25:Q31,1)</f>
        <v>24.458702514217833</v>
      </c>
      <c r="R36" s="26">
        <f>QUARTILE(R25:R31,1)</f>
        <v>22.99041055331735</v>
      </c>
      <c r="S36" s="26">
        <f>QUARTILE(S25:S31,1)</f>
        <v>41.262300962848961</v>
      </c>
      <c r="T36" s="26">
        <f>QUARTILE(T25:T31,1)</f>
        <v>73.867428272884112</v>
      </c>
      <c r="U36" s="26">
        <f>QUARTILE(U25:U31,1)</f>
        <v>47.850457953674777</v>
      </c>
      <c r="V36" s="26">
        <f>QUARTILE(V25:V31,1)</f>
        <v>39.268963397431605</v>
      </c>
      <c r="W36" s="26">
        <f>QUARTILE(W25:W31,1)</f>
        <v>40.742634788995652</v>
      </c>
      <c r="X36" s="26">
        <f>QUARTILE(X25:X31,1)</f>
        <v>62.222752284132781</v>
      </c>
    </row>
    <row r="37" spans="2:24" x14ac:dyDescent="0.2">
      <c r="B37" s="28" t="s">
        <v>25</v>
      </c>
      <c r="C37" s="29"/>
      <c r="D37" s="28"/>
      <c r="E37" s="30"/>
      <c r="F37" s="30"/>
      <c r="G37" s="31">
        <f>MIN(G25:G31)</f>
        <v>5376.1532229154882</v>
      </c>
      <c r="H37" s="31"/>
      <c r="I37" s="31"/>
      <c r="J37" s="31"/>
      <c r="K37" s="31"/>
      <c r="L37" s="31">
        <f>MIN(L25:L31)</f>
        <v>5522.1967243833287</v>
      </c>
      <c r="M37" s="32">
        <f>MIN(M25:M31)</f>
        <v>1.9967973556202907</v>
      </c>
      <c r="N37" s="32">
        <f>MIN(N25:N31)</f>
        <v>2.5765795821816817</v>
      </c>
      <c r="O37" s="32">
        <f>MIN(O25:O31)</f>
        <v>2.262723526494514</v>
      </c>
      <c r="P37" s="32">
        <f>MIN(P25:P31)</f>
        <v>7.1528104702450541</v>
      </c>
      <c r="Q37" s="32">
        <f>MIN(Q25:Q31)</f>
        <v>8.3572671680188364</v>
      </c>
      <c r="R37" s="32">
        <f>MIN(R25:R31)</f>
        <v>7.7310926723021636</v>
      </c>
      <c r="S37" s="32">
        <f>MIN(S25:S31)</f>
        <v>33.458539635053327</v>
      </c>
      <c r="T37" s="32">
        <f>MIN(T25:T31)</f>
        <v>49.329982666144488</v>
      </c>
      <c r="U37" s="32">
        <f>MIN(U25:U31)</f>
        <v>43.884115541335547</v>
      </c>
      <c r="V37" s="32">
        <f>MIN(V25:V31)</f>
        <v>36.099832549997799</v>
      </c>
      <c r="W37" s="32">
        <f>MIN(W25:W31)</f>
        <v>40.742634788995652</v>
      </c>
      <c r="X37" s="32">
        <f>MIN(X25:X31)</f>
        <v>38.108526573260505</v>
      </c>
    </row>
    <row r="38" spans="2:24" x14ac:dyDescent="0.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2:24" ht="13.5" thickBot="1" x14ac:dyDescent="0.25">
      <c r="B39" s="121" t="str">
        <f>B21</f>
        <v>Ascenty Data Centers</v>
      </c>
      <c r="C39" s="121"/>
      <c r="D39" s="121"/>
      <c r="E39" s="122"/>
      <c r="F39" s="123"/>
      <c r="G39" s="124">
        <f>+G21</f>
        <v>2112.9784835384826</v>
      </c>
      <c r="H39" s="124"/>
      <c r="I39" s="124"/>
      <c r="J39" s="124"/>
      <c r="K39" s="124"/>
      <c r="L39" s="124">
        <f>+L21</f>
        <v>3209.2431415357178</v>
      </c>
      <c r="M39" s="125">
        <f>IFERROR(IF(OR(+$L21/M21&lt;0,+$L21/M21&gt;=100),"NM",+$L21/M21),"N/A")</f>
        <v>10.872711768969666</v>
      </c>
      <c r="N39" s="125">
        <f>IFERROR(IF(OR(+$L21/N21&lt;0,+$L21/N21&gt;=100),"NM",+$L21/N21),"-")</f>
        <v>12.946068100366416</v>
      </c>
      <c r="O39" s="125">
        <f>IFERROR(IF(OR(+$L21/O21&lt;0,+$L21/O21&gt;=100),"NM",+$L21/O21),"-")</f>
        <v>10.872711768969666</v>
      </c>
      <c r="P39" s="125">
        <f>IFERROR(IF(OR(+$L21/P21&lt;0,+$L21/P21&gt;=100),"NM",+$L21/P21),"N/A")</f>
        <v>24.322913911129824</v>
      </c>
      <c r="Q39" s="125">
        <f>IFERROR(IF(OR(+$L21/Q21&lt;0,+$L21/Q21&gt;=100),"NM",+$L21/Q21),"-")</f>
        <v>24.691081337380254</v>
      </c>
      <c r="R39" s="125">
        <f>IFERROR(IF(OR(+$L21/R21&lt;0,+$L21/R21&gt;=100),"NM",+$L21/R21),"-")</f>
        <v>24.322913911129824</v>
      </c>
      <c r="S39" s="125">
        <f>IFERROR(IF(OR(+$L21/S21&lt;0,+$L21/S21&gt;=100),"NM",+$L21/S21),"-")</f>
        <v>65.499075202126889</v>
      </c>
      <c r="T39" s="125">
        <f>IFERROR(IF(OR(+$L21/T21&lt;0,+$L21/T21&gt;=100),"NM",+$L21/T21),"-")</f>
        <v>46.818723501937406</v>
      </c>
      <c r="U39" s="125">
        <f>IFERROR(IF(OR(+$L21/U21&lt;0,+$L21/U21&gt;=100),"NM",+$L21/U21),"-")</f>
        <v>65.499075202126889</v>
      </c>
      <c r="V39" s="125">
        <f>IFERROR(IF(OR(+$G21/V21&lt;0,+$G21/V21&gt;=100),"NM",+$G21/V21),"-")</f>
        <v>65.029378845541757</v>
      </c>
      <c r="W39" s="125">
        <f>IFERROR(IF(OR(+$G21/W21&lt;0,+$G21/W21&gt;=100),"NM",+$G21/W21),"-")</f>
        <v>23.193032732141123</v>
      </c>
      <c r="X39" s="125">
        <f>IFERROR(IF(OR(+$G21/X21&lt;0,+$G21/X21&gt;=100),"NM",+$G21/X21),"-")</f>
        <v>65.029378845541757</v>
      </c>
    </row>
    <row r="42" spans="2:24" x14ac:dyDescent="0.2">
      <c r="B42" s="2"/>
    </row>
    <row r="50" spans="4:11" x14ac:dyDescent="0.2">
      <c r="D50" s="62"/>
      <c r="E50" s="62"/>
      <c r="H50" s="62"/>
      <c r="I50" s="62"/>
      <c r="J50" s="62"/>
      <c r="K50" s="62"/>
    </row>
    <row r="53" spans="4:11" x14ac:dyDescent="0.2">
      <c r="E53" s="62"/>
      <c r="G53" s="62"/>
      <c r="H53" s="62"/>
      <c r="I53" s="62"/>
      <c r="J53" s="62"/>
      <c r="K53" s="6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78BF-B4A4-4AE4-9B39-7D1DA249A9D3}">
  <dimension ref="A1:V45"/>
  <sheetViews>
    <sheetView showGridLines="0" zoomScaleNormal="100" workbookViewId="0">
      <selection activeCell="R29" sqref="R29"/>
    </sheetView>
  </sheetViews>
  <sheetFormatPr defaultRowHeight="12.75" x14ac:dyDescent="0.2"/>
  <cols>
    <col min="1" max="1" width="2.7109375" style="17" customWidth="1"/>
    <col min="2" max="2" width="24.7109375" style="17" customWidth="1"/>
    <col min="3" max="6" width="12.85546875" style="17" customWidth="1"/>
    <col min="7" max="7" width="14.7109375" style="17" bestFit="1" customWidth="1"/>
    <col min="8" max="8" width="12.85546875" style="17" customWidth="1"/>
    <col min="9" max="9" width="1.7109375" style="17" customWidth="1"/>
    <col min="10" max="10" width="10.7109375" style="17" customWidth="1"/>
    <col min="11" max="11" width="12.140625" style="17" customWidth="1"/>
    <col min="12" max="12" width="14.7109375" style="17" bestFit="1" customWidth="1"/>
    <col min="13" max="13" width="13.140625" style="17" customWidth="1"/>
    <col min="14" max="14" width="15.28515625" style="17" customWidth="1"/>
    <col min="15" max="15" width="13.5703125" style="17" customWidth="1"/>
    <col min="16" max="16" width="2.28515625" style="17" customWidth="1"/>
    <col min="17" max="21" width="9.140625" style="17"/>
    <col min="22" max="22" width="12.140625" style="17" bestFit="1" customWidth="1"/>
    <col min="23" max="16384" width="9.140625" style="17"/>
  </cols>
  <sheetData>
    <row r="1" spans="1:22" x14ac:dyDescent="0.2">
      <c r="A1" s="2" t="s">
        <v>75</v>
      </c>
    </row>
    <row r="2" spans="1:22" x14ac:dyDescent="0.2">
      <c r="A2" s="10" t="s">
        <v>74</v>
      </c>
    </row>
    <row r="4" spans="1:22" x14ac:dyDescent="0.2">
      <c r="B4" s="96"/>
      <c r="C4" s="96" t="s">
        <v>3</v>
      </c>
      <c r="D4" s="96" t="s">
        <v>21</v>
      </c>
      <c r="E4" s="96" t="s">
        <v>22</v>
      </c>
      <c r="F4" s="96" t="s">
        <v>23</v>
      </c>
      <c r="G4" s="96" t="s">
        <v>24</v>
      </c>
      <c r="H4" s="96" t="s">
        <v>25</v>
      </c>
      <c r="J4" s="96"/>
      <c r="K4" s="96" t="s">
        <v>21</v>
      </c>
      <c r="L4" s="96" t="s">
        <v>22</v>
      </c>
      <c r="M4" s="96" t="s">
        <v>23</v>
      </c>
      <c r="N4" s="96" t="s">
        <v>24</v>
      </c>
      <c r="O4" s="96" t="s">
        <v>25</v>
      </c>
      <c r="Q4" s="107" t="s">
        <v>67</v>
      </c>
      <c r="R4" s="108"/>
      <c r="S4" s="108"/>
      <c r="T4" s="108"/>
      <c r="U4" s="108"/>
      <c r="V4" s="133">
        <f>+M9</f>
        <v>3209.2431415357178</v>
      </c>
    </row>
    <row r="5" spans="1:22" x14ac:dyDescent="0.2">
      <c r="B5" s="100" t="s">
        <v>65</v>
      </c>
      <c r="C5" s="100" t="s">
        <v>66</v>
      </c>
      <c r="D5" s="100" t="s">
        <v>65</v>
      </c>
      <c r="E5" s="100" t="s">
        <v>65</v>
      </c>
      <c r="F5" s="100" t="s">
        <v>65</v>
      </c>
      <c r="G5" s="100" t="s">
        <v>65</v>
      </c>
      <c r="H5" s="100" t="s">
        <v>65</v>
      </c>
      <c r="J5" s="104"/>
      <c r="K5" s="104" t="s">
        <v>65</v>
      </c>
      <c r="L5" s="104" t="s">
        <v>65</v>
      </c>
      <c r="M5" s="104" t="s">
        <v>65</v>
      </c>
      <c r="N5" s="104" t="s">
        <v>65</v>
      </c>
      <c r="O5" s="104" t="s">
        <v>65</v>
      </c>
      <c r="Q5" s="17" t="s">
        <v>68</v>
      </c>
      <c r="V5" s="72">
        <f>+Comps!H21</f>
        <v>17.7521999876347</v>
      </c>
    </row>
    <row r="6" spans="1:22" x14ac:dyDescent="0.2">
      <c r="B6" s="82" t="str">
        <f>Comps!M24&amp;" - "&amp;Comps!$M$23</f>
        <v>LTM - EV / Revenue</v>
      </c>
      <c r="C6" s="83">
        <f>+Comps!M21</f>
        <v>295.16492386883499</v>
      </c>
      <c r="D6" s="84" cm="1">
        <f t="array" ref="D6:H6">+TRANSPOSE(Comps!M33:M37)</f>
        <v>20.889695063583908</v>
      </c>
      <c r="E6" s="84">
        <v>16.585334418745507</v>
      </c>
      <c r="F6" s="84">
        <v>11.224493114298602</v>
      </c>
      <c r="G6" s="84">
        <v>6.7969257401169614</v>
      </c>
      <c r="H6" s="84">
        <v>1.9967973556202907</v>
      </c>
      <c r="J6" s="126" t="s">
        <v>58</v>
      </c>
      <c r="K6" s="78">
        <f>+$C6*D6</f>
        <v>6165.9052530859226</v>
      </c>
      <c r="L6" s="78">
        <f>+$C6*E6</f>
        <v>4895.4089710481867</v>
      </c>
      <c r="M6" s="78">
        <f>+$C6*F6</f>
        <v>3313.0766555482091</v>
      </c>
      <c r="N6" s="78">
        <f>+$C6*G6</f>
        <v>2006.2140686237478</v>
      </c>
      <c r="O6" s="78">
        <f>+$C6*H6</f>
        <v>589.38453945315416</v>
      </c>
      <c r="Q6" s="17" t="s">
        <v>69</v>
      </c>
      <c r="V6" s="72">
        <f>-Comps!I21</f>
        <v>-1114.0168579848701</v>
      </c>
    </row>
    <row r="7" spans="1:22" x14ac:dyDescent="0.2">
      <c r="B7" s="85" t="str">
        <f>Comps!N24&amp;" - "&amp;Comps!$M$23</f>
        <v>FY22 - EV / Revenue</v>
      </c>
      <c r="C7" s="86">
        <f>+Comps!N21</f>
        <v>247.893268956687</v>
      </c>
      <c r="D7" s="87" cm="1">
        <f t="array" ref="D7:H7">+TRANSPOSE(Comps!N33:N37)</f>
        <v>26.147785301808632</v>
      </c>
      <c r="E7" s="87">
        <v>20.702818773325752</v>
      </c>
      <c r="F7" s="87">
        <v>13.72992401244122</v>
      </c>
      <c r="G7" s="87">
        <v>7.678806282783599</v>
      </c>
      <c r="H7" s="87">
        <v>2.5765795821816817</v>
      </c>
      <c r="J7" s="127"/>
      <c r="K7" s="79">
        <f>+$C7*D7</f>
        <v>6481.8599744429539</v>
      </c>
      <c r="L7" s="79">
        <f>+$C7*E7</f>
        <v>5132.0894223375899</v>
      </c>
      <c r="M7" s="79">
        <f>+$C7*F7</f>
        <v>3403.5557459709667</v>
      </c>
      <c r="N7" s="79">
        <f>+$C7*G7</f>
        <v>1903.5243911243726</v>
      </c>
      <c r="O7" s="79">
        <f>+$C7*H7</f>
        <v>638.71673535407183</v>
      </c>
      <c r="Q7" s="17" t="s">
        <v>70</v>
      </c>
      <c r="V7" s="72">
        <f>-Comps!J21</f>
        <v>0</v>
      </c>
    </row>
    <row r="8" spans="1:22" x14ac:dyDescent="0.2">
      <c r="B8" s="85" t="str">
        <f>Comps!O24&amp;" - "&amp;Comps!$M$23</f>
        <v>FY23 - EV / Revenue</v>
      </c>
      <c r="C8" s="86">
        <f>+Comps!O21</f>
        <v>295.16492386883499</v>
      </c>
      <c r="D8" s="87" cm="1">
        <f t="array" ref="D8:H8">+TRANSPOSE(Comps!O33:O37)</f>
        <v>22.639609204072016</v>
      </c>
      <c r="E8" s="87">
        <v>18.865596613250183</v>
      </c>
      <c r="F8" s="87">
        <v>12.03225089775764</v>
      </c>
      <c r="G8" s="87">
        <v>7.3020143976639069</v>
      </c>
      <c r="H8" s="87">
        <v>2.262723526494514</v>
      </c>
      <c r="J8" s="127"/>
      <c r="K8" s="79">
        <f>+$C8*D8</f>
        <v>6682.4185271400929</v>
      </c>
      <c r="L8" s="79">
        <f>+$C8*E8</f>
        <v>5568.4623880901418</v>
      </c>
      <c r="M8" s="79">
        <f>+$C8*F8</f>
        <v>3551.4984202073551</v>
      </c>
      <c r="N8" s="79">
        <f>+$C8*G8</f>
        <v>2155.2985237756043</v>
      </c>
      <c r="O8" s="79">
        <f>+$C8*H8</f>
        <v>667.87661743397507</v>
      </c>
      <c r="Q8" s="9" t="s">
        <v>71</v>
      </c>
      <c r="R8" s="9"/>
      <c r="S8" s="9"/>
      <c r="T8" s="9"/>
      <c r="U8" s="9"/>
      <c r="V8" s="73">
        <f>-Comps!K21</f>
        <v>0</v>
      </c>
    </row>
    <row r="9" spans="1:22" x14ac:dyDescent="0.2">
      <c r="B9" s="85" t="str">
        <f>Comps!P24&amp;" - "&amp;Comps!$P$23</f>
        <v>LTM - EV / EBITDA</v>
      </c>
      <c r="C9" s="86">
        <f>+Comps!P21</f>
        <v>131.94320192315499</v>
      </c>
      <c r="D9" s="87" cm="1">
        <f t="array" ref="D9:H9">+TRANSPOSE(Comps!P33:P37)</f>
        <v>47.425851790843289</v>
      </c>
      <c r="E9" s="87">
        <v>29.947134811918179</v>
      </c>
      <c r="F9" s="87">
        <v>24.322913911129824</v>
      </c>
      <c r="G9" s="87">
        <v>20.465380008888602</v>
      </c>
      <c r="H9" s="87">
        <v>7.1528104702450541</v>
      </c>
      <c r="J9" s="127"/>
      <c r="K9" s="79">
        <f>+$C9*D9</f>
        <v>6257.5187392168573</v>
      </c>
      <c r="L9" s="79">
        <f>+$C9*E9</f>
        <v>3951.3208555088645</v>
      </c>
      <c r="M9" s="79">
        <f>+$C9*F9</f>
        <v>3209.2431415357178</v>
      </c>
      <c r="N9" s="79">
        <f>+$C9*G9</f>
        <v>2700.2677669468881</v>
      </c>
      <c r="O9" s="79">
        <f>+$C9*H9</f>
        <v>943.76471619360041</v>
      </c>
      <c r="Q9" s="109" t="s">
        <v>72</v>
      </c>
      <c r="R9" s="110"/>
      <c r="S9" s="110"/>
      <c r="T9" s="110"/>
      <c r="U9" s="110"/>
      <c r="V9" s="134">
        <f>SUM(V4:V8)</f>
        <v>2112.9784835384826</v>
      </c>
    </row>
    <row r="10" spans="1:22" x14ac:dyDescent="0.2">
      <c r="B10" s="85" t="str">
        <f>Comps!Q24&amp;" - "&amp;Comps!$P$23</f>
        <v>FY22 - EV / EBITDA</v>
      </c>
      <c r="C10" s="86">
        <f>+Comps!Q21</f>
        <v>129.97580371974999</v>
      </c>
      <c r="D10" s="87" cm="1">
        <f t="array" ref="D10:H10">+TRANSPOSE(Comps!Q33:Q37)</f>
        <v>49.640948868781145</v>
      </c>
      <c r="E10" s="87">
        <v>36.644128950044191</v>
      </c>
      <c r="F10" s="87">
        <v>30.210760308584327</v>
      </c>
      <c r="G10" s="87">
        <v>24.458702514217833</v>
      </c>
      <c r="H10" s="87">
        <v>8.3572671680188364</v>
      </c>
      <c r="J10" s="127"/>
      <c r="K10" s="79">
        <f>+$C10*D10</f>
        <v>6452.1222266308432</v>
      </c>
      <c r="L10" s="79">
        <f>+$C10*E10</f>
        <v>4762.8501118921522</v>
      </c>
      <c r="M10" s="79">
        <f>+$C10*F10</f>
        <v>3926.66785209297</v>
      </c>
      <c r="N10" s="79">
        <f>+$C10*G10</f>
        <v>3179.0395172277326</v>
      </c>
      <c r="O10" s="79">
        <f>+$C10*H10</f>
        <v>1086.2425170639272</v>
      </c>
    </row>
    <row r="11" spans="1:22" ht="13.5" thickBot="1" x14ac:dyDescent="0.25">
      <c r="B11" s="85" t="str">
        <f>Comps!R24&amp;" - "&amp;Comps!$P$23</f>
        <v>FY23 - EV / EBITDA</v>
      </c>
      <c r="C11" s="86">
        <f>+Comps!R21</f>
        <v>131.94320192315499</v>
      </c>
      <c r="D11" s="87" cm="1">
        <f t="array" ref="D11:H11">+TRANSPOSE(Comps!R33:R37)</f>
        <v>47.129305963454136</v>
      </c>
      <c r="E11" s="87">
        <v>32.345617936835659</v>
      </c>
      <c r="F11" s="87">
        <v>24.410904806935843</v>
      </c>
      <c r="G11" s="87">
        <v>22.99041055331735</v>
      </c>
      <c r="H11" s="87">
        <v>7.7310926723021636</v>
      </c>
      <c r="J11" s="127"/>
      <c r="K11" s="79">
        <f>+$C11*D11</f>
        <v>6218.3915332341812</v>
      </c>
      <c r="L11" s="79">
        <f>+$C11*E11</f>
        <v>4267.7843987691313</v>
      </c>
      <c r="M11" s="79">
        <f>+$C11*F11</f>
        <v>3220.8529420684508</v>
      </c>
      <c r="N11" s="79">
        <f>+$C11*G11</f>
        <v>3033.4283819325847</v>
      </c>
      <c r="O11" s="79">
        <f>+$C11*H11</f>
        <v>1020.0651215481882</v>
      </c>
      <c r="Q11" s="63" t="s">
        <v>73</v>
      </c>
      <c r="R11" s="63"/>
      <c r="S11" s="63"/>
      <c r="T11" s="63"/>
      <c r="U11" s="63"/>
      <c r="V11" s="81">
        <f>V9/Diluted_Shares</f>
        <v>10.869364401135146</v>
      </c>
    </row>
    <row r="12" spans="1:22" x14ac:dyDescent="0.2">
      <c r="B12" s="85" t="str">
        <f>Comps!S24&amp;" - "&amp;Comps!$S$23</f>
        <v>LTM - EV / EBIT</v>
      </c>
      <c r="C12" s="86">
        <f>+Comps!S21</f>
        <v>48.996770284651397</v>
      </c>
      <c r="D12" s="87" cm="1">
        <f t="array" ref="D12:H12">+TRANSPOSE(Comps!S33:S37)</f>
        <v>99.841699653980626</v>
      </c>
      <c r="E12" s="87">
        <v>80.128476733763279</v>
      </c>
      <c r="F12" s="87">
        <v>62.021224833175822</v>
      </c>
      <c r="G12" s="87">
        <v>41.262300962848961</v>
      </c>
      <c r="H12" s="87">
        <v>33.458539635053327</v>
      </c>
      <c r="J12" s="127"/>
      <c r="K12" s="79">
        <f>+$C12*D12</f>
        <v>4891.9208227752479</v>
      </c>
      <c r="L12" s="79">
        <f>+$C12*E12</f>
        <v>3926.0365677832333</v>
      </c>
      <c r="M12" s="79">
        <f>+$C12*F12</f>
        <v>3038.8397059238323</v>
      </c>
      <c r="N12" s="79">
        <f>+$C12*G12</f>
        <v>2021.7194816928607</v>
      </c>
      <c r="O12" s="79">
        <f>+$C12*H12</f>
        <v>1639.360380558612</v>
      </c>
    </row>
    <row r="13" spans="1:22" x14ac:dyDescent="0.2">
      <c r="B13" s="85" t="str">
        <f>Comps!T24&amp;" - "&amp;Comps!$S$23</f>
        <v>FY22 - EV / EBIT</v>
      </c>
      <c r="C13" s="86">
        <f>+Comps!T21</f>
        <v>68.546147812058905</v>
      </c>
      <c r="D13" s="87" cm="1">
        <f t="array" ref="D13:H13">+TRANSPOSE(Comps!T33:T37)</f>
        <v>86.326389045054853</v>
      </c>
      <c r="E13" s="87">
        <v>84.543329514621632</v>
      </c>
      <c r="F13" s="87">
        <v>82.997776573137273</v>
      </c>
      <c r="G13" s="87">
        <v>73.867428272884112</v>
      </c>
      <c r="H13" s="87">
        <v>49.329982666144488</v>
      </c>
      <c r="J13" s="127"/>
      <c r="K13" s="79">
        <f>+$C13*D13</f>
        <v>5917.3414235636328</v>
      </c>
      <c r="L13" s="79">
        <f>+$C13*E13</f>
        <v>5795.1195614328562</v>
      </c>
      <c r="M13" s="79">
        <f>+$C13*F13</f>
        <v>5689.177861054507</v>
      </c>
      <c r="N13" s="79">
        <f>+$C13*G13</f>
        <v>5063.3276568897736</v>
      </c>
      <c r="O13" s="79">
        <f>+$C13*H13</f>
        <v>3381.3802833998438</v>
      </c>
    </row>
    <row r="14" spans="1:22" x14ac:dyDescent="0.2">
      <c r="B14" s="85" t="str">
        <f>Comps!U24&amp;" - "&amp;Comps!$S$23</f>
        <v>FY23 - EV / EBIT</v>
      </c>
      <c r="C14" s="86">
        <f>+Comps!U21</f>
        <v>48.996770284651397</v>
      </c>
      <c r="D14" s="87" cm="1">
        <f t="array" ref="D14:H14">+TRANSPOSE(Comps!U33:U37)</f>
        <v>77.481059629644051</v>
      </c>
      <c r="E14" s="87">
        <v>68.283618471042701</v>
      </c>
      <c r="F14" s="87">
        <v>57.195188421315052</v>
      </c>
      <c r="G14" s="87">
        <v>47.850457953674777</v>
      </c>
      <c r="H14" s="87">
        <v>43.884115541335547</v>
      </c>
      <c r="J14" s="128"/>
      <c r="K14" s="80">
        <f>+$C14*D14</f>
        <v>3796.3216800850464</v>
      </c>
      <c r="L14" s="80">
        <f>+$C14*E14</f>
        <v>3345.6767684304582</v>
      </c>
      <c r="M14" s="80">
        <f>+$C14*F14</f>
        <v>2802.3795084665271</v>
      </c>
      <c r="N14" s="80">
        <f>+$C14*G14</f>
        <v>2344.5178963715734</v>
      </c>
      <c r="O14" s="80">
        <f>+$C14*H14</f>
        <v>2150.1799283239179</v>
      </c>
    </row>
    <row r="15" spans="1:22" x14ac:dyDescent="0.2">
      <c r="B15" s="85" t="str">
        <f>Comps!V24&amp;" - "&amp;Comps!$V$23</f>
        <v>LTM - P / E Multiple</v>
      </c>
      <c r="C15" s="86">
        <f>+Comps!V21</f>
        <v>32.492675173128198</v>
      </c>
      <c r="D15" s="87" cm="1">
        <f t="array" ref="D15:H15">+TRANSPOSE(Comps!V33:V37)</f>
        <v>48.776355939733023</v>
      </c>
      <c r="E15" s="87">
        <v>45.607225092299217</v>
      </c>
      <c r="F15" s="87">
        <v>42.438094244865411</v>
      </c>
      <c r="G15" s="87">
        <v>39.268963397431605</v>
      </c>
      <c r="H15" s="87">
        <v>36.099832549997799</v>
      </c>
      <c r="J15" s="126" t="s">
        <v>30</v>
      </c>
      <c r="K15" s="78">
        <f>+$C15*D15</f>
        <v>1584.8742896786273</v>
      </c>
      <c r="L15" s="78">
        <f>+$C15*E15</f>
        <v>1481.9007504718202</v>
      </c>
      <c r="M15" s="78">
        <f>+$C15*F15</f>
        <v>1378.9272112650131</v>
      </c>
      <c r="N15" s="78">
        <f>+$C15*G15</f>
        <v>1275.9536720582059</v>
      </c>
      <c r="O15" s="78">
        <f>+$C15*H15</f>
        <v>1172.9801328513988</v>
      </c>
    </row>
    <row r="16" spans="1:22" x14ac:dyDescent="0.2">
      <c r="B16" s="85" t="str">
        <f>Comps!W24&amp;" - "&amp;Comps!$V$23</f>
        <v>FY22 - P / E Multiple</v>
      </c>
      <c r="C16" s="86">
        <f>+Comps!W21</f>
        <v>91.104018518901896</v>
      </c>
      <c r="D16" s="87" cm="1">
        <f t="array" ref="D16:H16">+TRANSPOSE(Comps!W33:W37)</f>
        <v>40.742634788995652</v>
      </c>
      <c r="E16" s="87">
        <v>40.742634788995652</v>
      </c>
      <c r="F16" s="87">
        <v>40.742634788995652</v>
      </c>
      <c r="G16" s="87">
        <v>40.742634788995652</v>
      </c>
      <c r="H16" s="87">
        <v>40.742634788995652</v>
      </c>
      <c r="J16" s="127"/>
      <c r="K16" s="79">
        <f>+$C16*D16</f>
        <v>3711.8177543255165</v>
      </c>
      <c r="L16" s="79">
        <f>+$C16*E16</f>
        <v>3711.8177543255165</v>
      </c>
      <c r="M16" s="79">
        <f>+$C16*F16</f>
        <v>3711.8177543255165</v>
      </c>
      <c r="N16" s="79">
        <f>+$C16*G16</f>
        <v>3711.8177543255165</v>
      </c>
      <c r="O16" s="79">
        <f>+$C16*H16</f>
        <v>3711.8177543255165</v>
      </c>
    </row>
    <row r="17" spans="2:15" x14ac:dyDescent="0.2">
      <c r="B17" s="88" t="str">
        <f>Comps!X24&amp;" - "&amp;Comps!$V$23</f>
        <v>FY23 - P / E Multiple</v>
      </c>
      <c r="C17" s="89">
        <f>+Comps!X21</f>
        <v>32.492675173128198</v>
      </c>
      <c r="D17" s="90" cm="1">
        <f t="array" ref="D17:H17">+TRANSPOSE(Comps!X33:X37)</f>
        <v>99.548872735289052</v>
      </c>
      <c r="E17" s="90">
        <v>92.942925365147062</v>
      </c>
      <c r="F17" s="90">
        <v>86.336977995005057</v>
      </c>
      <c r="G17" s="90">
        <v>62.222752284132781</v>
      </c>
      <c r="H17" s="90">
        <v>38.108526573260505</v>
      </c>
      <c r="J17" s="128"/>
      <c r="K17" s="80">
        <f>+$C17*D17</f>
        <v>3234.6091856388252</v>
      </c>
      <c r="L17" s="80">
        <f>+$C17*E17</f>
        <v>3019.964283530021</v>
      </c>
      <c r="M17" s="80">
        <f>+$C17*F17</f>
        <v>2805.3193814212163</v>
      </c>
      <c r="N17" s="80">
        <f>+$C17*G17</f>
        <v>2021.7836783463472</v>
      </c>
      <c r="O17" s="80">
        <f>+$C17*H17</f>
        <v>1238.2479752714778</v>
      </c>
    </row>
    <row r="18" spans="2:15" x14ac:dyDescent="0.2">
      <c r="B18" s="62"/>
      <c r="C18" s="68"/>
      <c r="D18" s="69"/>
      <c r="E18" s="69"/>
      <c r="F18" s="69"/>
      <c r="G18" s="69"/>
      <c r="H18" s="69"/>
    </row>
    <row r="19" spans="2:15" ht="12.75" customHeight="1" x14ac:dyDescent="0.2">
      <c r="C19" s="129" t="s">
        <v>76</v>
      </c>
      <c r="D19" s="91">
        <f>+(K6+SUM($V$5:$V$8))/Diluted_Shares</f>
        <v>26.078718472574071</v>
      </c>
      <c r="E19" s="91">
        <f>+(L6+SUM($V$5:$V$8))/Diluted_Shares</f>
        <v>19.543163488299182</v>
      </c>
      <c r="F19" s="91">
        <f>+(M6+SUM($V$5:$V$8))/Diluted_Shares</f>
        <v>11.403493976824024</v>
      </c>
      <c r="G19" s="91">
        <f>+(N6+SUM($V$5:$V$8))/Diluted_Shares</f>
        <v>4.6808672249868604</v>
      </c>
      <c r="H19" s="91">
        <f>+(O6+SUM($V$5:$V$8))/Diluted_Shares</f>
        <v>-2.6074400468668371</v>
      </c>
      <c r="J19" s="126" t="s">
        <v>30</v>
      </c>
      <c r="K19" s="91">
        <f>+(K6+SUM($V$5:$V$8))</f>
        <v>5069.6405950886874</v>
      </c>
      <c r="L19" s="91">
        <f t="shared" ref="L19:O19" si="0">+(L6+SUM($V$5:$V$8))</f>
        <v>3799.1443130509515</v>
      </c>
      <c r="M19" s="91">
        <f t="shared" si="0"/>
        <v>2216.8119975509735</v>
      </c>
      <c r="N19" s="91">
        <f t="shared" si="0"/>
        <v>909.94941062651242</v>
      </c>
      <c r="O19" s="91">
        <f>+(O6+SUM($V$5:$V$8))</f>
        <v>-506.88011854408126</v>
      </c>
    </row>
    <row r="20" spans="2:15" ht="12.75" customHeight="1" x14ac:dyDescent="0.2">
      <c r="C20" s="130"/>
      <c r="D20" s="92">
        <f>+(K7+SUM($V$5:$V$8))/Diluted_Shares</f>
        <v>27.70401992615896</v>
      </c>
      <c r="E20" s="92">
        <f>+(L7+SUM($V$5:$V$8))/Diluted_Shares</f>
        <v>20.760670477476619</v>
      </c>
      <c r="F20" s="92">
        <f>+(M7+SUM($V$5:$V$8))/Diluted_Shares</f>
        <v>11.868927114051848</v>
      </c>
      <c r="G20" s="92">
        <f>+(N7+SUM($V$5:$V$8))/Diluted_Shares</f>
        <v>4.1526216542574463</v>
      </c>
      <c r="H20" s="92">
        <f>+(O7+SUM($V$5:$V$8))/Diluted_Shares</f>
        <v>-2.3536704897545939</v>
      </c>
      <c r="J20" s="127"/>
      <c r="K20" s="92">
        <f t="shared" ref="K20:O20" si="1">+(K7+SUM($V$5:$V$8))</f>
        <v>5385.5953164457187</v>
      </c>
      <c r="L20" s="92">
        <f t="shared" si="1"/>
        <v>4035.8247643403547</v>
      </c>
      <c r="M20" s="92">
        <f t="shared" si="1"/>
        <v>2307.291087973731</v>
      </c>
      <c r="N20" s="92">
        <f t="shared" si="1"/>
        <v>807.25973312713722</v>
      </c>
      <c r="O20" s="92">
        <f t="shared" si="1"/>
        <v>-457.54792264316359</v>
      </c>
    </row>
    <row r="21" spans="2:15" x14ac:dyDescent="0.2">
      <c r="C21" s="130"/>
      <c r="D21" s="92">
        <f>+(K8+SUM($V$5:$V$8))/Diluted_Shares</f>
        <v>28.735712397243116</v>
      </c>
      <c r="E21" s="92">
        <f>+(L8+SUM($V$5:$V$8))/Diluted_Shares</f>
        <v>23.005414953826214</v>
      </c>
      <c r="F21" s="92">
        <f>+(M8+SUM($V$5:$V$8))/Diluted_Shares</f>
        <v>12.629958449335886</v>
      </c>
      <c r="G21" s="92">
        <f>+(N8+SUM($V$5:$V$8))/Diluted_Shares</f>
        <v>5.4477719910384952</v>
      </c>
      <c r="H21" s="92">
        <f>+(O8+SUM($V$5:$V$8))/Diluted_Shares</f>
        <v>-2.203669253731678</v>
      </c>
      <c r="J21" s="127"/>
      <c r="K21" s="92">
        <f t="shared" ref="K21:O21" si="2">+(K8+SUM($V$5:$V$8))</f>
        <v>5586.1538691428577</v>
      </c>
      <c r="L21" s="92">
        <f t="shared" si="2"/>
        <v>4472.1977300929066</v>
      </c>
      <c r="M21" s="92">
        <f t="shared" si="2"/>
        <v>2455.2337622101195</v>
      </c>
      <c r="N21" s="92">
        <f t="shared" si="2"/>
        <v>1059.0338657783689</v>
      </c>
      <c r="O21" s="92">
        <f t="shared" si="2"/>
        <v>-428.38804056326035</v>
      </c>
    </row>
    <row r="22" spans="2:15" x14ac:dyDescent="0.2">
      <c r="C22" s="130"/>
      <c r="D22" s="92">
        <f>+(K9+SUM($V$5:$V$8))/Diluted_Shares</f>
        <v>26.549987050353383</v>
      </c>
      <c r="E22" s="92">
        <f>+(L9+SUM($V$5:$V$8))/Diluted_Shares</f>
        <v>14.686683484114139</v>
      </c>
      <c r="F22" s="92">
        <f>+(M9+SUM($V$5:$V$8))/Diluted_Shares</f>
        <v>10.869364401135146</v>
      </c>
      <c r="G22" s="92">
        <f>+(N9+SUM($V$5:$V$8))/Diluted_Shares</f>
        <v>8.2511461557956416</v>
      </c>
      <c r="H22" s="92">
        <f>+(O9+SUM($V$5:$V$8))/Diluted_Shares</f>
        <v>-0.78447435765638418</v>
      </c>
      <c r="J22" s="127"/>
      <c r="K22" s="92">
        <f t="shared" ref="K22:O22" si="3">+(K9+SUM($V$5:$V$8))</f>
        <v>5161.2540812196221</v>
      </c>
      <c r="L22" s="92">
        <f t="shared" si="3"/>
        <v>2855.0561975116289</v>
      </c>
      <c r="M22" s="92">
        <f t="shared" si="3"/>
        <v>2112.9784835384826</v>
      </c>
      <c r="N22" s="92">
        <f t="shared" si="3"/>
        <v>1604.0031089496526</v>
      </c>
      <c r="O22" s="92">
        <f t="shared" si="3"/>
        <v>-152.49994180363501</v>
      </c>
    </row>
    <row r="23" spans="2:15" x14ac:dyDescent="0.2">
      <c r="C23" s="130"/>
      <c r="D23" s="92">
        <f>+(K10+SUM($V$5:$V$8))/Diluted_Shares</f>
        <v>27.551046093269949</v>
      </c>
      <c r="E23" s="92">
        <f>+(L10+SUM($V$5:$V$8))/Diluted_Shares</f>
        <v>18.861267976352082</v>
      </c>
      <c r="F23" s="92">
        <f>+(M10+SUM($V$5:$V$8))/Diluted_Shares</f>
        <v>14.559866065102357</v>
      </c>
      <c r="G23" s="92">
        <f>+(N10+SUM($V$5:$V$8))/Diluted_Shares</f>
        <v>10.713994054775204</v>
      </c>
      <c r="H23" s="92">
        <f>+(O10+SUM($V$5:$V$8))/Diluted_Shares</f>
        <v>-5.1554856205272032E-2</v>
      </c>
      <c r="J23" s="127"/>
      <c r="K23" s="92">
        <f t="shared" ref="K23:O23" si="4">+(K10+SUM($V$5:$V$8))</f>
        <v>5355.857568633608</v>
      </c>
      <c r="L23" s="92">
        <f t="shared" si="4"/>
        <v>3666.585453894917</v>
      </c>
      <c r="M23" s="92">
        <f t="shared" si="4"/>
        <v>2830.4031940957348</v>
      </c>
      <c r="N23" s="92">
        <f t="shared" si="4"/>
        <v>2082.774859230497</v>
      </c>
      <c r="O23" s="92">
        <f>+(O10+SUM($V$5:$V$8))</f>
        <v>-10.022140933308265</v>
      </c>
    </row>
    <row r="24" spans="2:15" x14ac:dyDescent="0.2">
      <c r="C24" s="130"/>
      <c r="D24" s="92">
        <f>+(K11+SUM($V$5:$V$8))/Diluted_Shares</f>
        <v>26.348712942198826</v>
      </c>
      <c r="E24" s="92">
        <f>+(L11+SUM($V$5:$V$8))/Diluted_Shares</f>
        <v>16.314602366472979</v>
      </c>
      <c r="F24" s="92">
        <f>+(M11+SUM($V$5:$V$8))/Diluted_Shares</f>
        <v>10.929086330912417</v>
      </c>
      <c r="G24" s="92">
        <f>+(N11+SUM($V$5:$V$8))/Diluted_Shares</f>
        <v>9.9649563798929233</v>
      </c>
      <c r="H24" s="92">
        <f>+(O11+SUM($V$5:$V$8))/Diluted_Shares</f>
        <v>-0.39197773915580386</v>
      </c>
      <c r="J24" s="127"/>
      <c r="K24" s="92">
        <f>+(K11+SUM($V$5:$V$8))</f>
        <v>5122.126875236946</v>
      </c>
      <c r="L24" s="92">
        <f>+(L11+SUM($V$5:$V$8))</f>
        <v>3171.5197407718961</v>
      </c>
      <c r="M24" s="92">
        <f>+(M11+SUM($V$5:$V$8))</f>
        <v>2124.5882840712156</v>
      </c>
      <c r="N24" s="92">
        <f>+(N11+SUM($V$5:$V$8))</f>
        <v>1937.1637239353493</v>
      </c>
      <c r="O24" s="92">
        <f t="shared" ref="K24:O24" si="5">+(O11+SUM($V$5:$V$8))</f>
        <v>-76.199536449047173</v>
      </c>
    </row>
    <row r="25" spans="2:15" x14ac:dyDescent="0.2">
      <c r="C25" s="130"/>
      <c r="D25" s="92">
        <f>+(K12+SUM($V$5:$V$8))/Diluted_Shares</f>
        <v>19.525220118331561</v>
      </c>
      <c r="E25" s="92">
        <f>+(L12+SUM($V$5:$V$8))/Diluted_Shares</f>
        <v>14.556618677939305</v>
      </c>
      <c r="F25" s="92">
        <f>+(M12+SUM($V$5:$V$8))/Diluted_Shares</f>
        <v>9.992792750595088</v>
      </c>
      <c r="G25" s="92">
        <f>+(N12+SUM($V$5:$V$8))/Diluted_Shares</f>
        <v>4.7606285600649514</v>
      </c>
      <c r="H25" s="92">
        <f>+(O12+SUM($V$5:$V$8))/Diluted_Shares</f>
        <v>2.7937365946726573</v>
      </c>
      <c r="J25" s="127"/>
      <c r="K25" s="92">
        <f>+(K12+SUM($V$5:$V$8))</f>
        <v>3795.6561647780127</v>
      </c>
      <c r="L25" s="92">
        <f>+(L12+SUM($V$5:$V$8))</f>
        <v>2829.7719097859981</v>
      </c>
      <c r="M25" s="92">
        <f>+(M12+SUM($V$5:$V$8))</f>
        <v>1942.5750479265969</v>
      </c>
      <c r="N25" s="92">
        <f>+(N12+SUM($V$5:$V$8))</f>
        <v>925.45482369562524</v>
      </c>
      <c r="O25" s="92">
        <f>+(O12+SUM($V$5:$V$8))</f>
        <v>543.09572256137653</v>
      </c>
    </row>
    <row r="26" spans="2:15" x14ac:dyDescent="0.2">
      <c r="C26" s="130"/>
      <c r="D26" s="92">
        <f>+(K13+SUM($V$5:$V$8))/Diluted_Shares</f>
        <v>24.800082243635778</v>
      </c>
      <c r="E26" s="92">
        <f>+(L13+SUM($V$5:$V$8))/Diluted_Shares</f>
        <v>24.171361237892267</v>
      </c>
      <c r="F26" s="92">
        <f>+(M13+SUM($V$5:$V$8))/Diluted_Shares</f>
        <v>23.626386948916181</v>
      </c>
      <c r="G26" s="92">
        <f>+(N13+SUM($V$5:$V$8))/Diluted_Shares</f>
        <v>20.406953347207466</v>
      </c>
      <c r="H26" s="92">
        <f>+(O13+SUM($V$5:$V$8))/Diluted_Shares</f>
        <v>11.754854403266066</v>
      </c>
      <c r="J26" s="127"/>
      <c r="K26" s="92">
        <f>+(K13+SUM($V$5:$V$8))</f>
        <v>4821.0767655663976</v>
      </c>
      <c r="L26" s="92">
        <f>+(L13+SUM($V$5:$V$8))</f>
        <v>4698.8549034356211</v>
      </c>
      <c r="M26" s="92">
        <f>+(M13+SUM($V$5:$V$8))</f>
        <v>4592.9132030572719</v>
      </c>
      <c r="N26" s="92">
        <f>+(N13+SUM($V$5:$V$8))</f>
        <v>3967.0629988925384</v>
      </c>
      <c r="O26" s="92">
        <f>+(O13+SUM($V$5:$V$8))</f>
        <v>2285.1156254026082</v>
      </c>
    </row>
    <row r="27" spans="2:15" x14ac:dyDescent="0.2">
      <c r="C27" s="130"/>
      <c r="D27" s="92">
        <f>+(K14+SUM($V$5:$V$8))/Diluted_Shares</f>
        <v>13.889352828510109</v>
      </c>
      <c r="E27" s="92">
        <f>+(L14+SUM($V$5:$V$8))/Diluted_Shares</f>
        <v>11.571192090740407</v>
      </c>
      <c r="F27" s="92">
        <f>+(M14+SUM($V$5:$V$8))/Diluted_Shares</f>
        <v>8.776418768298921</v>
      </c>
      <c r="G27" s="92">
        <f>+(N14+SUM($V$5:$V$8))/Diluted_Shares</f>
        <v>6.4211346298551133</v>
      </c>
      <c r="H27" s="92">
        <f>+(O14+SUM($V$5:$V$8))/Diluted_Shares</f>
        <v>5.4214414440784511</v>
      </c>
      <c r="J27" s="127"/>
      <c r="K27" s="92">
        <f>+(K14+SUM($V$5:$V$8))</f>
        <v>2700.0570220878108</v>
      </c>
      <c r="L27" s="92">
        <f>+(L14+SUM($V$5:$V$8))</f>
        <v>2249.4121104332226</v>
      </c>
      <c r="M27" s="92">
        <f>+(M14+SUM($V$5:$V$8))</f>
        <v>1706.1148504692917</v>
      </c>
      <c r="N27" s="92">
        <f>+(N14+SUM($V$5:$V$8))</f>
        <v>1248.253238374338</v>
      </c>
      <c r="O27" s="92">
        <f>+(O14+SUM($V$5:$V$8))</f>
        <v>1053.9152703266825</v>
      </c>
    </row>
    <row r="28" spans="2:15" x14ac:dyDescent="0.2">
      <c r="C28" s="130"/>
      <c r="D28" s="92">
        <f>+K15/Diluted_Shares</f>
        <v>8.152745670963423</v>
      </c>
      <c r="E28" s="92">
        <f>+L15/Diluted_Shares</f>
        <v>7.6230398883285666</v>
      </c>
      <c r="F28" s="92">
        <f>+M15/Diluted_Shares</f>
        <v>7.0933341056937111</v>
      </c>
      <c r="G28" s="92">
        <f>+N15/Diluted_Shares</f>
        <v>6.5636283230588548</v>
      </c>
      <c r="H28" s="92">
        <f>+O15/Diluted_Shares</f>
        <v>6.0339225404239984</v>
      </c>
      <c r="J28" s="127"/>
      <c r="K28" s="92">
        <f>+K15</f>
        <v>1584.8742896786273</v>
      </c>
      <c r="L28" s="92">
        <f t="shared" ref="L28:O28" si="6">+L15</f>
        <v>1481.9007504718202</v>
      </c>
      <c r="M28" s="92">
        <f t="shared" si="6"/>
        <v>1378.9272112650131</v>
      </c>
      <c r="N28" s="92">
        <f t="shared" si="6"/>
        <v>1275.9536720582059</v>
      </c>
      <c r="O28" s="92">
        <f t="shared" si="6"/>
        <v>1172.9801328513988</v>
      </c>
    </row>
    <row r="29" spans="2:15" ht="12.75" customHeight="1" x14ac:dyDescent="0.2">
      <c r="C29" s="130"/>
      <c r="D29" s="92">
        <f>+K16/Diluted_Shares</f>
        <v>19.093947277117355</v>
      </c>
      <c r="E29" s="92">
        <f>+L16/Diluted_Shares</f>
        <v>19.093947277117355</v>
      </c>
      <c r="F29" s="92">
        <f>+M16/Diluted_Shares</f>
        <v>19.093947277117355</v>
      </c>
      <c r="G29" s="92">
        <f>+N16/Diluted_Shares</f>
        <v>19.093947277117355</v>
      </c>
      <c r="H29" s="92">
        <f>+O16/Diluted_Shares</f>
        <v>19.093947277117355</v>
      </c>
      <c r="J29" s="127"/>
      <c r="K29" s="92">
        <f>+K16</f>
        <v>3711.8177543255165</v>
      </c>
      <c r="L29" s="92">
        <f>+L16</f>
        <v>3711.8177543255165</v>
      </c>
      <c r="M29" s="92">
        <f>+M16</f>
        <v>3711.8177543255165</v>
      </c>
      <c r="N29" s="92">
        <f t="shared" ref="K29:O29" si="7">+N16</f>
        <v>3711.8177543255165</v>
      </c>
      <c r="O29" s="92">
        <f t="shared" si="7"/>
        <v>3711.8177543255165</v>
      </c>
    </row>
    <row r="30" spans="2:15" x14ac:dyDescent="0.2">
      <c r="C30" s="131"/>
      <c r="D30" s="93">
        <f>+K17/Diluted_Shares</f>
        <v>16.639140534498054</v>
      </c>
      <c r="E30" s="93">
        <f>+L17/Diluted_Shares</f>
        <v>15.534986528178242</v>
      </c>
      <c r="F30" s="93">
        <f>+M17/Diluted_Shares</f>
        <v>14.430832521858427</v>
      </c>
      <c r="G30" s="93">
        <f>+N17/Diluted_Shares</f>
        <v>10.400249558345125</v>
      </c>
      <c r="H30" s="93">
        <f>+O17/Diluted_Shares</f>
        <v>6.3696665948318216</v>
      </c>
      <c r="J30" s="128"/>
      <c r="K30" s="93">
        <f>+K17</f>
        <v>3234.6091856388252</v>
      </c>
      <c r="L30" s="93">
        <f>+L17</f>
        <v>3019.964283530021</v>
      </c>
      <c r="M30" s="93">
        <f>+M17</f>
        <v>2805.3193814212163</v>
      </c>
      <c r="N30" s="93">
        <f>+N17</f>
        <v>2021.7836783463472</v>
      </c>
      <c r="O30" s="93">
        <f>+O17</f>
        <v>1238.2479752714778</v>
      </c>
    </row>
    <row r="33" spans="2:15" x14ac:dyDescent="0.2">
      <c r="C33" s="4" t="s">
        <v>77</v>
      </c>
      <c r="D33" s="4" t="s">
        <v>78</v>
      </c>
      <c r="E33" s="4" t="s">
        <v>79</v>
      </c>
      <c r="F33" s="4" t="s">
        <v>80</v>
      </c>
      <c r="G33" s="4" t="s">
        <v>81</v>
      </c>
      <c r="K33" s="4" t="s">
        <v>77</v>
      </c>
      <c r="L33" s="4" t="s">
        <v>78</v>
      </c>
      <c r="M33" s="4" t="s">
        <v>79</v>
      </c>
      <c r="N33" s="4" t="s">
        <v>80</v>
      </c>
      <c r="O33" s="4" t="s">
        <v>81</v>
      </c>
    </row>
    <row r="34" spans="2:15" x14ac:dyDescent="0.2">
      <c r="B34" s="17" t="str">
        <f>+B6</f>
        <v>LTM - EV / Revenue</v>
      </c>
      <c r="C34" s="94">
        <f>+H19</f>
        <v>-2.6074400468668371</v>
      </c>
      <c r="D34" s="94">
        <f>G19-C34</f>
        <v>7.2883072718536974</v>
      </c>
      <c r="E34" s="94">
        <f>F19-D34</f>
        <v>4.1151867049703261</v>
      </c>
      <c r="F34" s="94">
        <f>E19-E34</f>
        <v>15.427976783328855</v>
      </c>
      <c r="G34" s="94">
        <f>D19-F34</f>
        <v>10.650741689245216</v>
      </c>
      <c r="H34" s="94"/>
      <c r="K34" s="94">
        <f>+O19</f>
        <v>-506.88011854408126</v>
      </c>
      <c r="L34" s="94">
        <f>N19-K34</f>
        <v>1416.8295291705936</v>
      </c>
      <c r="M34" s="94">
        <f>M19-L34</f>
        <v>799.98246838037994</v>
      </c>
      <c r="N34" s="94">
        <f>L19-M34</f>
        <v>2999.1618446705716</v>
      </c>
      <c r="O34" s="94">
        <f>K19-N34</f>
        <v>2070.4787504181159</v>
      </c>
    </row>
    <row r="35" spans="2:15" x14ac:dyDescent="0.2">
      <c r="B35" s="17" t="str">
        <f>+B7</f>
        <v>FY22 - EV / Revenue</v>
      </c>
      <c r="C35" s="94">
        <f t="shared" ref="C35:C45" si="8">+H20</f>
        <v>-2.3536704897545939</v>
      </c>
      <c r="D35" s="94">
        <f t="shared" ref="D35:D45" si="9">G20-C35</f>
        <v>6.5062921440120398</v>
      </c>
      <c r="E35" s="94">
        <f t="shared" ref="E35:F45" si="10">F20-D35</f>
        <v>5.3626349700398084</v>
      </c>
      <c r="F35" s="94">
        <f t="shared" ref="F35:F43" si="11">E20-E35</f>
        <v>15.398035507436811</v>
      </c>
      <c r="G35" s="94">
        <f t="shared" ref="G35:G42" si="12">D20-F35</f>
        <v>12.305984418722149</v>
      </c>
      <c r="K35" s="94">
        <f t="shared" ref="K35:K45" si="13">+O20</f>
        <v>-457.54792264316359</v>
      </c>
      <c r="L35" s="94">
        <f t="shared" ref="L35:L45" si="14">N20-K35</f>
        <v>1264.8076557703007</v>
      </c>
      <c r="M35" s="94">
        <f t="shared" ref="M35:M45" si="15">M20-L35</f>
        <v>1042.4834322034303</v>
      </c>
      <c r="N35" s="94">
        <f t="shared" ref="N35:N45" si="16">L20-M35</f>
        <v>2993.3413321369244</v>
      </c>
      <c r="O35" s="94">
        <f t="shared" ref="O35:O45" si="17">K20-N35</f>
        <v>2392.2539843087943</v>
      </c>
    </row>
    <row r="36" spans="2:15" x14ac:dyDescent="0.2">
      <c r="B36" s="17" t="str">
        <f>+B8</f>
        <v>FY23 - EV / Revenue</v>
      </c>
      <c r="C36" s="94">
        <f t="shared" si="8"/>
        <v>-2.203669253731678</v>
      </c>
      <c r="D36" s="94">
        <f t="shared" si="9"/>
        <v>7.6514412447701732</v>
      </c>
      <c r="E36" s="94">
        <f t="shared" si="10"/>
        <v>4.9785172045657129</v>
      </c>
      <c r="F36" s="94">
        <f t="shared" si="11"/>
        <v>18.026897749260502</v>
      </c>
      <c r="G36" s="94">
        <f t="shared" si="12"/>
        <v>10.708814647982614</v>
      </c>
      <c r="K36" s="94">
        <f t="shared" si="13"/>
        <v>-428.38804056326035</v>
      </c>
      <c r="L36" s="94">
        <f t="shared" si="14"/>
        <v>1487.4219063416292</v>
      </c>
      <c r="M36" s="94">
        <f t="shared" si="15"/>
        <v>967.81185586849028</v>
      </c>
      <c r="N36" s="94">
        <f t="shared" si="16"/>
        <v>3504.3858742244165</v>
      </c>
      <c r="O36" s="94">
        <f t="shared" si="17"/>
        <v>2081.7679949184412</v>
      </c>
    </row>
    <row r="37" spans="2:15" x14ac:dyDescent="0.2">
      <c r="B37" s="17" t="str">
        <f>+B9</f>
        <v>LTM - EV / EBITDA</v>
      </c>
      <c r="C37" s="94">
        <f t="shared" si="8"/>
        <v>-0.78447435765638418</v>
      </c>
      <c r="D37" s="94">
        <f t="shared" si="9"/>
        <v>9.0356205134520255</v>
      </c>
      <c r="E37" s="94">
        <f t="shared" si="10"/>
        <v>1.83374388768312</v>
      </c>
      <c r="F37" s="94">
        <f>E22-E37</f>
        <v>12.852939596431019</v>
      </c>
      <c r="G37" s="94">
        <f>D22-F37</f>
        <v>13.697047453922364</v>
      </c>
      <c r="K37" s="94">
        <f t="shared" si="13"/>
        <v>-152.49994180363501</v>
      </c>
      <c r="L37" s="94">
        <f t="shared" si="14"/>
        <v>1756.5030507532877</v>
      </c>
      <c r="M37" s="94">
        <f t="shared" si="15"/>
        <v>356.47543278519493</v>
      </c>
      <c r="N37" s="94">
        <f t="shared" si="16"/>
        <v>2498.5807647264337</v>
      </c>
      <c r="O37" s="94">
        <f t="shared" si="17"/>
        <v>2662.6733164931884</v>
      </c>
    </row>
    <row r="38" spans="2:15" x14ac:dyDescent="0.2">
      <c r="B38" s="17" t="str">
        <f>+B10</f>
        <v>FY22 - EV / EBITDA</v>
      </c>
      <c r="C38" s="94">
        <f t="shared" si="8"/>
        <v>-5.1554856205272032E-2</v>
      </c>
      <c r="D38" s="94">
        <f t="shared" si="9"/>
        <v>10.765548910980476</v>
      </c>
      <c r="E38" s="94">
        <f t="shared" si="10"/>
        <v>3.794317154121881</v>
      </c>
      <c r="F38" s="94">
        <f t="shared" si="11"/>
        <v>15.066950822230201</v>
      </c>
      <c r="G38" s="94">
        <f t="shared" si="12"/>
        <v>12.484095271039749</v>
      </c>
      <c r="K38" s="94">
        <f t="shared" si="13"/>
        <v>-10.022140933308265</v>
      </c>
      <c r="L38" s="94">
        <f t="shared" si="14"/>
        <v>2092.797000163805</v>
      </c>
      <c r="M38" s="94">
        <f t="shared" si="15"/>
        <v>737.60619393192974</v>
      </c>
      <c r="N38" s="94">
        <f t="shared" si="16"/>
        <v>2928.9792599629873</v>
      </c>
      <c r="O38" s="94">
        <f t="shared" si="17"/>
        <v>2426.8783086706208</v>
      </c>
    </row>
    <row r="39" spans="2:15" x14ac:dyDescent="0.2">
      <c r="B39" s="17" t="str">
        <f>+B11</f>
        <v>FY23 - EV / EBITDA</v>
      </c>
      <c r="C39" s="94">
        <f t="shared" si="8"/>
        <v>-0.39197773915580386</v>
      </c>
      <c r="D39" s="94">
        <f t="shared" si="9"/>
        <v>10.356934119048727</v>
      </c>
      <c r="E39" s="94">
        <f t="shared" si="10"/>
        <v>0.57215221186369014</v>
      </c>
      <c r="F39" s="94">
        <f t="shared" si="11"/>
        <v>15.742450154609289</v>
      </c>
      <c r="G39" s="94">
        <f t="shared" si="12"/>
        <v>10.606262787589538</v>
      </c>
      <c r="K39" s="94">
        <f t="shared" si="13"/>
        <v>-76.199536449047173</v>
      </c>
      <c r="L39" s="94">
        <f t="shared" si="14"/>
        <v>2013.3632603843964</v>
      </c>
      <c r="M39" s="94">
        <f t="shared" si="15"/>
        <v>111.22502368681921</v>
      </c>
      <c r="N39" s="94">
        <f t="shared" si="16"/>
        <v>3060.2947170850766</v>
      </c>
      <c r="O39" s="94">
        <f t="shared" si="17"/>
        <v>2061.8321581518694</v>
      </c>
    </row>
    <row r="40" spans="2:15" x14ac:dyDescent="0.2">
      <c r="B40" s="17" t="str">
        <f>+B12</f>
        <v>LTM - EV / EBIT</v>
      </c>
      <c r="C40" s="94">
        <f t="shared" si="8"/>
        <v>2.7937365946726573</v>
      </c>
      <c r="D40" s="94">
        <f t="shared" si="9"/>
        <v>1.9668919653922941</v>
      </c>
      <c r="E40" s="94">
        <f t="shared" si="10"/>
        <v>8.0259007852027935</v>
      </c>
      <c r="F40" s="94">
        <f t="shared" si="11"/>
        <v>6.5307178927365115</v>
      </c>
      <c r="G40" s="94">
        <f t="shared" si="12"/>
        <v>12.994502225595049</v>
      </c>
      <c r="K40" s="94">
        <f t="shared" si="13"/>
        <v>543.09572256137653</v>
      </c>
      <c r="L40" s="94">
        <f t="shared" si="14"/>
        <v>382.3591011342487</v>
      </c>
      <c r="M40" s="94">
        <f t="shared" si="15"/>
        <v>1560.2159467923482</v>
      </c>
      <c r="N40" s="94">
        <f t="shared" si="16"/>
        <v>1269.5559629936499</v>
      </c>
      <c r="O40" s="94">
        <f t="shared" si="17"/>
        <v>2526.100201784363</v>
      </c>
    </row>
    <row r="41" spans="2:15" x14ac:dyDescent="0.2">
      <c r="B41" s="17" t="str">
        <f>+B13</f>
        <v>FY22 - EV / EBIT</v>
      </c>
      <c r="C41" s="94">
        <f t="shared" si="8"/>
        <v>11.754854403266066</v>
      </c>
      <c r="D41" s="94">
        <f t="shared" si="9"/>
        <v>8.6520989439414002</v>
      </c>
      <c r="E41" s="94">
        <f t="shared" si="10"/>
        <v>14.974288004974781</v>
      </c>
      <c r="F41" s="94">
        <f t="shared" si="11"/>
        <v>9.1970732329174858</v>
      </c>
      <c r="G41" s="94">
        <f t="shared" si="12"/>
        <v>15.603009010718292</v>
      </c>
      <c r="K41" s="94">
        <f t="shared" si="13"/>
        <v>2285.1156254026082</v>
      </c>
      <c r="L41" s="94">
        <f t="shared" si="14"/>
        <v>1681.9473734899302</v>
      </c>
      <c r="M41" s="94">
        <f t="shared" si="15"/>
        <v>2910.9658295673416</v>
      </c>
      <c r="N41" s="94">
        <f t="shared" si="16"/>
        <v>1787.8890738682794</v>
      </c>
      <c r="O41" s="94">
        <f t="shared" si="17"/>
        <v>3033.1876916981182</v>
      </c>
    </row>
    <row r="42" spans="2:15" x14ac:dyDescent="0.2">
      <c r="B42" s="17" t="str">
        <f>+B14</f>
        <v>FY23 - EV / EBIT</v>
      </c>
      <c r="C42" s="94">
        <f t="shared" si="8"/>
        <v>5.4214414440784511</v>
      </c>
      <c r="D42" s="94">
        <f>G27-C42</f>
        <v>0.99969318577666222</v>
      </c>
      <c r="E42" s="94">
        <f>F27-D42</f>
        <v>7.7767255825222588</v>
      </c>
      <c r="F42" s="94">
        <f>E27-E42</f>
        <v>3.7944665082181483</v>
      </c>
      <c r="G42" s="94">
        <f t="shared" si="12"/>
        <v>10.094886320291961</v>
      </c>
      <c r="K42" s="94">
        <f t="shared" si="13"/>
        <v>1053.9152703266825</v>
      </c>
      <c r="L42" s="94">
        <f t="shared" si="14"/>
        <v>194.33796804765552</v>
      </c>
      <c r="M42" s="94">
        <f t="shared" si="15"/>
        <v>1511.7768824216362</v>
      </c>
      <c r="N42" s="94">
        <f t="shared" si="16"/>
        <v>737.63522801158638</v>
      </c>
      <c r="O42" s="94">
        <f t="shared" si="17"/>
        <v>1962.4217940762244</v>
      </c>
    </row>
    <row r="43" spans="2:15" x14ac:dyDescent="0.2">
      <c r="B43" s="17" t="str">
        <f>+B15</f>
        <v>LTM - P / E Multiple</v>
      </c>
      <c r="C43" s="94">
        <f t="shared" si="8"/>
        <v>6.0339225404239984</v>
      </c>
      <c r="D43" s="94">
        <f t="shared" si="9"/>
        <v>0.52970578263485635</v>
      </c>
      <c r="E43" s="94">
        <f t="shared" si="10"/>
        <v>6.5636283230588548</v>
      </c>
      <c r="F43" s="94">
        <f t="shared" si="11"/>
        <v>1.0594115652697118</v>
      </c>
      <c r="G43" s="94">
        <f>D28-F43</f>
        <v>7.0933341056937111</v>
      </c>
      <c r="K43" s="94">
        <f t="shared" si="13"/>
        <v>1172.9801328513988</v>
      </c>
      <c r="L43" s="94">
        <f t="shared" si="14"/>
        <v>102.97353920680712</v>
      </c>
      <c r="M43" s="94">
        <f t="shared" si="15"/>
        <v>1275.9536720582059</v>
      </c>
      <c r="N43" s="94">
        <f t="shared" si="16"/>
        <v>205.94707841361424</v>
      </c>
      <c r="O43" s="94">
        <f t="shared" si="17"/>
        <v>1378.9272112650131</v>
      </c>
    </row>
    <row r="44" spans="2:15" x14ac:dyDescent="0.2">
      <c r="B44" s="17" t="str">
        <f>+B16</f>
        <v>FY22 - P / E Multiple</v>
      </c>
      <c r="C44" s="94">
        <f>+H29</f>
        <v>19.093947277117355</v>
      </c>
      <c r="D44" s="94">
        <f t="shared" ref="D44" si="18">G29-C44</f>
        <v>0</v>
      </c>
      <c r="E44" s="94">
        <f t="shared" si="10"/>
        <v>19.093947277117355</v>
      </c>
      <c r="F44" s="94">
        <f t="shared" si="10"/>
        <v>0</v>
      </c>
      <c r="G44" s="94">
        <f>D29-F44</f>
        <v>19.093947277117355</v>
      </c>
      <c r="K44" s="94">
        <f t="shared" si="13"/>
        <v>3711.8177543255165</v>
      </c>
      <c r="L44" s="94">
        <f>N29-K44</f>
        <v>0</v>
      </c>
      <c r="M44" s="94">
        <f>M29-L44</f>
        <v>3711.8177543255165</v>
      </c>
      <c r="N44" s="94">
        <f>L29-M44</f>
        <v>0</v>
      </c>
      <c r="O44" s="94">
        <f>K29-N44</f>
        <v>3711.8177543255165</v>
      </c>
    </row>
    <row r="45" spans="2:15" x14ac:dyDescent="0.2">
      <c r="B45" s="17" t="str">
        <f>+B17</f>
        <v>FY23 - P / E Multiple</v>
      </c>
      <c r="C45" s="94">
        <f t="shared" si="8"/>
        <v>6.3696665948318216</v>
      </c>
      <c r="D45" s="94">
        <f t="shared" si="9"/>
        <v>4.0305829635133037</v>
      </c>
      <c r="E45" s="94">
        <f t="shared" si="10"/>
        <v>10.400249558345124</v>
      </c>
      <c r="F45" s="94">
        <f>E30-E45</f>
        <v>5.1347369698331189</v>
      </c>
      <c r="G45" s="94">
        <f>D30-F45</f>
        <v>11.504403564664935</v>
      </c>
      <c r="K45" s="94">
        <f>+O30</f>
        <v>1238.2479752714778</v>
      </c>
      <c r="L45" s="94">
        <f>N30-K45</f>
        <v>783.53570307486939</v>
      </c>
      <c r="M45" s="94">
        <f>M30-L45</f>
        <v>2021.783678346347</v>
      </c>
      <c r="N45" s="94">
        <f>L30-M45</f>
        <v>998.18060518367406</v>
      </c>
      <c r="O45" s="94">
        <f t="shared" si="17"/>
        <v>2236.428580455151</v>
      </c>
    </row>
  </sheetData>
  <mergeCells count="4">
    <mergeCell ref="J6:J14"/>
    <mergeCell ref="J15:J17"/>
    <mergeCell ref="C19:C30"/>
    <mergeCell ref="J19:J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List</vt:lpstr>
      <vt:lpstr>Comps</vt:lpstr>
      <vt:lpstr>Valuation</vt:lpstr>
      <vt:lpstr>Diluted_Shares</vt:lpstr>
      <vt:lpstr>Equity_Value</vt:lpstr>
      <vt:lpstr>EV</vt:lpstr>
      <vt:lpstr>Million</vt:lpstr>
      <vt:lpstr>Share_Price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2025-03-08T19:53:47Z</dcterms:created>
  <dcterms:modified xsi:type="dcterms:W3CDTF">2025-03-11T11:09:37Z</dcterms:modified>
</cp:coreProperties>
</file>