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cuments\Atlas Partners Case\"/>
    </mc:Choice>
  </mc:AlternateContent>
  <xr:revisionPtr revIDLastSave="0" documentId="13_ncr:1_{D148F3E3-B7BA-47F6-8893-4C2A042D5A21}" xr6:coauthVersionLast="47" xr6:coauthVersionMax="47" xr10:uidLastSave="{00000000-0000-0000-0000-000000000000}"/>
  <bookViews>
    <workbookView xWindow="-120" yWindow="-120" windowWidth="29040" windowHeight="15840" xr2:uid="{1BFFFDE0-0CAE-4EBB-A3ED-B66F11B750A6}"/>
  </bookViews>
  <sheets>
    <sheet name="XYZ_DCF" sheetId="1" r:id="rId1"/>
    <sheet name="Public-Comps" sheetId="3" r:id="rId2"/>
    <sheet name="M&amp;A-Comps" sheetId="4" r:id="rId3"/>
    <sheet name="Valuation" sheetId="5" r:id="rId4"/>
    <sheet name="FF Chart" sheetId="6" r:id="rId5"/>
  </sheets>
  <externalReferences>
    <externalReference r:id="rId6"/>
  </externalReferences>
  <definedNames>
    <definedName name="Company_Name">'[1]STLD-DCF'!$F$8</definedName>
    <definedName name="Cost_of_Debt">[1]WACC!$F$8</definedName>
    <definedName name="Cost_of_Preferred">[1]WACC!$F$9</definedName>
    <definedName name="Diluted_Shares">'[1]STLD-DCF'!$F$11</definedName>
    <definedName name="Discount_Rate">'[1]STLD-DCF'!$F$14</definedName>
    <definedName name="Enterprise_Value">'[1]STLD-DCF'!$F$32</definedName>
    <definedName name="Equity_Risk_Premium">[1]WACC!$F$7</definedName>
    <definedName name="Equity_Value">'[1]STLD-DCF'!$F$21</definedName>
    <definedName name="EV">XYZ_DCF!$E$42</definedName>
    <definedName name="Hist_Year">'[1]STLD-DCF'!$F$17</definedName>
    <definedName name="_xlnm.Print_Area" localSheetId="2">'M&amp;A-Comps'!$A$1:$J$22</definedName>
    <definedName name="_xlnm.Print_Area" localSheetId="1">'Public-Comps'!$A$1:$Z$39</definedName>
    <definedName name="Pub_Comps_Data" localSheetId="2">'[1]Public-Comps'!$C$8:$Y$21</definedName>
    <definedName name="Pub_Comps_Data">'Public-Comps'!$C$7:$Y$20</definedName>
    <definedName name="Risk_Free_Rate">[1]WACC!$F$6</definedName>
    <definedName name="Share_Price">'[1]STLD-DCF'!$F$10</definedName>
    <definedName name="Tax_Rate" localSheetId="2">'[1]STLD-DCF'!$F$13</definedName>
    <definedName name="Tax_Rate" localSheetId="1">'[1]STLD-DCF'!$F$13</definedName>
    <definedName name="Tax_Rate">XYZ_DCF!$E$12</definedName>
    <definedName name="Terminal_Growth_Rate" localSheetId="2">'[1]STLD-DCF'!$Q$12</definedName>
    <definedName name="Terminal_Growth_Rate" localSheetId="1">'[1]STLD-DCF'!$Q$12</definedName>
    <definedName name="Terminal_Growth_Rate">XYZ_DCF!$K$7</definedName>
    <definedName name="Terminal_Multiple">'[1]STLD-DCF'!$L$12</definedName>
    <definedName name="Ticker">'[1]STLD-DCF'!$F$9</definedName>
    <definedName name="Units">'[1]STLD-DCF'!$F$16</definedName>
    <definedName name="WACC">XYZ_DCF!$E$15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3" l="1"/>
  <c r="F20" i="3"/>
  <c r="T37" i="3"/>
  <c r="S37" i="3"/>
  <c r="R37" i="3"/>
  <c r="Q37" i="3"/>
  <c r="P37" i="3"/>
  <c r="O37" i="3"/>
  <c r="N37" i="3"/>
  <c r="M37" i="3"/>
  <c r="L37" i="3"/>
  <c r="K37" i="3"/>
  <c r="C37" i="3"/>
  <c r="I12" i="4"/>
  <c r="I10" i="4"/>
  <c r="I6" i="4"/>
  <c r="I7" i="4"/>
  <c r="I8" i="4"/>
  <c r="I9" i="4"/>
  <c r="I11" i="4"/>
  <c r="I13" i="4"/>
  <c r="N36" i="1"/>
  <c r="M36" i="1"/>
  <c r="L36" i="1"/>
  <c r="K36" i="1"/>
  <c r="J36" i="1"/>
  <c r="I36" i="1"/>
  <c r="H36" i="1"/>
  <c r="G36" i="1"/>
  <c r="P36" i="1"/>
  <c r="O36" i="1"/>
  <c r="F36" i="1"/>
  <c r="G25" i="1"/>
  <c r="E32" i="5"/>
  <c r="R33" i="6"/>
  <c r="Q33" i="6"/>
  <c r="P33" i="6"/>
  <c r="O33" i="6"/>
  <c r="N33" i="6"/>
  <c r="R46" i="6"/>
  <c r="Q46" i="6"/>
  <c r="P46" i="6"/>
  <c r="O46" i="6"/>
  <c r="S24" i="3"/>
  <c r="S25" i="3"/>
  <c r="S26" i="3"/>
  <c r="S27" i="3"/>
  <c r="S32" i="3" s="1"/>
  <c r="S28" i="3"/>
  <c r="L24" i="3"/>
  <c r="R24" i="3"/>
  <c r="N46" i="6"/>
  <c r="P39" i="6"/>
  <c r="O39" i="6"/>
  <c r="N39" i="6"/>
  <c r="N36" i="6"/>
  <c r="O37" i="6"/>
  <c r="N37" i="6"/>
  <c r="Q37" i="6"/>
  <c r="R37" i="6"/>
  <c r="Q39" i="6"/>
  <c r="O40" i="6"/>
  <c r="N40" i="6"/>
  <c r="Q40" i="6"/>
  <c r="R40" i="6"/>
  <c r="Q41" i="6"/>
  <c r="N41" i="6"/>
  <c r="O41" i="6"/>
  <c r="P41" i="6"/>
  <c r="O42" i="6"/>
  <c r="N42" i="6"/>
  <c r="Q42" i="6"/>
  <c r="R42" i="6"/>
  <c r="Q43" i="6"/>
  <c r="N43" i="6"/>
  <c r="O43" i="6"/>
  <c r="P43" i="6"/>
  <c r="O44" i="6"/>
  <c r="N44" i="6"/>
  <c r="Q44" i="6"/>
  <c r="R44" i="6"/>
  <c r="Q45" i="6"/>
  <c r="N45" i="6"/>
  <c r="O45" i="6"/>
  <c r="P45" i="6"/>
  <c r="Q47" i="6"/>
  <c r="N47" i="6"/>
  <c r="O47" i="6"/>
  <c r="P47" i="6"/>
  <c r="E29" i="5"/>
  <c r="E22" i="5"/>
  <c r="E27" i="5"/>
  <c r="E28" i="5"/>
  <c r="B29" i="5"/>
  <c r="B28" i="5"/>
  <c r="B27" i="5"/>
  <c r="B26" i="5"/>
  <c r="B25" i="5"/>
  <c r="B24" i="5"/>
  <c r="Y11" i="3"/>
  <c r="Y12" i="3"/>
  <c r="Y9" i="3"/>
  <c r="Y8" i="3"/>
  <c r="Y7" i="3"/>
  <c r="X12" i="3"/>
  <c r="X11" i="3"/>
  <c r="X10" i="3"/>
  <c r="X9" i="3"/>
  <c r="X8" i="3"/>
  <c r="X7" i="3"/>
  <c r="W11" i="3"/>
  <c r="V20" i="3"/>
  <c r="U20" i="3"/>
  <c r="Y20" i="3"/>
  <c r="X20" i="3"/>
  <c r="F11" i="3"/>
  <c r="T28" i="3" s="1"/>
  <c r="D18" i="3"/>
  <c r="H6" i="4"/>
  <c r="G21" i="4"/>
  <c r="G18" i="4"/>
  <c r="F18" i="4"/>
  <c r="G17" i="4"/>
  <c r="F17" i="4"/>
  <c r="G19" i="4"/>
  <c r="F19" i="4"/>
  <c r="H7" i="4"/>
  <c r="H8" i="4"/>
  <c r="H9" i="4"/>
  <c r="H10" i="4"/>
  <c r="H11" i="4"/>
  <c r="H12" i="4"/>
  <c r="H13" i="4"/>
  <c r="H14" i="4"/>
  <c r="I14" i="4"/>
  <c r="H15" i="4"/>
  <c r="I15" i="4"/>
  <c r="B29" i="3"/>
  <c r="B25" i="3"/>
  <c r="B26" i="3"/>
  <c r="B27" i="3"/>
  <c r="B28" i="3"/>
  <c r="B37" i="3"/>
  <c r="T18" i="3"/>
  <c r="S18" i="3"/>
  <c r="R18" i="3"/>
  <c r="Q18" i="3"/>
  <c r="P18" i="3"/>
  <c r="O18" i="3"/>
  <c r="N18" i="3"/>
  <c r="M18" i="3"/>
  <c r="L18" i="3"/>
  <c r="M14" i="3"/>
  <c r="L14" i="3"/>
  <c r="V8" i="3"/>
  <c r="V7" i="3"/>
  <c r="V9" i="3"/>
  <c r="V10" i="3"/>
  <c r="W7" i="3"/>
  <c r="W8" i="3"/>
  <c r="W9" i="3"/>
  <c r="W10" i="3"/>
  <c r="V11" i="3"/>
  <c r="V12" i="3"/>
  <c r="T15" i="3"/>
  <c r="U9" i="3"/>
  <c r="U8" i="3"/>
  <c r="U10" i="3"/>
  <c r="U7" i="3"/>
  <c r="T6" i="3"/>
  <c r="S6" i="3"/>
  <c r="Q6" i="3"/>
  <c r="P6" i="3"/>
  <c r="N14" i="3"/>
  <c r="M15" i="3"/>
  <c r="N15" i="3"/>
  <c r="M16" i="3"/>
  <c r="N16" i="3"/>
  <c r="M17" i="3"/>
  <c r="N17" i="3"/>
  <c r="F7" i="3"/>
  <c r="K7" i="3" s="1"/>
  <c r="F21" i="4"/>
  <c r="G20" i="4"/>
  <c r="F20" i="4"/>
  <c r="C29" i="3"/>
  <c r="C28" i="3"/>
  <c r="C27" i="3"/>
  <c r="C26" i="3"/>
  <c r="C25" i="3"/>
  <c r="C24" i="3"/>
  <c r="B24" i="3"/>
  <c r="R23" i="3"/>
  <c r="O23" i="3"/>
  <c r="L23" i="3"/>
  <c r="S17" i="3"/>
  <c r="R17" i="3"/>
  <c r="D17" i="3"/>
  <c r="T16" i="3"/>
  <c r="S16" i="3"/>
  <c r="R16" i="3"/>
  <c r="Q16" i="3"/>
  <c r="P16" i="3"/>
  <c r="D16" i="3"/>
  <c r="S15" i="3"/>
  <c r="R15" i="3"/>
  <c r="Q15" i="3"/>
  <c r="P15" i="3"/>
  <c r="D15" i="3"/>
  <c r="T14" i="3"/>
  <c r="S14" i="3"/>
  <c r="R14" i="3"/>
  <c r="Q14" i="3"/>
  <c r="P14" i="3"/>
  <c r="D14" i="3"/>
  <c r="U11" i="3"/>
  <c r="W12" i="3"/>
  <c r="U12" i="3"/>
  <c r="F12" i="3"/>
  <c r="T29" i="3" s="1"/>
  <c r="F9" i="3"/>
  <c r="T26" i="3" s="1"/>
  <c r="Y10" i="3"/>
  <c r="F10" i="3"/>
  <c r="F8" i="3"/>
  <c r="R25" i="3" s="1"/>
  <c r="W6" i="3"/>
  <c r="R6" i="3"/>
  <c r="O6" i="3"/>
  <c r="M23" i="3"/>
  <c r="S34" i="3" l="1"/>
  <c r="S33" i="3"/>
  <c r="S35" i="3"/>
  <c r="S31" i="3"/>
  <c r="Q36" i="6"/>
  <c r="P36" i="6"/>
  <c r="O36" i="6"/>
  <c r="R47" i="6"/>
  <c r="R45" i="6"/>
  <c r="P44" i="6"/>
  <c r="R43" i="6"/>
  <c r="P42" i="6"/>
  <c r="R41" i="6"/>
  <c r="P40" i="6"/>
  <c r="R39" i="6"/>
  <c r="P37" i="6"/>
  <c r="R36" i="6"/>
  <c r="R26" i="3"/>
  <c r="F26" i="3"/>
  <c r="X18" i="3"/>
  <c r="R28" i="3"/>
  <c r="W14" i="3"/>
  <c r="F28" i="3"/>
  <c r="R29" i="3"/>
  <c r="W18" i="3"/>
  <c r="U18" i="3"/>
  <c r="V18" i="3"/>
  <c r="T27" i="3"/>
  <c r="P24" i="3"/>
  <c r="F14" i="3"/>
  <c r="F27" i="3"/>
  <c r="F24" i="3"/>
  <c r="S29" i="3"/>
  <c r="T24" i="3"/>
  <c r="O24" i="3"/>
  <c r="M24" i="3"/>
  <c r="K12" i="3"/>
  <c r="K24" i="3"/>
  <c r="R27" i="3"/>
  <c r="F18" i="3"/>
  <c r="U14" i="3"/>
  <c r="F25" i="3"/>
  <c r="F29" i="3"/>
  <c r="T25" i="3"/>
  <c r="R33" i="3"/>
  <c r="Q24" i="3"/>
  <c r="N24" i="3"/>
  <c r="F37" i="3"/>
  <c r="H19" i="4"/>
  <c r="E21" i="4"/>
  <c r="E18" i="4"/>
  <c r="H21" i="4"/>
  <c r="E20" i="4"/>
  <c r="I21" i="4"/>
  <c r="E19" i="4"/>
  <c r="H17" i="4"/>
  <c r="E17" i="4"/>
  <c r="H18" i="4"/>
  <c r="V14" i="3"/>
  <c r="T17" i="3"/>
  <c r="Y18" i="3"/>
  <c r="Q17" i="3"/>
  <c r="P17" i="3"/>
  <c r="O16" i="3"/>
  <c r="O15" i="3"/>
  <c r="O14" i="3"/>
  <c r="O17" i="3"/>
  <c r="L17" i="3"/>
  <c r="L15" i="3"/>
  <c r="L16" i="3"/>
  <c r="K10" i="3"/>
  <c r="K9" i="3"/>
  <c r="U15" i="3"/>
  <c r="K8" i="3"/>
  <c r="K11" i="3"/>
  <c r="X16" i="3"/>
  <c r="U16" i="3"/>
  <c r="U17" i="3"/>
  <c r="X17" i="3"/>
  <c r="V15" i="3"/>
  <c r="H20" i="4"/>
  <c r="F17" i="3"/>
  <c r="F16" i="3"/>
  <c r="W17" i="3"/>
  <c r="W15" i="3"/>
  <c r="W16" i="3"/>
  <c r="V16" i="3"/>
  <c r="F15" i="3"/>
  <c r="X14" i="3"/>
  <c r="S23" i="3"/>
  <c r="X6" i="3"/>
  <c r="X15" i="3"/>
  <c r="V17" i="3"/>
  <c r="P23" i="3"/>
  <c r="L25" i="3" l="1"/>
  <c r="N25" i="3"/>
  <c r="O25" i="3"/>
  <c r="M25" i="3"/>
  <c r="M34" i="3" s="1"/>
  <c r="Q25" i="3"/>
  <c r="P25" i="3"/>
  <c r="K25" i="3"/>
  <c r="K18" i="3"/>
  <c r="Y16" i="3"/>
  <c r="M26" i="3"/>
  <c r="O26" i="3"/>
  <c r="P26" i="3"/>
  <c r="K26" i="3"/>
  <c r="L26" i="3"/>
  <c r="N26" i="3"/>
  <c r="Q26" i="3"/>
  <c r="Q33" i="3" s="1"/>
  <c r="Y14" i="3"/>
  <c r="K14" i="3"/>
  <c r="L29" i="3"/>
  <c r="N29" i="3"/>
  <c r="O29" i="3"/>
  <c r="P29" i="3"/>
  <c r="K29" i="3"/>
  <c r="M29" i="3"/>
  <c r="Q29" i="3"/>
  <c r="Y17" i="3"/>
  <c r="L28" i="3"/>
  <c r="N28" i="3"/>
  <c r="Q28" i="3"/>
  <c r="K28" i="3"/>
  <c r="P28" i="3"/>
  <c r="M28" i="3"/>
  <c r="O28" i="3"/>
  <c r="P27" i="3"/>
  <c r="K27" i="3"/>
  <c r="M27" i="3"/>
  <c r="Q27" i="3"/>
  <c r="N27" i="3"/>
  <c r="N33" i="3" s="1"/>
  <c r="L27" i="3"/>
  <c r="O27" i="3"/>
  <c r="Y15" i="3"/>
  <c r="K17" i="3"/>
  <c r="T33" i="3"/>
  <c r="I20" i="4"/>
  <c r="I17" i="4"/>
  <c r="I18" i="4"/>
  <c r="I19" i="4"/>
  <c r="K15" i="3"/>
  <c r="K16" i="3"/>
  <c r="R31" i="3"/>
  <c r="R34" i="3"/>
  <c r="R35" i="3"/>
  <c r="R32" i="3"/>
  <c r="Q23" i="3"/>
  <c r="Y6" i="3"/>
  <c r="T23" i="3"/>
  <c r="N23" i="3"/>
  <c r="F33" i="3"/>
  <c r="F35" i="3"/>
  <c r="F31" i="3"/>
  <c r="F34" i="3"/>
  <c r="F32" i="3"/>
  <c r="T34" i="3"/>
  <c r="T35" i="3"/>
  <c r="T31" i="3"/>
  <c r="T32" i="3"/>
  <c r="C18" i="5" l="1" a="1"/>
  <c r="C18" i="5" s="1"/>
  <c r="O34" i="3"/>
  <c r="O31" i="3"/>
  <c r="O33" i="3"/>
  <c r="P34" i="3"/>
  <c r="M31" i="3"/>
  <c r="N31" i="3"/>
  <c r="P33" i="3"/>
  <c r="M33" i="3"/>
  <c r="N34" i="3"/>
  <c r="L33" i="3"/>
  <c r="L32" i="3"/>
  <c r="L31" i="3"/>
  <c r="L34" i="3"/>
  <c r="N35" i="3"/>
  <c r="N32" i="3"/>
  <c r="Q35" i="3"/>
  <c r="Q32" i="3"/>
  <c r="Q34" i="3"/>
  <c r="Q31" i="3"/>
  <c r="K34" i="3"/>
  <c r="K35" i="3"/>
  <c r="K31" i="3"/>
  <c r="K32" i="3"/>
  <c r="K33" i="3"/>
  <c r="L35" i="3"/>
  <c r="M35" i="3"/>
  <c r="M32" i="3"/>
  <c r="O32" i="3"/>
  <c r="O35" i="3"/>
  <c r="P35" i="3"/>
  <c r="P31" i="3"/>
  <c r="P32" i="3"/>
  <c r="C7" i="5" l="1" a="1"/>
  <c r="C7" i="5" l="1"/>
  <c r="P43" i="1" l="1"/>
  <c r="O43" i="1"/>
  <c r="N43" i="1"/>
  <c r="M43" i="1"/>
  <c r="L43" i="1"/>
  <c r="K43" i="1"/>
  <c r="J43" i="1"/>
  <c r="I43" i="1"/>
  <c r="H43" i="1"/>
  <c r="G43" i="1"/>
  <c r="F26" i="1"/>
  <c r="G26" i="1" s="1"/>
  <c r="G18" i="1" l="1"/>
  <c r="H18" i="1" s="1"/>
  <c r="I18" i="1" s="1"/>
  <c r="J18" i="1" s="1"/>
  <c r="K18" i="1" s="1"/>
  <c r="L18" i="1" s="1"/>
  <c r="M18" i="1" s="1"/>
  <c r="N18" i="1" s="1"/>
  <c r="O18" i="1" s="1"/>
  <c r="P18" i="1" s="1"/>
  <c r="H26" i="1" l="1"/>
  <c r="I26" i="1" s="1"/>
  <c r="J26" i="1" s="1"/>
  <c r="K26" i="1" s="1"/>
  <c r="L26" i="1" s="1"/>
  <c r="M26" i="1" s="1"/>
  <c r="N26" i="1" s="1"/>
  <c r="O26" i="1" s="1"/>
  <c r="P26" i="1" s="1"/>
  <c r="F19" i="1"/>
  <c r="F24" i="1" l="1"/>
  <c r="F25" i="1" s="1"/>
  <c r="L20" i="3"/>
  <c r="F38" i="1"/>
  <c r="F31" i="1"/>
  <c r="F37" i="1" s="1"/>
  <c r="F39" i="1"/>
  <c r="F21" i="1"/>
  <c r="F22" i="1" s="1"/>
  <c r="G19" i="1"/>
  <c r="G24" i="1" s="1"/>
  <c r="H19" i="1"/>
  <c r="H24" i="1" s="1"/>
  <c r="H25" i="1" s="1"/>
  <c r="H18" i="5" l="1"/>
  <c r="F28" i="1"/>
  <c r="F23" i="1"/>
  <c r="G31" i="1"/>
  <c r="G37" i="1" s="1"/>
  <c r="G38" i="1"/>
  <c r="G21" i="1"/>
  <c r="G22" i="1" s="1"/>
  <c r="G23" i="1" s="1"/>
  <c r="H21" i="1"/>
  <c r="H22" i="1" s="1"/>
  <c r="H23" i="1" s="1"/>
  <c r="H38" i="1"/>
  <c r="H31" i="1"/>
  <c r="H37" i="1" s="1"/>
  <c r="G39" i="1"/>
  <c r="I19" i="1"/>
  <c r="I24" i="1" s="1"/>
  <c r="I25" i="1" s="1"/>
  <c r="H39" i="1"/>
  <c r="O20" i="3" l="1"/>
  <c r="F30" i="1"/>
  <c r="K32" i="5"/>
  <c r="K18" i="5" s="1"/>
  <c r="L32" i="5"/>
  <c r="L18" i="5" s="1"/>
  <c r="M32" i="5"/>
  <c r="M18" i="5" s="1"/>
  <c r="J32" i="5"/>
  <c r="J18" i="5" s="1"/>
  <c r="I32" i="5"/>
  <c r="I18" i="5" s="1"/>
  <c r="F32" i="1"/>
  <c r="F34" i="1" s="1"/>
  <c r="F35" i="1" s="1"/>
  <c r="F29" i="1"/>
  <c r="H28" i="1"/>
  <c r="G28" i="1"/>
  <c r="G30" i="1" s="1"/>
  <c r="I31" i="1"/>
  <c r="I37" i="1" s="1"/>
  <c r="I38" i="1"/>
  <c r="I21" i="1"/>
  <c r="I22" i="1" s="1"/>
  <c r="I23" i="1" s="1"/>
  <c r="J19" i="1"/>
  <c r="J24" i="1" s="1"/>
  <c r="J25" i="1" s="1"/>
  <c r="I39" i="1"/>
  <c r="F40" i="1" l="1"/>
  <c r="R20" i="3"/>
  <c r="H30" i="1"/>
  <c r="H19" i="5"/>
  <c r="W20" i="3"/>
  <c r="H7" i="5" a="1"/>
  <c r="H32" i="1"/>
  <c r="H34" i="1" s="1"/>
  <c r="H35" i="1" s="1"/>
  <c r="H40" i="1" s="1"/>
  <c r="H44" i="1" s="1"/>
  <c r="H29" i="1"/>
  <c r="G29" i="1"/>
  <c r="G32" i="1"/>
  <c r="G33" i="1" s="1"/>
  <c r="I28" i="1"/>
  <c r="I30" i="1" s="1"/>
  <c r="J38" i="1"/>
  <c r="J21" i="1"/>
  <c r="J22" i="1" s="1"/>
  <c r="J31" i="1"/>
  <c r="J37" i="1" s="1"/>
  <c r="G34" i="1"/>
  <c r="G35" i="1" s="1"/>
  <c r="G40" i="1" s="1"/>
  <c r="G44" i="1" s="1"/>
  <c r="F33" i="1"/>
  <c r="K19" i="1"/>
  <c r="J39" i="1"/>
  <c r="J33" i="5" l="1"/>
  <c r="J19" i="5" s="1"/>
  <c r="K33" i="5"/>
  <c r="K19" i="5" s="1"/>
  <c r="L33" i="5"/>
  <c r="L19" i="5" s="1"/>
  <c r="M33" i="5"/>
  <c r="M19" i="5" s="1"/>
  <c r="I33" i="5"/>
  <c r="I19" i="5" s="1"/>
  <c r="H7" i="5"/>
  <c r="M28" i="5"/>
  <c r="M13" i="5" s="1"/>
  <c r="I28" i="5"/>
  <c r="I13" i="5" s="1"/>
  <c r="I25" i="5"/>
  <c r="I10" i="5" s="1"/>
  <c r="K24" i="5"/>
  <c r="K9" i="5" s="1"/>
  <c r="L23" i="5"/>
  <c r="L8" i="5" s="1"/>
  <c r="I23" i="5"/>
  <c r="I8" i="5" s="1"/>
  <c r="J26" i="5"/>
  <c r="J11" i="5" s="1"/>
  <c r="L26" i="5"/>
  <c r="L11" i="5" s="1"/>
  <c r="J28" i="5"/>
  <c r="J13" i="5" s="1"/>
  <c r="K30" i="5"/>
  <c r="K15" i="5" s="1"/>
  <c r="M24" i="5"/>
  <c r="M9" i="5" s="1"/>
  <c r="I24" i="5"/>
  <c r="I9" i="5" s="1"/>
  <c r="I30" i="5"/>
  <c r="I15" i="5" s="1"/>
  <c r="J25" i="5"/>
  <c r="J10" i="5" s="1"/>
  <c r="M26" i="5"/>
  <c r="M11" i="5" s="1"/>
  <c r="M23" i="5"/>
  <c r="M8" i="5" s="1"/>
  <c r="M27" i="5"/>
  <c r="M12" i="5" s="1"/>
  <c r="J30" i="5"/>
  <c r="J15" i="5" s="1"/>
  <c r="J27" i="5"/>
  <c r="J12" i="5" s="1"/>
  <c r="M29" i="5"/>
  <c r="M14" i="5" s="1"/>
  <c r="J24" i="5"/>
  <c r="J9" i="5" s="1"/>
  <c r="I27" i="5"/>
  <c r="I12" i="5" s="1"/>
  <c r="I26" i="5"/>
  <c r="I11" i="5" s="1"/>
  <c r="K28" i="5"/>
  <c r="K13" i="5" s="1"/>
  <c r="L24" i="5"/>
  <c r="L9" i="5" s="1"/>
  <c r="L28" i="5"/>
  <c r="L13" i="5" s="1"/>
  <c r="L29" i="5"/>
  <c r="L14" i="5" s="1"/>
  <c r="K27" i="5"/>
  <c r="K12" i="5" s="1"/>
  <c r="M25" i="5"/>
  <c r="M10" i="5" s="1"/>
  <c r="J23" i="5"/>
  <c r="J8" i="5" s="1"/>
  <c r="J29" i="5"/>
  <c r="J14" i="5" s="1"/>
  <c r="I29" i="5"/>
  <c r="I14" i="5" s="1"/>
  <c r="M30" i="5"/>
  <c r="M15" i="5" s="1"/>
  <c r="L27" i="5"/>
  <c r="L12" i="5" s="1"/>
  <c r="L30" i="5"/>
  <c r="L15" i="5" s="1"/>
  <c r="K25" i="5"/>
  <c r="K10" i="5" s="1"/>
  <c r="K29" i="5"/>
  <c r="K14" i="5" s="1"/>
  <c r="L25" i="5"/>
  <c r="L10" i="5" s="1"/>
  <c r="K23" i="5"/>
  <c r="K8" i="5" s="1"/>
  <c r="K26" i="5"/>
  <c r="K11" i="5" s="1"/>
  <c r="I32" i="1"/>
  <c r="I34" i="1" s="1"/>
  <c r="I35" i="1" s="1"/>
  <c r="I40" i="1" s="1"/>
  <c r="I44" i="1" s="1"/>
  <c r="I29" i="1"/>
  <c r="J28" i="1"/>
  <c r="J30" i="1" s="1"/>
  <c r="J23" i="1"/>
  <c r="K24" i="1"/>
  <c r="K25" i="1" s="1"/>
  <c r="K21" i="1"/>
  <c r="K22" i="1" s="1"/>
  <c r="K38" i="1"/>
  <c r="K31" i="1"/>
  <c r="K37" i="1" s="1"/>
  <c r="L19" i="1"/>
  <c r="K39" i="1"/>
  <c r="H33" i="1"/>
  <c r="K22" i="5" l="1"/>
  <c r="K7" i="5" s="1"/>
  <c r="I22" i="5"/>
  <c r="J22" i="5"/>
  <c r="J7" i="5" s="1"/>
  <c r="L22" i="5"/>
  <c r="L7" i="5" s="1"/>
  <c r="M22" i="5"/>
  <c r="M7" i="5" s="1"/>
  <c r="J32" i="1"/>
  <c r="J29" i="1"/>
  <c r="L21" i="1"/>
  <c r="L22" i="1" s="1"/>
  <c r="L31" i="1"/>
  <c r="L37" i="1" s="1"/>
  <c r="L24" i="1"/>
  <c r="L25" i="1" s="1"/>
  <c r="L38" i="1"/>
  <c r="K28" i="1"/>
  <c r="K30" i="1" s="1"/>
  <c r="J34" i="1"/>
  <c r="J35" i="1" s="1"/>
  <c r="J40" i="1" s="1"/>
  <c r="J44" i="1" s="1"/>
  <c r="K23" i="1"/>
  <c r="M19" i="1"/>
  <c r="L39" i="1"/>
  <c r="I33" i="1"/>
  <c r="E21" i="5" l="1"/>
  <c r="E30" i="5" s="1"/>
  <c r="E34" i="5" s="1"/>
  <c r="E35" i="5" s="1"/>
  <c r="I7" i="5"/>
  <c r="K32" i="1"/>
  <c r="K34" i="1" s="1"/>
  <c r="K35" i="1" s="1"/>
  <c r="K40" i="1" s="1"/>
  <c r="K44" i="1" s="1"/>
  <c r="K29" i="1"/>
  <c r="L28" i="1"/>
  <c r="L30" i="1" s="1"/>
  <c r="M31" i="1"/>
  <c r="M37" i="1" s="1"/>
  <c r="M24" i="1"/>
  <c r="M25" i="1" s="1"/>
  <c r="M21" i="1"/>
  <c r="M22" i="1" s="1"/>
  <c r="M38" i="1"/>
  <c r="L23" i="1"/>
  <c r="N19" i="1"/>
  <c r="M39" i="1"/>
  <c r="J33" i="1"/>
  <c r="L32" i="1" l="1"/>
  <c r="L34" i="1" s="1"/>
  <c r="L35" i="1" s="1"/>
  <c r="L40" i="1" s="1"/>
  <c r="L44" i="1" s="1"/>
  <c r="L29" i="1"/>
  <c r="M28" i="1"/>
  <c r="N38" i="1"/>
  <c r="N21" i="1"/>
  <c r="N22" i="1" s="1"/>
  <c r="N31" i="1"/>
  <c r="N37" i="1" s="1"/>
  <c r="N24" i="1"/>
  <c r="N25" i="1" s="1"/>
  <c r="M23" i="1"/>
  <c r="K33" i="1"/>
  <c r="O19" i="1"/>
  <c r="N39" i="1"/>
  <c r="M32" i="1" l="1"/>
  <c r="M34" i="1" s="1"/>
  <c r="M35" i="1" s="1"/>
  <c r="M40" i="1" s="1"/>
  <c r="M44" i="1" s="1"/>
  <c r="M29" i="1"/>
  <c r="M30" i="1"/>
  <c r="N28" i="1"/>
  <c r="O31" i="1"/>
  <c r="O37" i="1" s="1"/>
  <c r="O24" i="1"/>
  <c r="O25" i="1" s="1"/>
  <c r="O38" i="1"/>
  <c r="O21" i="1"/>
  <c r="O22" i="1" s="1"/>
  <c r="N23" i="1"/>
  <c r="P19" i="1"/>
  <c r="O39" i="1"/>
  <c r="L33" i="1"/>
  <c r="N32" i="1" l="1"/>
  <c r="N34" i="1" s="1"/>
  <c r="N35" i="1" s="1"/>
  <c r="N40" i="1" s="1"/>
  <c r="N44" i="1" s="1"/>
  <c r="N29" i="1"/>
  <c r="N30" i="1"/>
  <c r="O28" i="1"/>
  <c r="P21" i="1"/>
  <c r="P22" i="1" s="1"/>
  <c r="P31" i="1"/>
  <c r="P37" i="1" s="1"/>
  <c r="P24" i="1"/>
  <c r="P25" i="1" s="1"/>
  <c r="P38" i="1"/>
  <c r="O23" i="1"/>
  <c r="P39" i="1"/>
  <c r="M33" i="1"/>
  <c r="O32" i="1" l="1"/>
  <c r="O34" i="1" s="1"/>
  <c r="O35" i="1" s="1"/>
  <c r="O40" i="1" s="1"/>
  <c r="O44" i="1" s="1"/>
  <c r="O30" i="1"/>
  <c r="O29" i="1"/>
  <c r="P28" i="1"/>
  <c r="P23" i="1"/>
  <c r="N33" i="1"/>
  <c r="P32" i="1" l="1"/>
  <c r="P34" i="1" s="1"/>
  <c r="P35" i="1" s="1"/>
  <c r="P40" i="1" s="1"/>
  <c r="P44" i="1" s="1"/>
  <c r="K12" i="1" s="1"/>
  <c r="P30" i="1"/>
  <c r="P29" i="1"/>
  <c r="O33" i="1"/>
  <c r="K8" i="1" l="1"/>
  <c r="K11" i="1" s="1"/>
  <c r="P33" i="1"/>
  <c r="K9" i="1" l="1"/>
  <c r="K13" i="1"/>
  <c r="D48" i="1" s="1"/>
  <c r="K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<sst xmlns="http://schemas.openxmlformats.org/spreadsheetml/2006/main" count="230" uniqueCount="149">
  <si>
    <t>Dicounted Cash Flow Analysis</t>
  </si>
  <si>
    <t>% growth</t>
  </si>
  <si>
    <t>Gross Profit</t>
  </si>
  <si>
    <t>% margin</t>
  </si>
  <si>
    <t>EBITDA</t>
  </si>
  <si>
    <t>EBIT</t>
  </si>
  <si>
    <t>Unlevered Free Cash Flow</t>
  </si>
  <si>
    <t>WACC</t>
  </si>
  <si>
    <t>Discount Period</t>
  </si>
  <si>
    <t>Discount Factor</t>
  </si>
  <si>
    <t>Present Value of Free Cash Flow</t>
  </si>
  <si>
    <t>XYZ</t>
  </si>
  <si>
    <t>Projection Period</t>
  </si>
  <si>
    <t>Assumptions &amp; Output</t>
  </si>
  <si>
    <t>Net Revenue</t>
  </si>
  <si>
    <t>G&amp;A Expense</t>
  </si>
  <si>
    <t>Selling Expense (% Revenue)</t>
  </si>
  <si>
    <t>D&amp;A (% Revenue)</t>
  </si>
  <si>
    <t>Capex (% Revenue)</t>
  </si>
  <si>
    <t>Changes in WC (% Revenue)</t>
  </si>
  <si>
    <t>Tax Rate</t>
  </si>
  <si>
    <t>Financial Expense</t>
  </si>
  <si>
    <t>COGS (% Revenue)</t>
  </si>
  <si>
    <t>(-) Depreciation &amp; Amortization</t>
  </si>
  <si>
    <t>(-) General &amp; Administrative Expense</t>
  </si>
  <si>
    <t>(-) Selling Expense</t>
  </si>
  <si>
    <t>(-) Cost of Goods Sold</t>
  </si>
  <si>
    <t/>
  </si>
  <si>
    <t xml:space="preserve">(-) Taxes, excluding effect of interest </t>
  </si>
  <si>
    <t>(+) D&amp;A</t>
  </si>
  <si>
    <t>Terminal Value</t>
  </si>
  <si>
    <t>Terminal Value - Perpetuity Growth Method</t>
  </si>
  <si>
    <t>Terminal FCF Growth Rate</t>
  </si>
  <si>
    <t>Implied Terminal EBITDA Multiple</t>
  </si>
  <si>
    <t>Implied Enterprise Value</t>
  </si>
  <si>
    <t>% of Implied EV from TV</t>
  </si>
  <si>
    <t>Terminal Growth Rate</t>
  </si>
  <si>
    <t>Weighted Average Cost of Capital</t>
  </si>
  <si>
    <t>NOPAT</t>
  </si>
  <si>
    <t>(-/+) Changes in Net Working Capital</t>
  </si>
  <si>
    <t>(-) CapEx</t>
  </si>
  <si>
    <t>Historical</t>
  </si>
  <si>
    <t>Sum of PV of Free Cash Flow</t>
  </si>
  <si>
    <t>PV of Terminal Value</t>
  </si>
  <si>
    <t>Share</t>
  </si>
  <si>
    <t>Diluted</t>
  </si>
  <si>
    <t>Preferred</t>
  </si>
  <si>
    <t>Revenue</t>
  </si>
  <si>
    <t>Net Income</t>
  </si>
  <si>
    <t>EBITDA Margin</t>
  </si>
  <si>
    <t>Company Name</t>
  </si>
  <si>
    <t>Ticker</t>
  </si>
  <si>
    <t>Price</t>
  </si>
  <si>
    <t>Shares</t>
  </si>
  <si>
    <t>Cash</t>
  </si>
  <si>
    <t>Debt</t>
  </si>
  <si>
    <t>Stock</t>
  </si>
  <si>
    <t>LTM</t>
  </si>
  <si>
    <t>Growth</t>
  </si>
  <si>
    <t>Maximum</t>
  </si>
  <si>
    <t>75th Percentile</t>
  </si>
  <si>
    <t>Median</t>
  </si>
  <si>
    <t>25th Percentile</t>
  </si>
  <si>
    <t>Minimum</t>
  </si>
  <si>
    <t>Acquirer Name</t>
  </si>
  <si>
    <t>Target Name</t>
  </si>
  <si>
    <t>Date</t>
  </si>
  <si>
    <t>XYZ Company</t>
  </si>
  <si>
    <t>Mercado Libre</t>
  </si>
  <si>
    <t>Amazon</t>
  </si>
  <si>
    <t>Shopify</t>
  </si>
  <si>
    <t>Sea Limited</t>
  </si>
  <si>
    <t>eBay</t>
  </si>
  <si>
    <t>Alibaba</t>
  </si>
  <si>
    <t>MELI</t>
  </si>
  <si>
    <t>AMZN</t>
  </si>
  <si>
    <t>SHOP</t>
  </si>
  <si>
    <t>SE</t>
  </si>
  <si>
    <t>EBAY</t>
  </si>
  <si>
    <t>BABA</t>
  </si>
  <si>
    <t>FY22</t>
  </si>
  <si>
    <t>FY23</t>
  </si>
  <si>
    <t>Other</t>
  </si>
  <si>
    <t>Precedent Transactions</t>
  </si>
  <si>
    <t>Comparable Companies</t>
  </si>
  <si>
    <t>Walmart</t>
  </si>
  <si>
    <t>Linio</t>
  </si>
  <si>
    <t>Deliverr</t>
  </si>
  <si>
    <t>Rakuten</t>
  </si>
  <si>
    <t>Ebates</t>
  </si>
  <si>
    <t>Trendyol</t>
  </si>
  <si>
    <t>Vipshop</t>
  </si>
  <si>
    <t>Olx</t>
  </si>
  <si>
    <t>Marketp</t>
  </si>
  <si>
    <t>Mr.Robot</t>
  </si>
  <si>
    <t>Delli</t>
  </si>
  <si>
    <t>The Seller</t>
  </si>
  <si>
    <t>($ in millions)</t>
  </si>
  <si>
    <t>EV/LTMRevenue</t>
  </si>
  <si>
    <t>EV/LTM EBITDA</t>
  </si>
  <si>
    <t>LTM EBITDA</t>
  </si>
  <si>
    <t>LTM Revenue</t>
  </si>
  <si>
    <t>Transaction Value</t>
  </si>
  <si>
    <t>Public Company Comparables:</t>
  </si>
  <si>
    <t>Precedent Transactions:</t>
  </si>
  <si>
    <t>EV/Revenue</t>
  </si>
  <si>
    <t>EV/EBITDA</t>
  </si>
  <si>
    <t>P/E Multiple</t>
  </si>
  <si>
    <t>Equity Value</t>
  </si>
  <si>
    <t>EV</t>
  </si>
  <si>
    <t>FY22 EV/Revenue</t>
  </si>
  <si>
    <t>LTM EV/Revenue</t>
  </si>
  <si>
    <t>FY23 EV/Revenue</t>
  </si>
  <si>
    <t>LTM EV/EBITDA</t>
  </si>
  <si>
    <t>FY22 EV/EBITDA</t>
  </si>
  <si>
    <t>FY23 EV/EBITDA</t>
  </si>
  <si>
    <t>LTM P/E</t>
  </si>
  <si>
    <t>FY22 P/E</t>
  </si>
  <si>
    <t>FY23 P/E</t>
  </si>
  <si>
    <t>Implied Enterprise Value:</t>
  </si>
  <si>
    <t>Implied Enterprise Value or Equity Value at a Range of Multiples:</t>
  </si>
  <si>
    <t>(+) Cash &amp; Cash-Equivalents:</t>
  </si>
  <si>
    <t>(+) Other Non-Core Assets, Net:</t>
  </si>
  <si>
    <t>75th</t>
  </si>
  <si>
    <t>25th</t>
  </si>
  <si>
    <t>Applicable</t>
  </si>
  <si>
    <t>Percentile</t>
  </si>
  <si>
    <t>Company</t>
  </si>
  <si>
    <t>Multiple</t>
  </si>
  <si>
    <t>Figure</t>
  </si>
  <si>
    <t>Methodology</t>
  </si>
  <si>
    <t>Implied Per Share</t>
  </si>
  <si>
    <t>Range of Valuation Multiples</t>
  </si>
  <si>
    <t>Enterprise Value</t>
  </si>
  <si>
    <t>Implied Equity Value</t>
  </si>
  <si>
    <t>Diluted Shares Outstanding:</t>
  </si>
  <si>
    <t>Implied Share Price from DCF:</t>
  </si>
  <si>
    <t>Premium / (Discount) to Current:</t>
  </si>
  <si>
    <t>Min</t>
  </si>
  <si>
    <t>Max</t>
  </si>
  <si>
    <t>Min Point</t>
  </si>
  <si>
    <t>25th Point</t>
  </si>
  <si>
    <t>Median Point</t>
  </si>
  <si>
    <t>75th Point</t>
  </si>
  <si>
    <t>Max Point</t>
  </si>
  <si>
    <t>DCF</t>
  </si>
  <si>
    <t xml:space="preserve">Enterprise Value </t>
  </si>
  <si>
    <t>20% - 30% WACC / 5% - 6% FCF GR</t>
  </si>
  <si>
    <t>XYZC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</si>
</sst>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* _(#,##0%_);* \(#,##0%\);* _(&quot;-&quot;?_);_(@_)"/>
    <numFmt numFmtId="165" formatCode="&quot;Year&quot;\ 0"/>
    <numFmt numFmtId="166" formatCode="#,##0.0_);\(#,##0.0\)"/>
    <numFmt numFmtId="167" formatCode="0.0%"/>
    <numFmt numFmtId="168" formatCode="[$R$-416]\ #,##0.00"/>
    <numFmt numFmtId="169" formatCode="0.0&quot;x&quot;"/>
    <numFmt numFmtId="170" formatCode="\​\​#,##0_);\(#,##0\);\-_);@_)"/>
    <numFmt numFmtId="171" formatCode="0.0"/>
    <numFmt numFmtId="172" formatCode="&quot;FY&quot;yy"/>
    <numFmt numFmtId="173" formatCode="_(* #,##0.0_);_(* \(#,##0.0\);_(* &quot;-&quot;?_);_(@_)"/>
    <numFmt numFmtId="174" formatCode="_(&quot;$&quot;* #,##0.0_);_(&quot;$&quot;* \(#,##0.0\);_(&quot;$&quot;* &quot;-&quot;?_);_(@_)"/>
    <numFmt numFmtId="175" formatCode="_(#,##0.0%_);\(#,##0.0%\);_(&quot;–&quot;_)_%;_(@_)_%"/>
    <numFmt numFmtId="176" formatCode="_(&quot;$&quot;* #,##0.0_);_(&quot;$&quot;* \(#,##0.0\);_(&quot;$&quot;* &quot;-&quot;??_);_(@_)"/>
    <numFmt numFmtId="177" formatCode="_(* #,##0.0_);_(* \(#,##0.0\);_(* &quot;-&quot;??_);_(@_)"/>
    <numFmt numFmtId="178" formatCode="0.0\ \x"/>
    <numFmt numFmtId="179" formatCode="_(&quot;$&quot;#,##0.00_)_%;\(&quot;$&quot;#,##0.00\)_%;_(&quot;–&quot;_)_%;_(@_)_%"/>
    <numFmt numFmtId="180" formatCode="yyyy\-mm\-dd"/>
    <numFmt numFmtId="181" formatCode="_(* #,##0_);_(* \(#,##0\);_(* &quot;-&quot;??_);_(@_)"/>
    <numFmt numFmtId="182" formatCode="_(&quot;$&quot;* #,##0_);_(&quot;$&quot;* \(#,##0\);_(&quot;$&quot;* &quot;-&quot;??_);_(@_)"/>
    <numFmt numFmtId="183" formatCode="#,###_);\(#,##0\)"/>
    <numFmt numFmtId="184" formatCode="_(#,##0_);_(&quot;$&quot;* \(#,##0\);_(&quot;$&quot;* &quot;-&quot;?_);_(@_)"/>
    <numFmt numFmtId="185" formatCode="#,###_);\(#,###\);&quot;-&quot;;"/>
    <numFmt numFmtId="186" formatCode="#,###.0_);\(#,###.0\);&quot;-&quot;"/>
    <numFmt numFmtId="187" formatCode="_(* #,##0.0_);_(* \(#,##0.0\);_(* &quot;-&quot;???_);_(@_)"/>
    <numFmt numFmtId="188" formatCode="0.0%;\(0.0%\)"/>
    <numFmt numFmtId="189" formatCode="#,###_);\(#,###\);&quot;-&quot;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9"/>
      <color indexed="0"/>
      <name val="Helvetica"/>
    </font>
    <font>
      <sz val="1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b/>
      <sz val="10"/>
      <name val="MS Sans Serif"/>
      <family val="2"/>
    </font>
    <font>
      <i/>
      <sz val="10"/>
      <name val="Aptos Narrow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1"/>
      <color rgb="FF0000FF"/>
      <name val="Aptos Narrow"/>
      <family val="2"/>
      <scheme val="minor"/>
    </font>
    <font>
      <i/>
      <sz val="10"/>
      <color rgb="FF0000F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name val="Aptos Narrow"/>
      <family val="2"/>
      <scheme val="minor"/>
    </font>
    <font>
      <b/>
      <sz val="11"/>
      <color indexed="9"/>
      <name val="Aptos Narrow"/>
      <family val="2"/>
      <scheme val="minor"/>
    </font>
    <font>
      <b/>
      <u/>
      <sz val="11"/>
      <color indexed="9"/>
      <name val="Aptos Narrow"/>
      <family val="2"/>
      <scheme val="minor"/>
    </font>
    <font>
      <sz val="11"/>
      <color indexed="9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7" fillId="0" borderId="0"/>
    <xf numFmtId="0" fontId="1" fillId="0" borderId="0"/>
    <xf numFmtId="0" fontId="18" fillId="0" borderId="0" applyAlignment="0"/>
    <xf numFmtId="0" fontId="1" fillId="0" borderId="0"/>
    <xf numFmtId="0" fontId="1" fillId="0" borderId="0"/>
  </cellStyleXfs>
  <cellXfs count="14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Continuous"/>
    </xf>
    <xf numFmtId="0" fontId="7" fillId="0" borderId="0" xfId="3" applyFont="1"/>
    <xf numFmtId="0" fontId="2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164" fontId="10" fillId="0" borderId="0" xfId="4" applyNumberFormat="1" applyFont="1" applyFill="1" applyBorder="1" applyAlignment="1">
      <alignment horizontal="right"/>
    </xf>
    <xf numFmtId="0" fontId="0" fillId="3" borderId="0" xfId="0" applyFill="1"/>
    <xf numFmtId="0" fontId="2" fillId="3" borderId="0" xfId="0" applyFont="1" applyFill="1"/>
    <xf numFmtId="9" fontId="0" fillId="0" borderId="0" xfId="1" applyFont="1"/>
    <xf numFmtId="0" fontId="0" fillId="0" borderId="0" xfId="0" quotePrefix="1"/>
    <xf numFmtId="165" fontId="8" fillId="0" borderId="2" xfId="0" applyNumberFormat="1" applyFont="1" applyBorder="1"/>
    <xf numFmtId="165" fontId="2" fillId="0" borderId="2" xfId="0" applyNumberFormat="1" applyFont="1" applyBorder="1"/>
    <xf numFmtId="0" fontId="0" fillId="0" borderId="2" xfId="0" applyBorder="1"/>
    <xf numFmtId="2" fontId="0" fillId="0" borderId="2" xfId="0" applyNumberFormat="1" applyBorder="1"/>
    <xf numFmtId="166" fontId="0" fillId="0" borderId="0" xfId="0" applyNumberFormat="1"/>
    <xf numFmtId="166" fontId="2" fillId="0" borderId="0" xfId="0" applyNumberFormat="1" applyFont="1"/>
    <xf numFmtId="166" fontId="0" fillId="0" borderId="2" xfId="0" applyNumberFormat="1" applyBorder="1"/>
    <xf numFmtId="0" fontId="2" fillId="4" borderId="0" xfId="0" applyFont="1" applyFill="1"/>
    <xf numFmtId="0" fontId="0" fillId="4" borderId="0" xfId="0" applyFill="1"/>
    <xf numFmtId="166" fontId="2" fillId="4" borderId="0" xfId="0" applyNumberFormat="1" applyFont="1" applyFill="1"/>
    <xf numFmtId="0" fontId="2" fillId="4" borderId="0" xfId="0" applyFont="1" applyFill="1" applyAlignment="1">
      <alignment horizontal="centerContinuous"/>
    </xf>
    <xf numFmtId="168" fontId="0" fillId="0" borderId="0" xfId="0" applyNumberFormat="1"/>
    <xf numFmtId="169" fontId="0" fillId="0" borderId="0" xfId="0" applyNumberFormat="1"/>
    <xf numFmtId="0" fontId="11" fillId="0" borderId="0" xfId="0" applyFont="1"/>
    <xf numFmtId="0" fontId="12" fillId="0" borderId="0" xfId="0" applyFont="1"/>
    <xf numFmtId="167" fontId="13" fillId="0" borderId="0" xfId="0" applyNumberFormat="1" applyFont="1"/>
    <xf numFmtId="170" fontId="11" fillId="0" borderId="0" xfId="0" applyNumberFormat="1" applyFont="1"/>
    <xf numFmtId="0" fontId="13" fillId="0" borderId="0" xfId="0" applyFont="1" applyAlignment="1">
      <alignment vertical="center" textRotation="90" wrapText="1"/>
    </xf>
    <xf numFmtId="167" fontId="13" fillId="0" borderId="3" xfId="0" applyNumberFormat="1" applyFont="1" applyBorder="1"/>
    <xf numFmtId="0" fontId="13" fillId="3" borderId="0" xfId="0" applyFont="1" applyFill="1" applyAlignment="1">
      <alignment horizontal="centerContinuous"/>
    </xf>
    <xf numFmtId="0" fontId="1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9" fontId="2" fillId="0" borderId="2" xfId="0" applyNumberFormat="1" applyFont="1" applyBorder="1"/>
    <xf numFmtId="9" fontId="13" fillId="0" borderId="2" xfId="0" applyNumberFormat="1" applyFont="1" applyBorder="1"/>
    <xf numFmtId="170" fontId="12" fillId="0" borderId="0" xfId="0" applyNumberFormat="1" applyFont="1"/>
    <xf numFmtId="171" fontId="0" fillId="0" borderId="0" xfId="0" applyNumberFormat="1"/>
    <xf numFmtId="167" fontId="14" fillId="2" borderId="1" xfId="2" applyNumberFormat="1" applyFont="1"/>
    <xf numFmtId="0" fontId="14" fillId="2" borderId="1" xfId="2" applyFont="1"/>
    <xf numFmtId="9" fontId="14" fillId="2" borderId="1" xfId="2" applyNumberFormat="1" applyFont="1"/>
    <xf numFmtId="164" fontId="15" fillId="0" borderId="0" xfId="4" applyNumberFormat="1" applyFont="1" applyFill="1" applyBorder="1" applyAlignment="1">
      <alignment horizontal="right"/>
    </xf>
    <xf numFmtId="164" fontId="15" fillId="0" borderId="2" xfId="4" applyNumberFormat="1" applyFont="1" applyFill="1" applyBorder="1" applyAlignment="1">
      <alignment horizontal="right"/>
    </xf>
    <xf numFmtId="0" fontId="14" fillId="0" borderId="0" xfId="0" applyFont="1"/>
    <xf numFmtId="0" fontId="0" fillId="0" borderId="0" xfId="0" applyAlignment="1">
      <alignment horizontal="left"/>
    </xf>
    <xf numFmtId="0" fontId="7" fillId="0" borderId="0" xfId="5" applyFont="1"/>
    <xf numFmtId="0" fontId="1" fillId="0" borderId="0" xfId="0" applyFont="1"/>
    <xf numFmtId="0" fontId="19" fillId="0" borderId="0" xfId="5" applyFont="1"/>
    <xf numFmtId="1" fontId="7" fillId="0" borderId="0" xfId="5" applyNumberFormat="1" applyFont="1"/>
    <xf numFmtId="0" fontId="20" fillId="5" borderId="0" xfId="5" applyFont="1" applyFill="1"/>
    <xf numFmtId="0" fontId="21" fillId="5" borderId="0" xfId="5" applyFont="1" applyFill="1" applyAlignment="1">
      <alignment horizontal="centerContinuous"/>
    </xf>
    <xf numFmtId="0" fontId="22" fillId="5" borderId="0" xfId="5" applyFont="1" applyFill="1"/>
    <xf numFmtId="0" fontId="20" fillId="5" borderId="0" xfId="5" applyFont="1" applyFill="1" applyAlignment="1">
      <alignment horizontal="center"/>
    </xf>
    <xf numFmtId="0" fontId="20" fillId="5" borderId="2" xfId="5" applyFont="1" applyFill="1" applyBorder="1"/>
    <xf numFmtId="0" fontId="20" fillId="5" borderId="2" xfId="5" applyFont="1" applyFill="1" applyBorder="1" applyAlignment="1">
      <alignment horizontal="center"/>
    </xf>
    <xf numFmtId="14" fontId="20" fillId="5" borderId="2" xfId="5" applyNumberFormat="1" applyFont="1" applyFill="1" applyBorder="1" applyAlignment="1">
      <alignment horizontal="center"/>
    </xf>
    <xf numFmtId="44" fontId="14" fillId="0" borderId="0" xfId="5" applyNumberFormat="1" applyFont="1"/>
    <xf numFmtId="173" fontId="14" fillId="0" borderId="0" xfId="5" applyNumberFormat="1" applyFont="1"/>
    <xf numFmtId="175" fontId="7" fillId="0" borderId="0" xfId="5" applyNumberFormat="1" applyFont="1"/>
    <xf numFmtId="43" fontId="14" fillId="0" borderId="0" xfId="5" applyNumberFormat="1" applyFont="1"/>
    <xf numFmtId="0" fontId="7" fillId="0" borderId="0" xfId="5" applyFont="1" applyAlignment="1">
      <alignment horizontal="center"/>
    </xf>
    <xf numFmtId="0" fontId="19" fillId="0" borderId="0" xfId="5" applyFont="1" applyAlignment="1">
      <alignment horizontal="center"/>
    </xf>
    <xf numFmtId="178" fontId="7" fillId="0" borderId="0" xfId="5" applyNumberFormat="1" applyFont="1"/>
    <xf numFmtId="178" fontId="7" fillId="0" borderId="2" xfId="5" applyNumberFormat="1" applyFont="1" applyBorder="1"/>
    <xf numFmtId="179" fontId="7" fillId="0" borderId="0" xfId="5" applyNumberFormat="1" applyFont="1"/>
    <xf numFmtId="3" fontId="1" fillId="0" borderId="0" xfId="0" applyNumberFormat="1" applyFont="1"/>
    <xf numFmtId="172" fontId="16" fillId="5" borderId="2" xfId="0" applyNumberFormat="1" applyFont="1" applyFill="1" applyBorder="1" applyAlignment="1">
      <alignment horizontal="center"/>
    </xf>
    <xf numFmtId="2" fontId="7" fillId="0" borderId="0" xfId="5" applyNumberFormat="1" applyFont="1"/>
    <xf numFmtId="181" fontId="14" fillId="0" borderId="0" xfId="5" applyNumberFormat="1" applyFont="1"/>
    <xf numFmtId="181" fontId="7" fillId="0" borderId="0" xfId="5" applyNumberFormat="1" applyFont="1"/>
    <xf numFmtId="182" fontId="7" fillId="0" borderId="0" xfId="5" applyNumberFormat="1" applyFont="1"/>
    <xf numFmtId="9" fontId="7" fillId="0" borderId="0" xfId="1" applyFont="1" applyBorder="1"/>
    <xf numFmtId="0" fontId="2" fillId="3" borderId="0" xfId="5" applyFont="1" applyFill="1"/>
    <xf numFmtId="0" fontId="19" fillId="3" borderId="0" xfId="5" applyFont="1" applyFill="1"/>
    <xf numFmtId="182" fontId="19" fillId="3" borderId="0" xfId="5" applyNumberFormat="1" applyFont="1" applyFill="1"/>
    <xf numFmtId="9" fontId="19" fillId="3" borderId="0" xfId="1" applyFont="1" applyFill="1" applyBorder="1"/>
    <xf numFmtId="183" fontId="7" fillId="0" borderId="0" xfId="5" applyNumberFormat="1" applyFont="1"/>
    <xf numFmtId="183" fontId="19" fillId="3" borderId="0" xfId="5" applyNumberFormat="1" applyFont="1" applyFill="1"/>
    <xf numFmtId="183" fontId="2" fillId="3" borderId="0" xfId="5" applyNumberFormat="1" applyFont="1" applyFill="1"/>
    <xf numFmtId="169" fontId="7" fillId="0" borderId="0" xfId="5" applyNumberFormat="1" applyFont="1" applyAlignment="1">
      <alignment horizontal="right"/>
    </xf>
    <xf numFmtId="0" fontId="7" fillId="0" borderId="0" xfId="0" applyFont="1"/>
    <xf numFmtId="180" fontId="23" fillId="0" borderId="0" xfId="7" applyNumberFormat="1" applyFont="1" applyAlignment="1">
      <alignment horizontal="center" vertical="top"/>
    </xf>
    <xf numFmtId="174" fontId="0" fillId="0" borderId="0" xfId="0" applyNumberFormat="1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7" fillId="0" borderId="0" xfId="5" applyFont="1" applyAlignment="1">
      <alignment horizontal="right"/>
    </xf>
    <xf numFmtId="176" fontId="7" fillId="0" borderId="0" xfId="5" applyNumberFormat="1" applyFont="1"/>
    <xf numFmtId="177" fontId="7" fillId="0" borderId="0" xfId="5" applyNumberFormat="1" applyFont="1"/>
    <xf numFmtId="0" fontId="19" fillId="3" borderId="0" xfId="5" applyFont="1" applyFill="1" applyAlignment="1">
      <alignment horizontal="right"/>
    </xf>
    <xf numFmtId="176" fontId="19" fillId="3" borderId="0" xfId="5" applyNumberFormat="1" applyFont="1" applyFill="1"/>
    <xf numFmtId="178" fontId="19" fillId="3" borderId="0" xfId="5" applyNumberFormat="1" applyFont="1" applyFill="1"/>
    <xf numFmtId="44" fontId="7" fillId="0" borderId="0" xfId="5" applyNumberFormat="1" applyFont="1"/>
    <xf numFmtId="181" fontId="19" fillId="3" borderId="0" xfId="5" applyNumberFormat="1" applyFont="1" applyFill="1"/>
    <xf numFmtId="184" fontId="14" fillId="0" borderId="0" xfId="0" applyNumberFormat="1" applyFont="1"/>
    <xf numFmtId="169" fontId="7" fillId="0" borderId="0" xfId="5" applyNumberFormat="1" applyFont="1"/>
    <xf numFmtId="43" fontId="7" fillId="0" borderId="0" xfId="5" applyNumberFormat="1" applyFont="1"/>
    <xf numFmtId="44" fontId="19" fillId="3" borderId="0" xfId="5" applyNumberFormat="1" applyFont="1" applyFill="1"/>
    <xf numFmtId="169" fontId="19" fillId="3" borderId="0" xfId="5" applyNumberFormat="1" applyFont="1" applyFill="1"/>
    <xf numFmtId="44" fontId="2" fillId="3" borderId="0" xfId="5" applyNumberFormat="1" applyFont="1" applyFill="1"/>
    <xf numFmtId="42" fontId="2" fillId="3" borderId="0" xfId="5" applyNumberFormat="1" applyFont="1" applyFill="1" applyAlignment="1">
      <alignment horizontal="right"/>
    </xf>
    <xf numFmtId="178" fontId="2" fillId="3" borderId="0" xfId="5" applyNumberFormat="1" applyFont="1" applyFill="1" applyAlignment="1">
      <alignment horizontal="right"/>
    </xf>
    <xf numFmtId="183" fontId="2" fillId="3" borderId="0" xfId="5" applyNumberFormat="1" applyFont="1" applyFill="1" applyAlignment="1">
      <alignment horizontal="right"/>
    </xf>
    <xf numFmtId="9" fontId="2" fillId="3" borderId="0" xfId="1" applyFont="1" applyFill="1" applyBorder="1" applyAlignment="1">
      <alignment horizontal="right"/>
    </xf>
    <xf numFmtId="9" fontId="19" fillId="3" borderId="0" xfId="1" applyFont="1" applyFill="1"/>
    <xf numFmtId="182" fontId="2" fillId="3" borderId="0" xfId="5" applyNumberFormat="1" applyFont="1" applyFill="1"/>
    <xf numFmtId="0" fontId="20" fillId="5" borderId="0" xfId="5" applyFont="1" applyFill="1" applyAlignment="1">
      <alignment horizontal="centerContinuous"/>
    </xf>
    <xf numFmtId="0" fontId="2" fillId="0" borderId="0" xfId="0" applyFont="1" applyAlignment="1">
      <alignment horizontal="left"/>
    </xf>
    <xf numFmtId="0" fontId="7" fillId="0" borderId="0" xfId="5" applyFont="1" applyAlignment="1">
      <alignment horizontal="left" indent="1"/>
    </xf>
    <xf numFmtId="173" fontId="24" fillId="0" borderId="0" xfId="0" applyNumberFormat="1" applyFont="1"/>
    <xf numFmtId="173" fontId="24" fillId="0" borderId="2" xfId="0" applyNumberFormat="1" applyFont="1" applyBorder="1"/>
    <xf numFmtId="0" fontId="0" fillId="0" borderId="0" xfId="8" applyFont="1" applyAlignment="1">
      <alignment vertical="center"/>
    </xf>
    <xf numFmtId="169" fontId="25" fillId="0" borderId="0" xfId="0" applyNumberFormat="1" applyFont="1"/>
    <xf numFmtId="0" fontId="25" fillId="0" borderId="0" xfId="0" applyFont="1"/>
    <xf numFmtId="0" fontId="19" fillId="4" borderId="2" xfId="5" applyFont="1" applyFill="1" applyBorder="1"/>
    <xf numFmtId="174" fontId="2" fillId="4" borderId="2" xfId="0" applyNumberFormat="1" applyFont="1" applyFill="1" applyBorder="1"/>
    <xf numFmtId="0" fontId="19" fillId="4" borderId="4" xfId="5" applyFont="1" applyFill="1" applyBorder="1" applyAlignment="1">
      <alignment horizontal="left"/>
    </xf>
    <xf numFmtId="0" fontId="7" fillId="4" borderId="4" xfId="5" applyFont="1" applyFill="1" applyBorder="1"/>
    <xf numFmtId="173" fontId="19" fillId="4" borderId="0" xfId="5" applyNumberFormat="1" applyFont="1" applyFill="1"/>
    <xf numFmtId="0" fontId="2" fillId="4" borderId="0" xfId="8" applyFont="1" applyFill="1" applyAlignment="1">
      <alignment horizontal="centerContinuous"/>
    </xf>
    <xf numFmtId="0" fontId="0" fillId="4" borderId="0" xfId="8" applyFont="1" applyFill="1" applyAlignment="1">
      <alignment horizontal="centerContinuous"/>
    </xf>
    <xf numFmtId="0" fontId="0" fillId="0" borderId="7" xfId="8" applyFont="1" applyBorder="1" applyAlignment="1">
      <alignment vertical="center"/>
    </xf>
    <xf numFmtId="0" fontId="0" fillId="0" borderId="8" xfId="8" applyFont="1" applyBorder="1" applyAlignment="1">
      <alignment vertical="center"/>
    </xf>
    <xf numFmtId="0" fontId="0" fillId="0" borderId="6" xfId="8" applyFont="1" applyBorder="1" applyAlignment="1">
      <alignment vertical="center"/>
    </xf>
    <xf numFmtId="187" fontId="24" fillId="0" borderId="0" xfId="0" applyNumberFormat="1" applyFont="1"/>
    <xf numFmtId="0" fontId="7" fillId="3" borderId="0" xfId="5" applyFont="1" applyFill="1"/>
    <xf numFmtId="188" fontId="19" fillId="3" borderId="0" xfId="5" applyNumberFormat="1" applyFont="1" applyFill="1"/>
    <xf numFmtId="0" fontId="0" fillId="0" borderId="9" xfId="8" applyFont="1" applyBorder="1" applyAlignment="1">
      <alignment vertical="center"/>
    </xf>
    <xf numFmtId="1" fontId="0" fillId="0" borderId="0" xfId="0" applyNumberFormat="1"/>
    <xf numFmtId="189" fontId="25" fillId="0" borderId="0" xfId="0" applyNumberFormat="1" applyFont="1"/>
    <xf numFmtId="0" fontId="7" fillId="0" borderId="2" xfId="0" applyFont="1" applyBorder="1"/>
    <xf numFmtId="180" fontId="23" fillId="0" borderId="2" xfId="7" applyNumberFormat="1" applyFont="1" applyBorder="1" applyAlignment="1">
      <alignment horizontal="center" vertical="top"/>
    </xf>
    <xf numFmtId="184" fontId="14" fillId="0" borderId="2" xfId="0" applyNumberFormat="1" applyFont="1" applyBorder="1"/>
    <xf numFmtId="181" fontId="2" fillId="3" borderId="0" xfId="5" applyNumberFormat="1" applyFont="1" applyFill="1"/>
    <xf numFmtId="0" fontId="0" fillId="0" borderId="0" xfId="0" applyAlignment="1">
      <alignment horizontal="left" indent="1"/>
    </xf>
    <xf numFmtId="186" fontId="0" fillId="0" borderId="0" xfId="0" applyNumberFormat="1"/>
    <xf numFmtId="44" fontId="0" fillId="0" borderId="0" xfId="0" applyNumberFormat="1"/>
    <xf numFmtId="0" fontId="0" fillId="4" borderId="2" xfId="0" applyFill="1" applyBorder="1"/>
    <xf numFmtId="185" fontId="0" fillId="0" borderId="7" xfId="0" applyNumberFormat="1" applyBorder="1"/>
    <xf numFmtId="185" fontId="0" fillId="0" borderId="8" xfId="0" applyNumberFormat="1" applyBorder="1"/>
    <xf numFmtId="185" fontId="0" fillId="0" borderId="9" xfId="0" applyNumberFormat="1" applyBorder="1"/>
    <xf numFmtId="185" fontId="0" fillId="0" borderId="0" xfId="0" applyNumberFormat="1"/>
    <xf numFmtId="185" fontId="0" fillId="0" borderId="5" xfId="0" applyNumberFormat="1" applyBorder="1"/>
    <xf numFmtId="185" fontId="0" fillId="0" borderId="6" xfId="0" applyNumberFormat="1" applyBorder="1"/>
    <xf numFmtId="0" fontId="2" fillId="0" borderId="0" xfId="0" applyFont="1" applyAlignment="1">
      <alignment horizontal="distributed" vertical="center"/>
    </xf>
  </cellXfs>
  <cellStyles count="10">
    <cellStyle name="_x000a_386grabber=M" xfId="4" xr:uid="{8023798A-4538-4534-932C-12D115CC270C}"/>
    <cellStyle name="Normal" xfId="0" builtinId="0"/>
    <cellStyle name="Normal 2" xfId="5" xr:uid="{3BB53745-C4D7-404F-8F73-6FDA319AC6BB}"/>
    <cellStyle name="Normal 3 2" xfId="6" xr:uid="{D809B25F-CE98-4F6E-A4A6-14F849E052C2}"/>
    <cellStyle name="Normal 3 4" xfId="9" xr:uid="{C6660CE1-1830-4DDA-90A1-C2A889DF4E43}"/>
    <cellStyle name="Normal 5 2" xfId="8" xr:uid="{DC44FD07-7202-4160-A95C-99D5C2455A07}"/>
    <cellStyle name="Normal_Ch01 Pics v2.2" xfId="3" xr:uid="{D89B2373-8353-4E52-8B14-771E3BC149E8}"/>
    <cellStyle name="Note" xfId="2" builtinId="10"/>
    <cellStyle name="Percent" xfId="1" builtinId="5"/>
    <cellStyle name="TextNormal" xfId="7" xr:uid="{0ACF927B-2FBA-4BEF-A449-8309FD135685}"/>
  </cellStyles>
  <dxfs count="0"/>
  <tableStyles count="0" defaultTableStyle="TableStyleMedium2" defaultPivotStyle="PivotStyleLight16"/>
  <colors>
    <mruColors>
      <color rgb="FFD1FFFF"/>
      <color rgb="FF009E9A"/>
      <color rgb="FF006666"/>
      <color rgb="FF0000FF"/>
      <color rgb="FF004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- </a:t>
            </a:r>
            <a:r>
              <a:rPr lang="en-US"/>
              <a:t>Net Revenue</a:t>
            </a:r>
            <a:r>
              <a:rPr lang="en-US" baseline="0"/>
              <a:t>, EBITDA and UFCF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XYZ_DCF!$B$19</c:f>
              <c:strCache>
                <c:ptCount val="1"/>
                <c:pt idx="0">
                  <c:v>Net Revenue</c:v>
                </c:pt>
              </c:strCache>
            </c:strRef>
          </c:tx>
          <c:spPr>
            <a:solidFill>
              <a:srgbClr val="0066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XYZ_DCF!$F$18:$P$18</c:f>
              <c:numCache>
                <c:formatCode>"Year"\ 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XYZ_DCF!$F$19:$P$19</c:f>
              <c:numCache>
                <c:formatCode>#,##0.0_);\(#,##0.0\)</c:formatCode>
                <c:ptCount val="11"/>
                <c:pt idx="0">
                  <c:v>500</c:v>
                </c:pt>
                <c:pt idx="1">
                  <c:v>550</c:v>
                </c:pt>
                <c:pt idx="2">
                  <c:v>605</c:v>
                </c:pt>
                <c:pt idx="3">
                  <c:v>665.5</c:v>
                </c:pt>
                <c:pt idx="4">
                  <c:v>732.05000000000007</c:v>
                </c:pt>
                <c:pt idx="5">
                  <c:v>805.25500000000011</c:v>
                </c:pt>
                <c:pt idx="6">
                  <c:v>845.51775000000021</c:v>
                </c:pt>
                <c:pt idx="7">
                  <c:v>887.79363750000027</c:v>
                </c:pt>
                <c:pt idx="8">
                  <c:v>932.18331937500034</c:v>
                </c:pt>
                <c:pt idx="9">
                  <c:v>978.7924853437504</c:v>
                </c:pt>
                <c:pt idx="10">
                  <c:v>1027.7321096109379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0-445C-B0D8-EDD27823475A}"/>
            </c:ext>
          </c:extLst>
        </c:ser>
        <c:ser>
          <c:idx val="1"/>
          <c:order val="1"/>
          <c:tx>
            <c:strRef>
              <c:f>XYZ_DCF!$B$28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XYZ_DCF!$F$28:$P$28</c:f>
              <c:numCache>
                <c:formatCode>#,##0.0_);\(#,##0.0\)</c:formatCode>
                <c:ptCount val="11"/>
                <c:pt idx="0">
                  <c:v>125</c:v>
                </c:pt>
                <c:pt idx="1">
                  <c:v>140</c:v>
                </c:pt>
                <c:pt idx="2">
                  <c:v>156.625</c:v>
                </c:pt>
                <c:pt idx="3">
                  <c:v>175.04375000000002</c:v>
                </c:pt>
                <c:pt idx="4">
                  <c:v>195.44218749999996</c:v>
                </c:pt>
                <c:pt idx="5">
                  <c:v>218.02517187499998</c:v>
                </c:pt>
                <c:pt idx="6">
                  <c:v>230.20271203125006</c:v>
                </c:pt>
                <c:pt idx="7">
                  <c:v>243.02741764218749</c:v>
                </c:pt>
                <c:pt idx="8">
                  <c:v>256.53279563395319</c:v>
                </c:pt>
                <c:pt idx="9">
                  <c:v>270.75406273859682</c:v>
                </c:pt>
                <c:pt idx="10">
                  <c:v>285.7282320181609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0-445C-B0D8-EDD27823475A}"/>
            </c:ext>
          </c:extLst>
        </c:ser>
        <c:ser>
          <c:idx val="2"/>
          <c:order val="2"/>
          <c:tx>
            <c:strRef>
              <c:f>XYZ_DCF!$B$40</c:f>
              <c:strCache>
                <c:ptCount val="1"/>
                <c:pt idx="0">
                  <c:v>Unlevered Free Cash Flow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XYZ_DCF!$F$40:$P$40</c:f>
              <c:numCache>
                <c:formatCode>#,##0.0_);\(#,##0.0\)</c:formatCode>
                <c:ptCount val="11"/>
                <c:pt idx="0">
                  <c:v>54.3</c:v>
                </c:pt>
                <c:pt idx="1">
                  <c:v>61.379999999999995</c:v>
                </c:pt>
                <c:pt idx="2">
                  <c:v>69.250500000000002</c:v>
                </c:pt>
                <c:pt idx="3">
                  <c:v>77.994675000000001</c:v>
                </c:pt>
                <c:pt idx="4">
                  <c:v>87.704223749999954</c:v>
                </c:pt>
                <c:pt idx="5">
                  <c:v>98.480231437499967</c:v>
                </c:pt>
                <c:pt idx="6">
                  <c:v>104.24658884062504</c:v>
                </c:pt>
                <c:pt idx="7">
                  <c:v>110.32653448884372</c:v>
                </c:pt>
                <c:pt idx="8">
                  <c:v>116.73650590565909</c:v>
                </c:pt>
                <c:pt idx="9">
                  <c:v>123.49378523408635</c:v>
                </c:pt>
                <c:pt idx="10">
                  <c:v>130.61654214992927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0-445C-B0D8-EDD27823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2549664"/>
        <c:axId val="502546784"/>
      </c:barChart>
      <c:catAx>
        <c:axId val="502549664"/>
        <c:scaling>
          <c:orientation val="minMax"/>
        </c:scaling>
        <c:delete val="0"/>
        <c:axPos val="b"/>
        <c:numFmt formatCode="&quot;Year&quot;\ 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46784"/>
        <c:crosses val="autoZero"/>
        <c:auto val="1"/>
        <c:lblAlgn val="ctr"/>
        <c:lblOffset val="100"/>
        <c:noMultiLvlLbl val="0"/>
      </c:catAx>
      <c:valAx>
        <c:axId val="502546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4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cap="all" baseline="0"/>
              <a:t>Financial Performance Breakdown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XYZ_DCF!$B$22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>
                <a:shade val="58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XYZ_DCF!$F$18:$P$18</c:f>
              <c:numCache>
                <c:formatCode>"Year"\ 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XYZ_DCF!$F$22:$P$22</c:f>
              <c:numCache>
                <c:formatCode>#,##0.0_);\(#,##0.0\)</c:formatCode>
                <c:ptCount val="11"/>
                <c:pt idx="0">
                  <c:v>300</c:v>
                </c:pt>
                <c:pt idx="1">
                  <c:v>330</c:v>
                </c:pt>
                <c:pt idx="2">
                  <c:v>363</c:v>
                </c:pt>
                <c:pt idx="3">
                  <c:v>399.3</c:v>
                </c:pt>
                <c:pt idx="4">
                  <c:v>439.23</c:v>
                </c:pt>
                <c:pt idx="5">
                  <c:v>483.15300000000002</c:v>
                </c:pt>
                <c:pt idx="6">
                  <c:v>507.31065000000012</c:v>
                </c:pt>
                <c:pt idx="7">
                  <c:v>532.6761825000001</c:v>
                </c:pt>
                <c:pt idx="8">
                  <c:v>559.30999162500018</c:v>
                </c:pt>
                <c:pt idx="9">
                  <c:v>587.27549120625019</c:v>
                </c:pt>
                <c:pt idx="10">
                  <c:v>616.63926576656263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E-4E61-8332-2017FC93E022}"/>
            </c:ext>
          </c:extLst>
        </c:ser>
        <c:ser>
          <c:idx val="1"/>
          <c:order val="1"/>
          <c:tx>
            <c:strRef>
              <c:f>XYZ_DCF!$B$28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>
                <a:shade val="86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XYZ_DCF!$F$28:$P$28</c:f>
              <c:numCache>
                <c:formatCode>#,##0.0_);\(#,##0.0\)</c:formatCode>
                <c:ptCount val="11"/>
                <c:pt idx="0">
                  <c:v>125</c:v>
                </c:pt>
                <c:pt idx="1">
                  <c:v>140</c:v>
                </c:pt>
                <c:pt idx="2">
                  <c:v>156.625</c:v>
                </c:pt>
                <c:pt idx="3">
                  <c:v>175.04375000000002</c:v>
                </c:pt>
                <c:pt idx="4">
                  <c:v>195.44218749999996</c:v>
                </c:pt>
                <c:pt idx="5">
                  <c:v>218.02517187499998</c:v>
                </c:pt>
                <c:pt idx="6">
                  <c:v>230.20271203125006</c:v>
                </c:pt>
                <c:pt idx="7">
                  <c:v>243.02741764218749</c:v>
                </c:pt>
                <c:pt idx="8">
                  <c:v>256.53279563395319</c:v>
                </c:pt>
                <c:pt idx="9">
                  <c:v>270.75406273859682</c:v>
                </c:pt>
                <c:pt idx="10">
                  <c:v>285.7282320181609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BE-4E61-8332-2017FC93E022}"/>
            </c:ext>
          </c:extLst>
        </c:ser>
        <c:ser>
          <c:idx val="2"/>
          <c:order val="2"/>
          <c:tx>
            <c:strRef>
              <c:f>XYZ_DCF!$B$32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1">
                <a:tint val="86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XYZ_DCF!$F$32:$P$32</c:f>
              <c:numCache>
                <c:formatCode>#,##0.0_);\(#,##0.0\)</c:formatCode>
                <c:ptCount val="11"/>
                <c:pt idx="0">
                  <c:v>105</c:v>
                </c:pt>
                <c:pt idx="1">
                  <c:v>118</c:v>
                </c:pt>
                <c:pt idx="2">
                  <c:v>132.42500000000001</c:v>
                </c:pt>
                <c:pt idx="3">
                  <c:v>148.42375000000001</c:v>
                </c:pt>
                <c:pt idx="4">
                  <c:v>166.16018749999995</c:v>
                </c:pt>
                <c:pt idx="5">
                  <c:v>185.81497187499997</c:v>
                </c:pt>
                <c:pt idx="6">
                  <c:v>196.38200203125007</c:v>
                </c:pt>
                <c:pt idx="7">
                  <c:v>207.51567214218747</c:v>
                </c:pt>
                <c:pt idx="8">
                  <c:v>219.24546285895318</c:v>
                </c:pt>
                <c:pt idx="9">
                  <c:v>231.60236332484681</c:v>
                </c:pt>
                <c:pt idx="10">
                  <c:v>244.61894763372339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BE-4E61-8332-2017FC93E022}"/>
            </c:ext>
          </c:extLst>
        </c:ser>
        <c:ser>
          <c:idx val="3"/>
          <c:order val="3"/>
          <c:tx>
            <c:strRef>
              <c:f>XYZ_DCF!$B$35</c:f>
              <c:strCache>
                <c:ptCount val="1"/>
                <c:pt idx="0">
                  <c:v>NOPAT</c:v>
                </c:pt>
              </c:strCache>
            </c:strRef>
          </c:tx>
          <c:spPr>
            <a:solidFill>
              <a:schemeClr val="accent1">
                <a:tint val="58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XYZ_DCF!$F$35:$P$35</c:f>
              <c:numCache>
                <c:formatCode>#,##0.0_);\(#,##0.0\)</c:formatCode>
                <c:ptCount val="11"/>
                <c:pt idx="0">
                  <c:v>69.3</c:v>
                </c:pt>
                <c:pt idx="1">
                  <c:v>77.88</c:v>
                </c:pt>
                <c:pt idx="2">
                  <c:v>87.400499999999994</c:v>
                </c:pt>
                <c:pt idx="3">
                  <c:v>97.959675000000004</c:v>
                </c:pt>
                <c:pt idx="4">
                  <c:v>109.66572374999996</c:v>
                </c:pt>
                <c:pt idx="5">
                  <c:v>122.63788143749997</c:v>
                </c:pt>
                <c:pt idx="6">
                  <c:v>129.61212134062504</c:v>
                </c:pt>
                <c:pt idx="7">
                  <c:v>136.96034361384372</c:v>
                </c:pt>
                <c:pt idx="8">
                  <c:v>144.70200548690909</c:v>
                </c:pt>
                <c:pt idx="9">
                  <c:v>152.85755979439887</c:v>
                </c:pt>
                <c:pt idx="10">
                  <c:v>161.44850543825743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BE-4E61-8332-2017FC93E02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502549664"/>
        <c:axId val="502546784"/>
      </c:barChart>
      <c:catAx>
        <c:axId val="502549664"/>
        <c:scaling>
          <c:orientation val="minMax"/>
        </c:scaling>
        <c:delete val="0"/>
        <c:axPos val="b"/>
        <c:numFmt formatCode="&quot;Year&quot;\ 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46784"/>
        <c:crosses val="autoZero"/>
        <c:auto val="1"/>
        <c:lblAlgn val="ctr"/>
        <c:lblOffset val="100"/>
        <c:noMultiLvlLbl val="0"/>
      </c:catAx>
      <c:valAx>
        <c:axId val="5025467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4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XYZ- Range of Enterprise</a:t>
            </a:r>
            <a:r>
              <a:rPr lang="en-US" baseline="0"/>
              <a:t> Value and Equity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'FF Chart'!$N$34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'FF Chart'!$B$33:$B$47</c:f>
              <c:strCache>
                <c:ptCount val="15"/>
                <c:pt idx="0">
                  <c:v>20% - 30% WACC / 5% - 6% FCF GR</c:v>
                </c:pt>
                <c:pt idx="3">
                  <c:v>LTM EV/Revenue</c:v>
                </c:pt>
                <c:pt idx="4">
                  <c:v>LTM EV/EBITDA</c:v>
                </c:pt>
                <c:pt idx="6">
                  <c:v>LTM EV/Revenue</c:v>
                </c:pt>
                <c:pt idx="7">
                  <c:v>FY22 EV/Revenue</c:v>
                </c:pt>
                <c:pt idx="8">
                  <c:v>FY23 EV/Revenue</c:v>
                </c:pt>
                <c:pt idx="9">
                  <c:v>LTM EV/EBITDA</c:v>
                </c:pt>
                <c:pt idx="10">
                  <c:v>FY22 EV/EBITDA</c:v>
                </c:pt>
                <c:pt idx="11">
                  <c:v>FY23 EV/EBITDA</c:v>
                </c:pt>
                <c:pt idx="12">
                  <c:v>LTM P/E</c:v>
                </c:pt>
                <c:pt idx="13">
                  <c:v>FY22 P/E</c:v>
                </c:pt>
                <c:pt idx="14">
                  <c:v>FY23 P/E</c:v>
                </c:pt>
              </c:strCache>
            </c:strRef>
          </c:cat>
          <c:val>
            <c:numRef>
              <c:f>'FF Chart'!$N$33:$N$47</c:f>
              <c:numCache>
                <c:formatCode>0</c:formatCode>
                <c:ptCount val="15"/>
                <c:pt idx="0" formatCode="#,###_);\(#,###\);&quot;-&quot;">
                  <c:v>295.32799864116834</c:v>
                </c:pt>
                <c:pt idx="3">
                  <c:v>566.66666666666663</c:v>
                </c:pt>
                <c:pt idx="4">
                  <c:v>875</c:v>
                </c:pt>
                <c:pt idx="6">
                  <c:v>1142.301858926782</c:v>
                </c:pt>
                <c:pt idx="7">
                  <c:v>1001.0462075168743</c:v>
                </c:pt>
                <c:pt idx="8">
                  <c:v>1127.8783661799346</c:v>
                </c:pt>
                <c:pt idx="9">
                  <c:v>1572.4631843848479</c:v>
                </c:pt>
                <c:pt idx="10">
                  <c:v>1405.9689269252542</c:v>
                </c:pt>
                <c:pt idx="11">
                  <c:v>1628.1325593716429</c:v>
                </c:pt>
                <c:pt idx="12">
                  <c:v>1016.3817440594057</c:v>
                </c:pt>
                <c:pt idx="13">
                  <c:v>1177.1088860845775</c:v>
                </c:pt>
                <c:pt idx="14">
                  <c:v>623.82180180180171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87-4F6D-9625-134D704CDD65}"/>
            </c:ext>
          </c:extLst>
        </c:ser>
        <c:ser>
          <c:idx val="1"/>
          <c:order val="1"/>
          <c:tx>
            <c:strRef>
              <c:f>'FF Chart'!$O$34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'FF Chart'!$B$33:$B$47</c:f>
              <c:strCache>
                <c:ptCount val="15"/>
                <c:pt idx="0">
                  <c:v>20% - 30% WACC / 5% - 6% FCF GR</c:v>
                </c:pt>
                <c:pt idx="3">
                  <c:v>LTM EV/Revenue</c:v>
                </c:pt>
                <c:pt idx="4">
                  <c:v>LTM EV/EBITDA</c:v>
                </c:pt>
                <c:pt idx="6">
                  <c:v>LTM EV/Revenue</c:v>
                </c:pt>
                <c:pt idx="7">
                  <c:v>FY22 EV/Revenue</c:v>
                </c:pt>
                <c:pt idx="8">
                  <c:v>FY23 EV/Revenue</c:v>
                </c:pt>
                <c:pt idx="9">
                  <c:v>LTM EV/EBITDA</c:v>
                </c:pt>
                <c:pt idx="10">
                  <c:v>FY22 EV/EBITDA</c:v>
                </c:pt>
                <c:pt idx="11">
                  <c:v>FY23 EV/EBITDA</c:v>
                </c:pt>
                <c:pt idx="12">
                  <c:v>LTM P/E</c:v>
                </c:pt>
                <c:pt idx="13">
                  <c:v>FY22 P/E</c:v>
                </c:pt>
                <c:pt idx="14">
                  <c:v>FY23 P/E</c:v>
                </c:pt>
              </c:strCache>
            </c:strRef>
          </c:cat>
          <c:val>
            <c:numRef>
              <c:f>'FF Chart'!$O$33:$O$47</c:f>
              <c:numCache>
                <c:formatCode>0</c:formatCode>
                <c:ptCount val="15"/>
                <c:pt idx="0" formatCode="#,###_);\(#,###\);&quot;-&quot;">
                  <c:v>340.3884209934389</c:v>
                </c:pt>
                <c:pt idx="3">
                  <c:v>32.395833333333258</c:v>
                </c:pt>
                <c:pt idx="4">
                  <c:v>1004.6875</c:v>
                </c:pt>
                <c:pt idx="6">
                  <c:v>834.26849270420144</c:v>
                </c:pt>
                <c:pt idx="7">
                  <c:v>869.4305587094259</c:v>
                </c:pt>
                <c:pt idx="8">
                  <c:v>776.3327195781078</c:v>
                </c:pt>
                <c:pt idx="9">
                  <c:v>255.97155501033285</c:v>
                </c:pt>
                <c:pt idx="10">
                  <c:v>71.845495817295159</c:v>
                </c:pt>
                <c:pt idx="11">
                  <c:v>134.64167678274293</c:v>
                </c:pt>
                <c:pt idx="12">
                  <c:v>161.56102761604075</c:v>
                </c:pt>
                <c:pt idx="13">
                  <c:v>1177.1088860845775</c:v>
                </c:pt>
                <c:pt idx="14">
                  <c:v>280.96712877861489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87-4F6D-9625-134D704CDD65}"/>
            </c:ext>
          </c:extLst>
        </c:ser>
        <c:ser>
          <c:idx val="2"/>
          <c:order val="2"/>
          <c:tx>
            <c:v>25th do Median</c:v>
          </c:tx>
          <c:spPr>
            <a:solidFill>
              <a:schemeClr val="accent1">
                <a:tint val="86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'FF Chart'!$B$33:$B$47</c:f>
              <c:strCache>
                <c:ptCount val="15"/>
                <c:pt idx="0">
                  <c:v>20% - 30% WACC / 5% - 6% FCF GR</c:v>
                </c:pt>
                <c:pt idx="3">
                  <c:v>LTM EV/Revenue</c:v>
                </c:pt>
                <c:pt idx="4">
                  <c:v>LTM EV/EBITDA</c:v>
                </c:pt>
                <c:pt idx="6">
                  <c:v>LTM EV/Revenue</c:v>
                </c:pt>
                <c:pt idx="7">
                  <c:v>FY22 EV/Revenue</c:v>
                </c:pt>
                <c:pt idx="8">
                  <c:v>FY23 EV/Revenue</c:v>
                </c:pt>
                <c:pt idx="9">
                  <c:v>LTM EV/EBITDA</c:v>
                </c:pt>
                <c:pt idx="10">
                  <c:v>FY22 EV/EBITDA</c:v>
                </c:pt>
                <c:pt idx="11">
                  <c:v>FY23 EV/EBITDA</c:v>
                </c:pt>
                <c:pt idx="12">
                  <c:v>LTM P/E</c:v>
                </c:pt>
                <c:pt idx="13">
                  <c:v>FY22 P/E</c:v>
                </c:pt>
                <c:pt idx="14">
                  <c:v>FY23 P/E</c:v>
                </c:pt>
              </c:strCache>
            </c:strRef>
          </c:cat>
          <c:val>
            <c:numRef>
              <c:f>'FF Chart'!$O$33:$O$47</c:f>
              <c:numCache>
                <c:formatCode>0</c:formatCode>
                <c:ptCount val="15"/>
                <c:pt idx="0" formatCode="#,###_);\(#,###\);&quot;-&quot;">
                  <c:v>340.3884209934389</c:v>
                </c:pt>
                <c:pt idx="3">
                  <c:v>32.395833333333258</c:v>
                </c:pt>
                <c:pt idx="4">
                  <c:v>1004.6875</c:v>
                </c:pt>
                <c:pt idx="6">
                  <c:v>834.26849270420144</c:v>
                </c:pt>
                <c:pt idx="7">
                  <c:v>869.4305587094259</c:v>
                </c:pt>
                <c:pt idx="8">
                  <c:v>776.3327195781078</c:v>
                </c:pt>
                <c:pt idx="9">
                  <c:v>255.97155501033285</c:v>
                </c:pt>
                <c:pt idx="10">
                  <c:v>71.845495817295159</c:v>
                </c:pt>
                <c:pt idx="11">
                  <c:v>134.64167678274293</c:v>
                </c:pt>
                <c:pt idx="12">
                  <c:v>161.56102761604075</c:v>
                </c:pt>
                <c:pt idx="13">
                  <c:v>1177.1088860845775</c:v>
                </c:pt>
                <c:pt idx="14">
                  <c:v>280.96712877861489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87-4F6D-9625-134D704CDD65}"/>
            </c:ext>
          </c:extLst>
        </c:ser>
        <c:ser>
          <c:idx val="3"/>
          <c:order val="3"/>
          <c:tx>
            <c:v>Median to 75th</c:v>
          </c:tx>
          <c:spPr>
            <a:solidFill>
              <a:schemeClr val="accent1">
                <a:tint val="58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'FF Chart'!$B$33:$B$47</c:f>
              <c:strCache>
                <c:ptCount val="15"/>
                <c:pt idx="0">
                  <c:v>20% - 30% WACC / 5% - 6% FCF GR</c:v>
                </c:pt>
                <c:pt idx="3">
                  <c:v>LTM EV/Revenue</c:v>
                </c:pt>
                <c:pt idx="4">
                  <c:v>LTM EV/EBITDA</c:v>
                </c:pt>
                <c:pt idx="6">
                  <c:v>LTM EV/Revenue</c:v>
                </c:pt>
                <c:pt idx="7">
                  <c:v>FY22 EV/Revenue</c:v>
                </c:pt>
                <c:pt idx="8">
                  <c:v>FY23 EV/Revenue</c:v>
                </c:pt>
                <c:pt idx="9">
                  <c:v>LTM EV/EBITDA</c:v>
                </c:pt>
                <c:pt idx="10">
                  <c:v>FY22 EV/EBITDA</c:v>
                </c:pt>
                <c:pt idx="11">
                  <c:v>FY23 EV/EBITDA</c:v>
                </c:pt>
                <c:pt idx="12">
                  <c:v>LTM P/E</c:v>
                </c:pt>
                <c:pt idx="13">
                  <c:v>FY22 P/E</c:v>
                </c:pt>
                <c:pt idx="14">
                  <c:v>FY23 P/E</c:v>
                </c:pt>
              </c:strCache>
            </c:strRef>
          </c:cat>
          <c:val>
            <c:numRef>
              <c:f>'FF Chart'!$Q$33:$Q$47</c:f>
              <c:numCache>
                <c:formatCode>0</c:formatCode>
                <c:ptCount val="15"/>
                <c:pt idx="0" formatCode="#,###_);\(#,###\);&quot;-&quot;">
                  <c:v>452.29096061494567</c:v>
                </c:pt>
                <c:pt idx="3">
                  <c:v>572.64957264957263</c:v>
                </c:pt>
                <c:pt idx="4">
                  <c:v>1093.75</c:v>
                </c:pt>
                <c:pt idx="6">
                  <c:v>578.34396355332547</c:v>
                </c:pt>
                <c:pt idx="7">
                  <c:v>1652.3595554383915</c:v>
                </c:pt>
                <c:pt idx="8">
                  <c:v>935.42668439504314</c:v>
                </c:pt>
                <c:pt idx="9">
                  <c:v>1047.0262058633521</c:v>
                </c:pt>
                <c:pt idx="10">
                  <c:v>2451.3747357874186</c:v>
                </c:pt>
                <c:pt idx="11">
                  <c:v>1291.3891705685819</c:v>
                </c:pt>
                <c:pt idx="12">
                  <c:v>1168.1455593468586</c:v>
                </c:pt>
                <c:pt idx="13">
                  <c:v>1177.1088860845775</c:v>
                </c:pt>
                <c:pt idx="14">
                  <c:v>1417.880854461815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87-4F6D-9625-134D704CD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117512"/>
        <c:axId val="127117120"/>
      </c:barChart>
      <c:catAx>
        <c:axId val="127117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7120"/>
        <c:crosses val="autoZero"/>
        <c:auto val="1"/>
        <c:lblAlgn val="ctr"/>
        <c:lblOffset val="100"/>
        <c:noMultiLvlLbl val="0"/>
      </c:catAx>
      <c:valAx>
        <c:axId val="127117120"/>
        <c:scaling>
          <c:orientation val="minMax"/>
          <c:max val="5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_);\(#,###\);&quot;-&quot;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7512"/>
        <c:crosses val="autoZero"/>
        <c:crossBetween val="between"/>
        <c:majorUnit val="500"/>
        <c:minorUnit val="100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200024</xdr:colOff>
      <xdr:row>6</xdr:row>
      <xdr:rowOff>42861</xdr:rowOff>
    </xdr:from>
    <xdr:to>
      <xdr:col>29</xdr:col>
      <xdr:colOff>333375</xdr:colOff>
      <xdr:row>25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BCF9E8-63DB-D050-4FA0-80C8415FC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200025</xdr:colOff>
      <xdr:row>25</xdr:row>
      <xdr:rowOff>180975</xdr:rowOff>
    </xdr:from>
    <xdr:to>
      <xdr:col>29</xdr:col>
      <xdr:colOff>333376</xdr:colOff>
      <xdr:row>45</xdr:row>
      <xdr:rowOff>90488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7FBBC6-B8BB-4E7F-B864-9A152667B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314324</xdr:colOff>
      <xdr:row>2</xdr:row>
      <xdr:rowOff>47625</xdr:rowOff>
    </xdr:from>
    <xdr:to>
      <xdr:col>22</xdr:col>
      <xdr:colOff>247650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243C2B-30EF-48AF-BEFB-937845A7A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0.03318</cdr:y>
    </cdr:from>
    <cdr:to>
      <cdr:x>0.20256</cdr:x>
      <cdr:y>0.09533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62783"/>
          <a:ext cx="2257425" cy="304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 b="1">
              <a:solidFill>
                <a:schemeClr val="tx2"/>
              </a:solidFill>
            </a:rPr>
            <a:t>Public Company Comparables:</a:t>
          </a:r>
        </a:p>
      </cdr:txBody>
    </cdr:sp>
  </cdr:relSizeAnchor>
  <cdr:relSizeAnchor xmlns:cdr="http://schemas.openxmlformats.org/drawingml/2006/chartDrawing">
    <cdr:from>
      <cdr:x>0.32848</cdr:x>
      <cdr:y>0.07738</cdr:y>
    </cdr:from>
    <cdr:to>
      <cdr:x>0.32943</cdr:x>
      <cdr:y>0.95818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FA4ED30B-F282-4346-8840-4582582FCFA1}"/>
            </a:ext>
          </a:extLst>
        </cdr:cNvPr>
        <cdr:cNvCxnSpPr/>
      </cdr:nvCxnSpPr>
      <cdr:spPr>
        <a:xfrm xmlns:a="http://schemas.openxmlformats.org/drawingml/2006/main" flipH="1">
          <a:off x="4295739" y="405394"/>
          <a:ext cx="12554" cy="4614291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accent2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0.19933</cdr:x>
      <cdr:y>0.04112</cdr:y>
    </cdr:from>
    <cdr:to>
      <cdr:x>0.39665</cdr:x>
      <cdr:y>0.08828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3BCAD6BA-FBD7-42B3-9ACE-C0CFD1ACE945}"/>
            </a:ext>
          </a:extLst>
        </cdr:cNvPr>
        <cdr:cNvSpPr txBox="1"/>
      </cdr:nvSpPr>
      <cdr:spPr>
        <a:xfrm xmlns:a="http://schemas.openxmlformats.org/drawingml/2006/main">
          <a:off x="2606748" y="215392"/>
          <a:ext cx="2580589" cy="2470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rgbClr val="7030A0"/>
              </a:solidFill>
            </a:rPr>
            <a:t>Current Equity Value - </a:t>
          </a:r>
          <a:r>
            <a:rPr lang="en-US" sz="1100" b="1">
              <a:solidFill>
                <a:schemeClr val="accent2">
                  <a:lumMod val="75000"/>
                </a:schemeClr>
              </a:solidFill>
            </a:rPr>
            <a:t>Enterprise</a:t>
          </a:r>
          <a:r>
            <a:rPr lang="en-US" sz="1100" b="1" baseline="0">
              <a:solidFill>
                <a:schemeClr val="accent2">
                  <a:lumMod val="75000"/>
                </a:schemeClr>
              </a:solidFill>
            </a:rPr>
            <a:t> Value</a:t>
          </a:r>
          <a:r>
            <a:rPr lang="en-US" sz="1100" b="1">
              <a:solidFill>
                <a:schemeClr val="accent2">
                  <a:lumMod val="75000"/>
                </a:schemeClr>
              </a:solidFill>
            </a:rPr>
            <a:t> </a:t>
          </a:r>
        </a:p>
      </cdr:txBody>
    </cdr:sp>
  </cdr:relSizeAnchor>
  <cdr:relSizeAnchor xmlns:cdr="http://schemas.openxmlformats.org/drawingml/2006/chartDrawing">
    <cdr:from>
      <cdr:x>0.00376</cdr:x>
      <cdr:y>0.56811</cdr:y>
    </cdr:from>
    <cdr:to>
      <cdr:x>0.19182</cdr:x>
      <cdr:y>0.65905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00000000-0008-0000-0500-000003000000}"/>
            </a:ext>
          </a:extLst>
        </cdr:cNvPr>
        <cdr:cNvSpPr txBox="1"/>
      </cdr:nvSpPr>
      <cdr:spPr>
        <a:xfrm xmlns:a="http://schemas.openxmlformats.org/drawingml/2006/main">
          <a:off x="47625" y="2976204"/>
          <a:ext cx="2380534" cy="476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tx2"/>
              </a:solidFill>
            </a:rPr>
            <a:t>Precedent </a:t>
          </a:r>
          <a:r>
            <a:rPr lang="en-US" sz="1050" b="1">
              <a:solidFill>
                <a:schemeClr val="tx2"/>
              </a:solidFill>
            </a:rPr>
            <a:t>Transactions</a:t>
          </a:r>
          <a:r>
            <a:rPr lang="en-US" sz="1100" b="1">
              <a:solidFill>
                <a:schemeClr val="tx2"/>
              </a:solidFill>
            </a:rPr>
            <a:t>:</a:t>
          </a:r>
        </a:p>
      </cdr:txBody>
    </cdr:sp>
  </cdr:relSizeAnchor>
  <cdr:relSizeAnchor xmlns:cdr="http://schemas.openxmlformats.org/drawingml/2006/chartDrawing">
    <cdr:from>
      <cdr:x>0</cdr:x>
      <cdr:y>0.75152</cdr:y>
    </cdr:from>
    <cdr:to>
      <cdr:x>0.18805</cdr:x>
      <cdr:y>0.84245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408B46E-965E-487E-458A-E35947612871}"/>
            </a:ext>
          </a:extLst>
        </cdr:cNvPr>
        <cdr:cNvSpPr txBox="1"/>
      </cdr:nvSpPr>
      <cdr:spPr>
        <a:xfrm xmlns:a="http://schemas.openxmlformats.org/drawingml/2006/main">
          <a:off x="0" y="3937000"/>
          <a:ext cx="2380534" cy="476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tx2"/>
              </a:solidFill>
            </a:rPr>
            <a:t>Discounted Cash Flow:</a:t>
          </a:r>
        </a:p>
      </cdr:txBody>
    </cdr:sp>
  </cdr:relSizeAnchor>
  <cdr:relSizeAnchor xmlns:cdr="http://schemas.openxmlformats.org/drawingml/2006/chartDrawing">
    <cdr:from>
      <cdr:x>0.28988</cdr:x>
      <cdr:y>0.0798</cdr:y>
    </cdr:from>
    <cdr:to>
      <cdr:x>0.29035</cdr:x>
      <cdr:y>0.95818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74030A41-22BE-8AB5-8612-D6EAD251B044}"/>
            </a:ext>
          </a:extLst>
        </cdr:cNvPr>
        <cdr:cNvCxnSpPr/>
      </cdr:nvCxnSpPr>
      <cdr:spPr>
        <a:xfrm xmlns:a="http://schemas.openxmlformats.org/drawingml/2006/main" flipH="1">
          <a:off x="3790979" y="418062"/>
          <a:ext cx="6146" cy="460161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ugusto\Documents\Breaking%20Into%20IB\M2\7%20-%20Valuation%20and%20DCF%20Cases\07-Valuation-DCF-Analysis-Files\07-STLD-Valuation-DCF-Complete%20@InsightSquad%20Telegram.xlsx" TargetMode="External"/><Relationship Id="rId1" Type="http://schemas.openxmlformats.org/officeDocument/2006/relationships/externalLinkPath" Target="/Users/Augusto/Documents/Breaking%20Into%20IB/M2/7%20-%20Valuation%20and%20DCF%20Cases/07-Valuation-DCF-Analysis-Files/07-STLD-Valuation-DCF-Complete%20@InsightSquad%20Telegr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LD-DCF"/>
      <sheetName val="WACC"/>
      <sheetName val="Public-Comps"/>
      <sheetName val="M&amp;A-Comps"/>
      <sheetName val="ValSum"/>
      <sheetName val="ValGraph"/>
    </sheetNames>
    <sheetDataSet>
      <sheetData sheetId="0">
        <row r="8">
          <cell r="F8" t="str">
            <v>Steel Dynamics Inc.</v>
          </cell>
        </row>
        <row r="9">
          <cell r="F9" t="str">
            <v>STLD</v>
          </cell>
        </row>
        <row r="10">
          <cell r="F10">
            <v>24.97</v>
          </cell>
        </row>
        <row r="11">
          <cell r="F11">
            <v>242.017</v>
          </cell>
        </row>
        <row r="12">
          <cell r="L12">
            <v>6</v>
          </cell>
          <cell r="Q12">
            <v>2.5000000000000001E-2</v>
          </cell>
        </row>
        <row r="13">
          <cell r="F13">
            <v>0.4</v>
          </cell>
        </row>
        <row r="14">
          <cell r="F14">
            <v>9.8770131869049524E-2</v>
          </cell>
        </row>
        <row r="16">
          <cell r="F16">
            <v>1000</v>
          </cell>
        </row>
        <row r="17">
          <cell r="F17">
            <v>42369</v>
          </cell>
        </row>
        <row r="21">
          <cell r="F21">
            <v>6043.1644899999992</v>
          </cell>
        </row>
        <row r="23">
          <cell r="I23" t="str">
            <v>(+) Equity Investments:</v>
          </cell>
        </row>
        <row r="24">
          <cell r="I24" t="str">
            <v>(+) Other Non-Core Assets, Net:</v>
          </cell>
        </row>
        <row r="25">
          <cell r="I25" t="str">
            <v>(+) Net Operating Losses:</v>
          </cell>
        </row>
        <row r="26">
          <cell r="I26" t="str">
            <v>(-) Total Debt:</v>
          </cell>
        </row>
        <row r="27">
          <cell r="I27" t="str">
            <v>(-) Preferred Stock:</v>
          </cell>
        </row>
        <row r="28">
          <cell r="I28" t="str">
            <v>(-) Noncontrolling Interests:</v>
          </cell>
        </row>
        <row r="32">
          <cell r="F32">
            <v>7598.5644899999998</v>
          </cell>
        </row>
      </sheetData>
      <sheetData sheetId="1">
        <row r="6">
          <cell r="F6">
            <v>1.55E-2</v>
          </cell>
        </row>
        <row r="7">
          <cell r="F7">
            <v>7.0000000000000007E-2</v>
          </cell>
        </row>
        <row r="8">
          <cell r="F8">
            <v>5.11E-2</v>
          </cell>
        </row>
        <row r="9">
          <cell r="F9">
            <v>0</v>
          </cell>
        </row>
      </sheetData>
      <sheetData sheetId="2">
        <row r="8">
          <cell r="C8" t="str">
            <v>X</v>
          </cell>
          <cell r="D8">
            <v>18.899999999999999</v>
          </cell>
          <cell r="E8">
            <v>165.61422300000001</v>
          </cell>
          <cell r="F8">
            <v>3130.1088147</v>
          </cell>
          <cell r="G8">
            <v>-820</v>
          </cell>
          <cell r="H8">
            <v>3140</v>
          </cell>
          <cell r="I8">
            <v>0</v>
          </cell>
          <cell r="J8">
            <v>1</v>
          </cell>
          <cell r="K8">
            <v>5451.1088147</v>
          </cell>
          <cell r="L8">
            <v>10327</v>
          </cell>
          <cell r="M8">
            <v>10545.15</v>
          </cell>
          <cell r="N8">
            <v>11231.27</v>
          </cell>
          <cell r="O8">
            <v>-128</v>
          </cell>
          <cell r="P8">
            <v>675</v>
          </cell>
          <cell r="Q8">
            <v>921.38</v>
          </cell>
          <cell r="R8">
            <v>-1692</v>
          </cell>
          <cell r="S8">
            <v>-74.89</v>
          </cell>
          <cell r="T8">
            <v>333.75</v>
          </cell>
          <cell r="U8">
            <v>6.5064982480097511E-2</v>
          </cell>
          <cell r="V8">
            <v>0.36500740740740745</v>
          </cell>
          <cell r="W8">
            <v>-1.2394693521835963E-2</v>
          </cell>
          <cell r="X8">
            <v>6.4010469267862483E-2</v>
          </cell>
          <cell r="Y8">
            <v>8.2037026979139491E-2</v>
          </cell>
        </row>
        <row r="9">
          <cell r="C9" t="str">
            <v>NUE</v>
          </cell>
          <cell r="D9">
            <v>49.03</v>
          </cell>
          <cell r="E9">
            <v>318.35566499999999</v>
          </cell>
          <cell r="F9">
            <v>15608.97825495</v>
          </cell>
          <cell r="G9">
            <v>-2331.15</v>
          </cell>
          <cell r="H9">
            <v>4357.5119999999997</v>
          </cell>
          <cell r="I9">
            <v>0</v>
          </cell>
          <cell r="J9">
            <v>346.94600000000003</v>
          </cell>
          <cell r="K9">
            <v>17982.286254949999</v>
          </cell>
          <cell r="L9">
            <v>15643.6</v>
          </cell>
          <cell r="M9">
            <v>16684.82</v>
          </cell>
          <cell r="N9">
            <v>16937.09</v>
          </cell>
          <cell r="O9">
            <v>1972.9</v>
          </cell>
          <cell r="P9">
            <v>2291.4</v>
          </cell>
          <cell r="Q9">
            <v>2539.62</v>
          </cell>
          <cell r="R9">
            <v>469.6</v>
          </cell>
          <cell r="S9">
            <v>818.31</v>
          </cell>
          <cell r="T9">
            <v>1000.96</v>
          </cell>
          <cell r="U9">
            <v>1.5119731588354002E-2</v>
          </cell>
          <cell r="V9">
            <v>0.10832678711704635</v>
          </cell>
          <cell r="W9">
            <v>0.1261154721419622</v>
          </cell>
          <cell r="X9">
            <v>0.13733441535479557</v>
          </cell>
          <cell r="Y9">
            <v>0.14994429385449329</v>
          </cell>
        </row>
        <row r="10">
          <cell r="C10" t="str">
            <v>CMC</v>
          </cell>
          <cell r="D10">
            <v>15.5</v>
          </cell>
          <cell r="E10">
            <v>114.62858799999999</v>
          </cell>
          <cell r="F10">
            <v>1776.7431139999999</v>
          </cell>
          <cell r="G10">
            <v>-483.85500000000002</v>
          </cell>
          <cell r="H10">
            <v>1079.95</v>
          </cell>
          <cell r="I10">
            <v>0</v>
          </cell>
          <cell r="J10">
            <v>0.16</v>
          </cell>
          <cell r="K10">
            <v>2372.998114</v>
          </cell>
          <cell r="L10">
            <v>4813.3999999999996</v>
          </cell>
          <cell r="M10">
            <v>4683.9466666666667</v>
          </cell>
          <cell r="N10">
            <v>4780.1033333333326</v>
          </cell>
          <cell r="O10">
            <v>431.9</v>
          </cell>
          <cell r="P10">
            <v>367.42999999999995</v>
          </cell>
          <cell r="Q10">
            <v>423.11333333333334</v>
          </cell>
          <cell r="R10">
            <v>129.4</v>
          </cell>
          <cell r="S10">
            <v>127.40666666666665</v>
          </cell>
          <cell r="T10">
            <v>171.48666666666665</v>
          </cell>
          <cell r="U10">
            <v>2.0528984104572601E-2</v>
          </cell>
          <cell r="V10">
            <v>0.15154814068892963</v>
          </cell>
          <cell r="W10">
            <v>8.9728674118087007E-2</v>
          </cell>
          <cell r="X10">
            <v>7.8444531107669871E-2</v>
          </cell>
          <cell r="Y10">
            <v>8.85155202363129E-2</v>
          </cell>
        </row>
        <row r="11">
          <cell r="C11" t="str">
            <v>AKS</v>
          </cell>
          <cell r="D11">
            <v>4.3499999999999996</v>
          </cell>
          <cell r="E11">
            <v>238.196189</v>
          </cell>
          <cell r="F11">
            <v>1036.1534221499999</v>
          </cell>
          <cell r="G11">
            <v>-56.2</v>
          </cell>
          <cell r="H11">
            <v>2078.1</v>
          </cell>
          <cell r="I11">
            <v>0</v>
          </cell>
          <cell r="J11">
            <v>379.6</v>
          </cell>
          <cell r="K11">
            <v>3437.6534221499996</v>
          </cell>
          <cell r="L11">
            <v>6263.6</v>
          </cell>
          <cell r="M11">
            <v>5991.83</v>
          </cell>
          <cell r="N11">
            <v>6108.22</v>
          </cell>
          <cell r="O11">
            <v>547.20000000000005</v>
          </cell>
          <cell r="P11">
            <v>469.23</v>
          </cell>
          <cell r="Q11">
            <v>580.9</v>
          </cell>
          <cell r="R11">
            <v>-135</v>
          </cell>
          <cell r="S11">
            <v>57.29</v>
          </cell>
          <cell r="T11">
            <v>128.85</v>
          </cell>
          <cell r="U11">
            <v>1.9424783413414692E-2</v>
          </cell>
          <cell r="V11">
            <v>0.23798563604202627</v>
          </cell>
          <cell r="W11">
            <v>8.736190050450221E-2</v>
          </cell>
          <cell r="X11">
            <v>7.8311634342095829E-2</v>
          </cell>
          <cell r="Y11">
            <v>9.5101355222961842E-2</v>
          </cell>
        </row>
        <row r="12">
          <cell r="C12" t="str">
            <v>WOR</v>
          </cell>
          <cell r="D12">
            <v>43.29</v>
          </cell>
          <cell r="E12">
            <v>63.115254</v>
          </cell>
          <cell r="F12">
            <v>2732.2593456599998</v>
          </cell>
          <cell r="G12">
            <v>-84.188000000000002</v>
          </cell>
          <cell r="H12">
            <v>583.96</v>
          </cell>
          <cell r="I12">
            <v>0</v>
          </cell>
          <cell r="J12">
            <v>126.48</v>
          </cell>
          <cell r="K12">
            <v>3358.5113456599997</v>
          </cell>
          <cell r="L12">
            <v>2819.7</v>
          </cell>
          <cell r="M12">
            <v>2891.3158333333331</v>
          </cell>
          <cell r="N12">
            <v>2971.38</v>
          </cell>
          <cell r="O12">
            <v>239.9</v>
          </cell>
          <cell r="P12">
            <v>281.52666666666664</v>
          </cell>
          <cell r="Q12">
            <v>324.07000000000005</v>
          </cell>
          <cell r="R12">
            <v>143.69999999999999</v>
          </cell>
          <cell r="S12">
            <v>177.35250000000002</v>
          </cell>
          <cell r="T12">
            <v>220.33083333333335</v>
          </cell>
          <cell r="U12">
            <v>2.7691255913181445E-2</v>
          </cell>
          <cell r="V12">
            <v>0.15111653129366109</v>
          </cell>
          <cell r="W12">
            <v>8.5079973046778029E-2</v>
          </cell>
          <cell r="X12">
            <v>9.7369738518707893E-2</v>
          </cell>
          <cell r="Y12">
            <v>0.10906380200445585</v>
          </cell>
        </row>
        <row r="13">
          <cell r="C13" t="str">
            <v>RS</v>
          </cell>
          <cell r="D13">
            <v>72.510000000000005</v>
          </cell>
          <cell r="E13">
            <v>72.529836000000003</v>
          </cell>
          <cell r="F13">
            <v>5259.1384083600005</v>
          </cell>
          <cell r="G13">
            <v>-116.5</v>
          </cell>
          <cell r="H13">
            <v>2169.4</v>
          </cell>
          <cell r="I13">
            <v>0</v>
          </cell>
          <cell r="J13">
            <v>28.6</v>
          </cell>
          <cell r="K13">
            <v>7340.6384083600005</v>
          </cell>
          <cell r="L13">
            <v>8679</v>
          </cell>
          <cell r="M13">
            <v>8890.36</v>
          </cell>
          <cell r="N13">
            <v>9303.56</v>
          </cell>
          <cell r="O13">
            <v>784.6</v>
          </cell>
          <cell r="P13">
            <v>850.74</v>
          </cell>
          <cell r="Q13">
            <v>928.7</v>
          </cell>
          <cell r="R13">
            <v>313.10000000000002</v>
          </cell>
          <cell r="S13">
            <v>390.23</v>
          </cell>
          <cell r="T13">
            <v>441.55</v>
          </cell>
          <cell r="U13">
            <v>4.6477308005524964E-2</v>
          </cell>
          <cell r="V13">
            <v>9.1637868208853446E-2</v>
          </cell>
          <cell r="W13">
            <v>9.0402120059914742E-2</v>
          </cell>
          <cell r="X13">
            <v>9.5692412905664104E-2</v>
          </cell>
          <cell r="Y13">
            <v>9.9822003620119615E-2</v>
          </cell>
        </row>
        <row r="14">
          <cell r="C14"/>
          <cell r="D14"/>
          <cell r="E14"/>
          <cell r="F14"/>
          <cell r="G14"/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  <cell r="S14"/>
          <cell r="T14"/>
          <cell r="U14"/>
          <cell r="V14"/>
          <cell r="W14"/>
          <cell r="X14"/>
          <cell r="Y14"/>
        </row>
        <row r="15">
          <cell r="C15"/>
          <cell r="D15">
            <v>72.510000000000005</v>
          </cell>
          <cell r="E15"/>
          <cell r="F15">
            <v>15608.97825495</v>
          </cell>
          <cell r="G15"/>
          <cell r="H15"/>
          <cell r="I15"/>
          <cell r="J15"/>
          <cell r="K15">
            <v>17982.286254949999</v>
          </cell>
          <cell r="L15">
            <v>15643.6</v>
          </cell>
          <cell r="M15">
            <v>16684.82</v>
          </cell>
          <cell r="N15">
            <v>16937.09</v>
          </cell>
          <cell r="O15">
            <v>1972.9</v>
          </cell>
          <cell r="P15">
            <v>2291.4</v>
          </cell>
          <cell r="Q15">
            <v>2539.62</v>
          </cell>
          <cell r="R15">
            <v>469.6</v>
          </cell>
          <cell r="S15">
            <v>818.31</v>
          </cell>
          <cell r="T15">
            <v>1000.96</v>
          </cell>
          <cell r="U15">
            <v>6.5064982480097511E-2</v>
          </cell>
          <cell r="V15">
            <v>0.36500740740740745</v>
          </cell>
          <cell r="W15">
            <v>0.1261154721419622</v>
          </cell>
          <cell r="X15">
            <v>0.13733441535479557</v>
          </cell>
          <cell r="Y15">
            <v>0.14994429385449329</v>
          </cell>
        </row>
        <row r="16">
          <cell r="C16"/>
          <cell r="D16">
            <v>47.594999999999999</v>
          </cell>
          <cell r="E16"/>
          <cell r="F16">
            <v>4726.8810099450002</v>
          </cell>
          <cell r="G16"/>
          <cell r="H16"/>
          <cell r="I16"/>
          <cell r="J16"/>
          <cell r="K16">
            <v>6868.2560099450002</v>
          </cell>
          <cell r="L16">
            <v>9915</v>
          </cell>
          <cell r="M16">
            <v>10131.452499999999</v>
          </cell>
          <cell r="N16">
            <v>10749.342500000001</v>
          </cell>
          <cell r="O16">
            <v>725.25</v>
          </cell>
          <cell r="P16">
            <v>806.80500000000006</v>
          </cell>
          <cell r="Q16">
            <v>926.87</v>
          </cell>
          <cell r="R16">
            <v>270.75</v>
          </cell>
          <cell r="S16">
            <v>337.010625</v>
          </cell>
          <cell r="T16">
            <v>414.6</v>
          </cell>
          <cell r="U16">
            <v>4.1780794982439085E-2</v>
          </cell>
          <cell r="V16">
            <v>0.21637626220375211</v>
          </cell>
          <cell r="W16">
            <v>9.0233758574457812E-2</v>
          </cell>
          <cell r="X16">
            <v>9.6950407115446946E-2</v>
          </cell>
          <cell r="Y16">
            <v>0.10675335240837179</v>
          </cell>
        </row>
        <row r="17">
          <cell r="C17"/>
          <cell r="D17">
            <v>31.094999999999999</v>
          </cell>
          <cell r="E17"/>
          <cell r="F17">
            <v>2931.1840801799999</v>
          </cell>
          <cell r="G17"/>
          <cell r="H17"/>
          <cell r="I17"/>
          <cell r="J17"/>
          <cell r="K17">
            <v>4444.3811184249998</v>
          </cell>
          <cell r="L17">
            <v>7471.3</v>
          </cell>
          <cell r="M17">
            <v>7441.0950000000003</v>
          </cell>
          <cell r="N17">
            <v>7705.8899999999994</v>
          </cell>
          <cell r="O17">
            <v>489.55</v>
          </cell>
          <cell r="P17">
            <v>572.11500000000001</v>
          </cell>
          <cell r="Q17">
            <v>751.14</v>
          </cell>
          <cell r="R17">
            <v>136.55000000000001</v>
          </cell>
          <cell r="S17">
            <v>152.37958333333333</v>
          </cell>
          <cell r="T17">
            <v>277.04041666666666</v>
          </cell>
          <cell r="U17">
            <v>2.4110120008877023E-2</v>
          </cell>
          <cell r="V17">
            <v>0.15133233599129536</v>
          </cell>
          <cell r="W17">
            <v>8.8545287311294602E-2</v>
          </cell>
          <cell r="X17">
            <v>8.706847200666698E-2</v>
          </cell>
          <cell r="Y17">
            <v>9.7461679421540728E-2</v>
          </cell>
        </row>
        <row r="18">
          <cell r="C18"/>
          <cell r="D18">
            <v>16.350000000000001</v>
          </cell>
          <cell r="E18"/>
          <cell r="F18">
            <v>2015.6221719149999</v>
          </cell>
          <cell r="G18"/>
          <cell r="H18"/>
          <cell r="I18"/>
          <cell r="J18"/>
          <cell r="K18">
            <v>3378.2968647824996</v>
          </cell>
          <cell r="L18">
            <v>5175.95</v>
          </cell>
          <cell r="M18">
            <v>5010.9174999999996</v>
          </cell>
          <cell r="N18">
            <v>5112.1324999999997</v>
          </cell>
          <cell r="O18">
            <v>287.89999999999998</v>
          </cell>
          <cell r="P18">
            <v>392.88</v>
          </cell>
          <cell r="Q18">
            <v>462.56</v>
          </cell>
          <cell r="R18">
            <v>-68.900000000000006</v>
          </cell>
          <cell r="S18">
            <v>74.819166666666661</v>
          </cell>
          <cell r="T18">
            <v>183.69770833333331</v>
          </cell>
          <cell r="U18">
            <v>1.9700833586204169E-2</v>
          </cell>
          <cell r="V18">
            <v>0.11902422316120004</v>
          </cell>
          <cell r="W18">
            <v>8.5650454911209067E-2</v>
          </cell>
          <cell r="X18">
            <v>7.8344858533489339E-2</v>
          </cell>
          <cell r="Y18">
            <v>9.0161978982975136E-2</v>
          </cell>
        </row>
        <row r="19">
          <cell r="C19"/>
          <cell r="D19">
            <v>4.3499999999999996</v>
          </cell>
          <cell r="E19"/>
          <cell r="F19">
            <v>1036.1534221499999</v>
          </cell>
          <cell r="G19"/>
          <cell r="H19"/>
          <cell r="I19"/>
          <cell r="J19"/>
          <cell r="K19">
            <v>2372.998114</v>
          </cell>
          <cell r="L19">
            <v>2819.7</v>
          </cell>
          <cell r="M19">
            <v>2891.3158333333331</v>
          </cell>
          <cell r="N19">
            <v>2971.38</v>
          </cell>
          <cell r="O19">
            <v>-128</v>
          </cell>
          <cell r="P19">
            <v>281.52666666666664</v>
          </cell>
          <cell r="Q19">
            <v>324.07000000000005</v>
          </cell>
          <cell r="R19">
            <v>-1692</v>
          </cell>
          <cell r="S19">
            <v>-74.89</v>
          </cell>
          <cell r="T19">
            <v>128.85</v>
          </cell>
          <cell r="U19">
            <v>1.5119731588354002E-2</v>
          </cell>
          <cell r="V19">
            <v>9.1637868208853446E-2</v>
          </cell>
          <cell r="W19">
            <v>-1.2394693521835963E-2</v>
          </cell>
          <cell r="X19">
            <v>6.4010469267862483E-2</v>
          </cell>
          <cell r="Y19">
            <v>8.2037026979139491E-2</v>
          </cell>
        </row>
        <row r="20"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C21" t="str">
            <v>STLD</v>
          </cell>
          <cell r="D21">
            <v>24.97</v>
          </cell>
          <cell r="E21">
            <v>242.017</v>
          </cell>
          <cell r="F21">
            <v>6043.1644899999992</v>
          </cell>
          <cell r="G21">
            <v>-1133.3689999999999</v>
          </cell>
          <cell r="H21">
            <v>2700</v>
          </cell>
          <cell r="I21">
            <v>0</v>
          </cell>
          <cell r="J21">
            <v>-11.230999999999995</v>
          </cell>
          <cell r="K21">
            <v>7598.5644899999998</v>
          </cell>
          <cell r="L21">
            <v>7307.2</v>
          </cell>
          <cell r="M21">
            <v>7716.0163775469155</v>
          </cell>
          <cell r="N21">
            <v>8406.1512406317233</v>
          </cell>
          <cell r="O21">
            <v>862.8</v>
          </cell>
          <cell r="P21">
            <v>626.35222174379942</v>
          </cell>
          <cell r="Q21">
            <v>730.23721367378289</v>
          </cell>
          <cell r="R21">
            <v>12.1</v>
          </cell>
          <cell r="S21">
            <v>170.74786394803417</v>
          </cell>
          <cell r="T21">
            <v>205.77268399210544</v>
          </cell>
          <cell r="U21">
            <v>8.9441860840660414E-2</v>
          </cell>
          <cell r="V21">
            <v>0.16585714606513546</v>
          </cell>
          <cell r="W21">
            <v>0.11807532296912633</v>
          </cell>
          <cell r="X21">
            <v>8.1175595164162936E-2</v>
          </cell>
          <cell r="Y21">
            <v>8.6869387995796452E-2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9DA1-E789-493F-A0C3-8291B5C4ACFC}">
  <dimension ref="B1:Q64"/>
  <sheetViews>
    <sheetView showGridLines="0" tabSelected="1" workbookViewId="0">
      <selection activeCell="H20" sqref="H20"/>
    </sheetView>
  </sheetViews>
  <sheetFormatPr defaultRowHeight="15" x14ac:dyDescent="0.25"/>
  <cols>
    <col min="1" max="1" width="2.7109375" customWidth="1"/>
  </cols>
  <sheetData>
    <row r="1" spans="2:17" ht="18.75" x14ac:dyDescent="0.3">
      <c r="B1" s="1" t="s">
        <v>11</v>
      </c>
    </row>
    <row r="2" spans="2:17" x14ac:dyDescent="0.25">
      <c r="B2" s="2" t="s">
        <v>0</v>
      </c>
    </row>
    <row r="3" spans="2:17" x14ac:dyDescent="0.25">
      <c r="B3" s="3" t="s">
        <v>97</v>
      </c>
    </row>
    <row r="4" spans="2:17" x14ac:dyDescent="0.25">
      <c r="B4" s="10" t="s">
        <v>13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6" spans="2:17" x14ac:dyDescent="0.25">
      <c r="B6" t="s">
        <v>14</v>
      </c>
      <c r="E6" s="40">
        <v>500</v>
      </c>
      <c r="G6" s="20" t="s">
        <v>31</v>
      </c>
      <c r="H6" s="21"/>
      <c r="I6" s="21"/>
      <c r="J6" s="21"/>
      <c r="K6" s="21"/>
      <c r="Q6" s="25"/>
    </row>
    <row r="7" spans="2:17" x14ac:dyDescent="0.25">
      <c r="B7" t="s">
        <v>22</v>
      </c>
      <c r="E7" s="41">
        <v>0.4</v>
      </c>
      <c r="G7" t="s">
        <v>32</v>
      </c>
      <c r="K7" s="39">
        <v>5.5E-2</v>
      </c>
      <c r="Q7" s="25"/>
    </row>
    <row r="8" spans="2:17" x14ac:dyDescent="0.25">
      <c r="B8" t="s">
        <v>16</v>
      </c>
      <c r="E8" s="41">
        <v>0.25</v>
      </c>
      <c r="G8" t="s">
        <v>30</v>
      </c>
      <c r="K8" s="24">
        <f>+P40*(1+Terminal_Growth_Rate)/(WACC-Terminal_Growth_Rate)</f>
        <v>706.66898445218135</v>
      </c>
      <c r="Q8" s="24"/>
    </row>
    <row r="9" spans="2:17" x14ac:dyDescent="0.25">
      <c r="B9" t="s">
        <v>15</v>
      </c>
      <c r="E9" s="40">
        <v>50</v>
      </c>
      <c r="G9" t="s">
        <v>33</v>
      </c>
      <c r="K9" s="25">
        <f>K8/P28</f>
        <v>2.4732207225755185</v>
      </c>
    </row>
    <row r="10" spans="2:17" x14ac:dyDescent="0.25">
      <c r="B10" t="s">
        <v>17</v>
      </c>
      <c r="E10" s="41">
        <v>0.04</v>
      </c>
    </row>
    <row r="11" spans="2:17" x14ac:dyDescent="0.25">
      <c r="B11" t="s">
        <v>21</v>
      </c>
      <c r="E11" s="40">
        <v>10</v>
      </c>
      <c r="G11" s="45" t="s">
        <v>43</v>
      </c>
      <c r="K11" s="17">
        <f>+K8*P43</f>
        <v>75.87800443299129</v>
      </c>
    </row>
    <row r="12" spans="2:17" x14ac:dyDescent="0.25">
      <c r="B12" t="s">
        <v>20</v>
      </c>
      <c r="E12" s="41">
        <v>0.34</v>
      </c>
      <c r="G12" s="15" t="s">
        <v>42</v>
      </c>
      <c r="H12" s="15"/>
      <c r="I12" s="15"/>
      <c r="J12" s="15"/>
      <c r="K12" s="19">
        <f>SUM($G$44:$P$44)</f>
        <v>302.20105036025956</v>
      </c>
    </row>
    <row r="13" spans="2:17" x14ac:dyDescent="0.25">
      <c r="B13" t="s">
        <v>18</v>
      </c>
      <c r="E13" s="41">
        <v>0.05</v>
      </c>
      <c r="G13" s="2" t="s">
        <v>34</v>
      </c>
      <c r="H13" s="2"/>
      <c r="I13" s="2"/>
      <c r="J13" s="2"/>
      <c r="K13" s="18">
        <f>SUM(K11:K12)</f>
        <v>378.07905479325086</v>
      </c>
    </row>
    <row r="14" spans="2:17" x14ac:dyDescent="0.25">
      <c r="B14" t="s">
        <v>19</v>
      </c>
      <c r="E14" s="41">
        <v>-0.02</v>
      </c>
    </row>
    <row r="15" spans="2:17" x14ac:dyDescent="0.25">
      <c r="B15" t="s">
        <v>7</v>
      </c>
      <c r="E15" s="41">
        <v>0.25</v>
      </c>
      <c r="G15" t="s">
        <v>35</v>
      </c>
      <c r="K15" s="11">
        <f>+K11/K13</f>
        <v>0.20069348849405186</v>
      </c>
    </row>
    <row r="17" spans="2:16" x14ac:dyDescent="0.25">
      <c r="F17" s="23" t="s">
        <v>41</v>
      </c>
      <c r="G17" s="6" t="s">
        <v>12</v>
      </c>
      <c r="H17" s="6"/>
      <c r="I17" s="6"/>
      <c r="J17" s="6"/>
      <c r="K17" s="6"/>
      <c r="L17" s="7"/>
      <c r="M17" s="7"/>
      <c r="N17" s="7"/>
      <c r="O17" s="7"/>
      <c r="P17" s="7"/>
    </row>
    <row r="18" spans="2:16" x14ac:dyDescent="0.25">
      <c r="F18" s="13">
        <v>0</v>
      </c>
      <c r="G18" s="14">
        <f>+F18+1</f>
        <v>1</v>
      </c>
      <c r="H18" s="14">
        <f t="shared" ref="H18:P18" si="0">+G18+1</f>
        <v>2</v>
      </c>
      <c r="I18" s="14">
        <f t="shared" si="0"/>
        <v>3</v>
      </c>
      <c r="J18" s="14">
        <f t="shared" si="0"/>
        <v>4</v>
      </c>
      <c r="K18" s="14">
        <f t="shared" si="0"/>
        <v>5</v>
      </c>
      <c r="L18" s="14">
        <f t="shared" si="0"/>
        <v>6</v>
      </c>
      <c r="M18" s="14">
        <f t="shared" si="0"/>
        <v>7</v>
      </c>
      <c r="N18" s="14">
        <f t="shared" si="0"/>
        <v>8</v>
      </c>
      <c r="O18" s="14">
        <f t="shared" si="0"/>
        <v>9</v>
      </c>
      <c r="P18" s="14">
        <f t="shared" si="0"/>
        <v>10</v>
      </c>
    </row>
    <row r="19" spans="2:16" x14ac:dyDescent="0.25">
      <c r="B19" t="s">
        <v>14</v>
      </c>
      <c r="F19" s="17">
        <f>+E6</f>
        <v>500</v>
      </c>
      <c r="G19" s="17">
        <f>+F19*(1+G20)</f>
        <v>550</v>
      </c>
      <c r="H19" s="17">
        <f t="shared" ref="H19:P19" si="1">+G19*(1+H20)</f>
        <v>605</v>
      </c>
      <c r="I19" s="17">
        <f t="shared" si="1"/>
        <v>665.5</v>
      </c>
      <c r="J19" s="17">
        <f t="shared" si="1"/>
        <v>732.05000000000007</v>
      </c>
      <c r="K19" s="17">
        <f t="shared" si="1"/>
        <v>805.25500000000011</v>
      </c>
      <c r="L19" s="17">
        <f t="shared" si="1"/>
        <v>845.51775000000021</v>
      </c>
      <c r="M19" s="17">
        <f t="shared" si="1"/>
        <v>887.79363750000027</v>
      </c>
      <c r="N19" s="17">
        <f t="shared" si="1"/>
        <v>932.18331937500034</v>
      </c>
      <c r="O19" s="17">
        <f t="shared" si="1"/>
        <v>978.7924853437504</v>
      </c>
      <c r="P19" s="17">
        <f t="shared" si="1"/>
        <v>1027.7321096109379</v>
      </c>
    </row>
    <row r="20" spans="2:16" x14ac:dyDescent="0.25">
      <c r="B20" s="4" t="s">
        <v>1</v>
      </c>
      <c r="F20" s="42">
        <v>0</v>
      </c>
      <c r="G20" s="42">
        <v>0.1</v>
      </c>
      <c r="H20" s="42">
        <v>0.1</v>
      </c>
      <c r="I20" s="42">
        <v>0.1</v>
      </c>
      <c r="J20" s="42">
        <v>0.1</v>
      </c>
      <c r="K20" s="42">
        <v>0.1</v>
      </c>
      <c r="L20" s="42">
        <v>0.05</v>
      </c>
      <c r="M20" s="42">
        <v>0.05</v>
      </c>
      <c r="N20" s="42">
        <v>0.05</v>
      </c>
      <c r="O20" s="42">
        <v>0.05</v>
      </c>
      <c r="P20" s="42">
        <v>0.05</v>
      </c>
    </row>
    <row r="21" spans="2:16" x14ac:dyDescent="0.25">
      <c r="B21" t="s">
        <v>26</v>
      </c>
      <c r="F21" s="19">
        <f t="shared" ref="F21:P21" si="2">-F19*$E$7</f>
        <v>-200</v>
      </c>
      <c r="G21" s="19">
        <f t="shared" si="2"/>
        <v>-220</v>
      </c>
      <c r="H21" s="19">
        <f t="shared" si="2"/>
        <v>-242</v>
      </c>
      <c r="I21" s="19">
        <f t="shared" si="2"/>
        <v>-266.2</v>
      </c>
      <c r="J21" s="19">
        <f t="shared" si="2"/>
        <v>-292.82000000000005</v>
      </c>
      <c r="K21" s="19">
        <f t="shared" si="2"/>
        <v>-322.10200000000009</v>
      </c>
      <c r="L21" s="19">
        <f t="shared" si="2"/>
        <v>-338.20710000000008</v>
      </c>
      <c r="M21" s="19">
        <f t="shared" si="2"/>
        <v>-355.11745500000012</v>
      </c>
      <c r="N21" s="19">
        <f t="shared" si="2"/>
        <v>-372.87332775000016</v>
      </c>
      <c r="O21" s="19">
        <f t="shared" si="2"/>
        <v>-391.51699413750021</v>
      </c>
      <c r="P21" s="19">
        <f t="shared" si="2"/>
        <v>-411.09284384437518</v>
      </c>
    </row>
    <row r="22" spans="2:16" x14ac:dyDescent="0.25">
      <c r="B22" s="2" t="s">
        <v>2</v>
      </c>
      <c r="F22" s="18">
        <f>+SUM(F19, F21)</f>
        <v>300</v>
      </c>
      <c r="G22" s="18">
        <f t="shared" ref="G22:P22" si="3">+SUM(G19, G21)</f>
        <v>330</v>
      </c>
      <c r="H22" s="18">
        <f t="shared" si="3"/>
        <v>363</v>
      </c>
      <c r="I22" s="18">
        <f t="shared" si="3"/>
        <v>399.3</v>
      </c>
      <c r="J22" s="18">
        <f t="shared" si="3"/>
        <v>439.23</v>
      </c>
      <c r="K22" s="18">
        <f t="shared" si="3"/>
        <v>483.15300000000002</v>
      </c>
      <c r="L22" s="18">
        <f t="shared" si="3"/>
        <v>507.31065000000012</v>
      </c>
      <c r="M22" s="18">
        <f t="shared" si="3"/>
        <v>532.6761825000001</v>
      </c>
      <c r="N22" s="18">
        <f t="shared" si="3"/>
        <v>559.30999162500018</v>
      </c>
      <c r="O22" s="18">
        <f t="shared" si="3"/>
        <v>587.27549120625019</v>
      </c>
      <c r="P22" s="18">
        <f t="shared" si="3"/>
        <v>616.63926576656263</v>
      </c>
    </row>
    <row r="23" spans="2:16" x14ac:dyDescent="0.25">
      <c r="B23" s="4" t="s">
        <v>3</v>
      </c>
      <c r="F23" s="8">
        <f>+F22/F19</f>
        <v>0.6</v>
      </c>
      <c r="G23" s="8">
        <f>+G22/G19</f>
        <v>0.6</v>
      </c>
      <c r="H23" s="8">
        <f>+H22/H19</f>
        <v>0.6</v>
      </c>
      <c r="I23" s="8">
        <f>+I22/I19</f>
        <v>0.6</v>
      </c>
      <c r="J23" s="8">
        <f>+J22/J19</f>
        <v>0.6</v>
      </c>
      <c r="K23" s="8">
        <f t="shared" ref="K23:P23" si="4">+K22/K19</f>
        <v>0.6</v>
      </c>
      <c r="L23" s="8">
        <f t="shared" si="4"/>
        <v>0.6</v>
      </c>
      <c r="M23" s="8">
        <f t="shared" si="4"/>
        <v>0.6</v>
      </c>
      <c r="N23" s="8">
        <f t="shared" si="4"/>
        <v>0.6</v>
      </c>
      <c r="O23" s="8">
        <f t="shared" si="4"/>
        <v>0.6</v>
      </c>
      <c r="P23" s="8">
        <f t="shared" si="4"/>
        <v>0.59999999999999987</v>
      </c>
    </row>
    <row r="24" spans="2:16" x14ac:dyDescent="0.25">
      <c r="B24" t="s">
        <v>25</v>
      </c>
      <c r="F24" s="17">
        <f t="shared" ref="F24:P24" si="5">-F19*$E$8</f>
        <v>-125</v>
      </c>
      <c r="G24" s="17">
        <f t="shared" si="5"/>
        <v>-137.5</v>
      </c>
      <c r="H24" s="17">
        <f t="shared" si="5"/>
        <v>-151.25</v>
      </c>
      <c r="I24" s="17">
        <f t="shared" si="5"/>
        <v>-166.375</v>
      </c>
      <c r="J24" s="17">
        <f t="shared" si="5"/>
        <v>-183.01250000000002</v>
      </c>
      <c r="K24" s="17">
        <f t="shared" si="5"/>
        <v>-201.31375000000003</v>
      </c>
      <c r="L24" s="17">
        <f t="shared" si="5"/>
        <v>-211.37943750000005</v>
      </c>
      <c r="M24" s="17">
        <f t="shared" si="5"/>
        <v>-221.94840937500007</v>
      </c>
      <c r="N24" s="17">
        <f t="shared" si="5"/>
        <v>-233.04582984375008</v>
      </c>
      <c r="O24" s="17">
        <f t="shared" si="5"/>
        <v>-244.6981213359376</v>
      </c>
      <c r="P24" s="17">
        <f t="shared" si="5"/>
        <v>-256.93302740273447</v>
      </c>
    </row>
    <row r="25" spans="2:16" x14ac:dyDescent="0.25">
      <c r="B25" s="4" t="s">
        <v>1</v>
      </c>
      <c r="F25" s="8">
        <f>+IFERROR(F24/E24-1, 0)</f>
        <v>0</v>
      </c>
      <c r="G25" s="8">
        <f>+IFERROR(G24/F24-1, 0)</f>
        <v>0.10000000000000009</v>
      </c>
      <c r="H25" s="8">
        <f t="shared" ref="H25:P25" si="6">+IFERROR(H24/G24-1, 0)</f>
        <v>0.10000000000000009</v>
      </c>
      <c r="I25" s="8">
        <f t="shared" si="6"/>
        <v>0.10000000000000009</v>
      </c>
      <c r="J25" s="8">
        <f t="shared" si="6"/>
        <v>0.10000000000000009</v>
      </c>
      <c r="K25" s="8">
        <f t="shared" si="6"/>
        <v>0.10000000000000009</v>
      </c>
      <c r="L25" s="8">
        <f t="shared" si="6"/>
        <v>5.0000000000000044E-2</v>
      </c>
      <c r="M25" s="8">
        <f t="shared" si="6"/>
        <v>5.0000000000000044E-2</v>
      </c>
      <c r="N25" s="8">
        <f t="shared" si="6"/>
        <v>5.0000000000000044E-2</v>
      </c>
      <c r="O25" s="8">
        <f t="shared" si="6"/>
        <v>5.0000000000000044E-2</v>
      </c>
      <c r="P25" s="8">
        <f t="shared" si="6"/>
        <v>5.0000000000000044E-2</v>
      </c>
    </row>
    <row r="26" spans="2:16" x14ac:dyDescent="0.25">
      <c r="B26" t="s">
        <v>24</v>
      </c>
      <c r="F26" s="17">
        <f>-E9</f>
        <v>-50</v>
      </c>
      <c r="G26" s="17">
        <f t="shared" ref="G26:P26" si="7">+F26*(1+G27)</f>
        <v>-52.5</v>
      </c>
      <c r="H26" s="17">
        <f t="shared" si="7"/>
        <v>-55.125</v>
      </c>
      <c r="I26" s="17">
        <f t="shared" si="7"/>
        <v>-57.881250000000001</v>
      </c>
      <c r="J26" s="17">
        <f t="shared" si="7"/>
        <v>-60.775312500000005</v>
      </c>
      <c r="K26" s="17">
        <f t="shared" si="7"/>
        <v>-63.814078125000009</v>
      </c>
      <c r="L26" s="17">
        <f t="shared" si="7"/>
        <v>-65.728500468750013</v>
      </c>
      <c r="M26" s="17">
        <f t="shared" si="7"/>
        <v>-67.700355482812512</v>
      </c>
      <c r="N26" s="17">
        <f t="shared" si="7"/>
        <v>-69.731366147296896</v>
      </c>
      <c r="O26" s="17">
        <f t="shared" si="7"/>
        <v>-71.823307131715808</v>
      </c>
      <c r="P26" s="17">
        <f t="shared" si="7"/>
        <v>-73.978006345667282</v>
      </c>
    </row>
    <row r="27" spans="2:16" x14ac:dyDescent="0.25">
      <c r="B27" s="4" t="s">
        <v>1</v>
      </c>
      <c r="F27" s="43">
        <v>0</v>
      </c>
      <c r="G27" s="43">
        <v>0.05</v>
      </c>
      <c r="H27" s="43">
        <v>0.05</v>
      </c>
      <c r="I27" s="43">
        <v>0.05</v>
      </c>
      <c r="J27" s="43">
        <v>0.05</v>
      </c>
      <c r="K27" s="43">
        <v>0.05</v>
      </c>
      <c r="L27" s="43">
        <v>0.03</v>
      </c>
      <c r="M27" s="43">
        <v>0.03</v>
      </c>
      <c r="N27" s="43">
        <v>0.03</v>
      </c>
      <c r="O27" s="43">
        <v>0.03</v>
      </c>
      <c r="P27" s="43">
        <v>0.03</v>
      </c>
    </row>
    <row r="28" spans="2:16" x14ac:dyDescent="0.25">
      <c r="B28" s="2" t="s">
        <v>4</v>
      </c>
      <c r="F28" s="18">
        <f t="shared" ref="F28:P28" si="8">+SUM(F22, F24, F26)</f>
        <v>125</v>
      </c>
      <c r="G28" s="18">
        <f t="shared" si="8"/>
        <v>140</v>
      </c>
      <c r="H28" s="18">
        <f t="shared" si="8"/>
        <v>156.625</v>
      </c>
      <c r="I28" s="18">
        <f t="shared" si="8"/>
        <v>175.04375000000002</v>
      </c>
      <c r="J28" s="18">
        <f t="shared" si="8"/>
        <v>195.44218749999996</v>
      </c>
      <c r="K28" s="18">
        <f t="shared" si="8"/>
        <v>218.02517187499998</v>
      </c>
      <c r="L28" s="18">
        <f t="shared" si="8"/>
        <v>230.20271203125006</v>
      </c>
      <c r="M28" s="18">
        <f t="shared" si="8"/>
        <v>243.02741764218749</v>
      </c>
      <c r="N28" s="18">
        <f t="shared" si="8"/>
        <v>256.53279563395319</v>
      </c>
      <c r="O28" s="18">
        <f t="shared" si="8"/>
        <v>270.75406273859682</v>
      </c>
      <c r="P28" s="18">
        <f t="shared" si="8"/>
        <v>285.7282320181609</v>
      </c>
    </row>
    <row r="29" spans="2:16" x14ac:dyDescent="0.25">
      <c r="B29" s="4" t="s">
        <v>3</v>
      </c>
      <c r="F29" s="8">
        <f t="shared" ref="F29:P29" si="9">+F28/F$19</f>
        <v>0.25</v>
      </c>
      <c r="G29" s="8">
        <f t="shared" si="9"/>
        <v>0.25454545454545452</v>
      </c>
      <c r="H29" s="8">
        <f t="shared" si="9"/>
        <v>0.25888429752066117</v>
      </c>
      <c r="I29" s="8">
        <f t="shared" si="9"/>
        <v>0.2630259203606311</v>
      </c>
      <c r="J29" s="8">
        <f t="shared" si="9"/>
        <v>0.26697928761696599</v>
      </c>
      <c r="K29" s="8">
        <f t="shared" si="9"/>
        <v>0.27075295636164937</v>
      </c>
      <c r="L29" s="8">
        <f t="shared" si="9"/>
        <v>0.27226242385952276</v>
      </c>
      <c r="M29" s="8">
        <f t="shared" si="9"/>
        <v>0.27374313959553176</v>
      </c>
      <c r="N29" s="8">
        <f t="shared" si="9"/>
        <v>0.27519565122228357</v>
      </c>
      <c r="O29" s="8">
        <f t="shared" si="9"/>
        <v>0.27662049596090676</v>
      </c>
      <c r="P29" s="8">
        <f t="shared" si="9"/>
        <v>0.2780182007997466</v>
      </c>
    </row>
    <row r="30" spans="2:16" x14ac:dyDescent="0.25">
      <c r="B30" s="4" t="s">
        <v>1</v>
      </c>
      <c r="F30" s="8">
        <f>+IFERROR(F28/E28-1, 0)</f>
        <v>0</v>
      </c>
      <c r="G30" s="8">
        <f t="shared" ref="G30:P30" si="10">+IFERROR(G28/F28-1, 0)</f>
        <v>0.12000000000000011</v>
      </c>
      <c r="H30" s="8">
        <f t="shared" si="10"/>
        <v>0.11874999999999991</v>
      </c>
      <c r="I30" s="8">
        <f t="shared" si="10"/>
        <v>0.1175977653631286</v>
      </c>
      <c r="J30" s="8">
        <f t="shared" si="10"/>
        <v>0.11653336665833502</v>
      </c>
      <c r="K30" s="8">
        <f t="shared" si="10"/>
        <v>0.11554815602440005</v>
      </c>
      <c r="L30" s="8">
        <f t="shared" si="10"/>
        <v>5.5853826654620464E-2</v>
      </c>
      <c r="M30" s="8">
        <f t="shared" si="10"/>
        <v>5.5710488802566571E-2</v>
      </c>
      <c r="N30" s="8">
        <f t="shared" si="10"/>
        <v>5.5571417096855535E-2</v>
      </c>
      <c r="O30" s="8">
        <f t="shared" si="10"/>
        <v>5.5436448464608601E-2</v>
      </c>
      <c r="P30" s="8">
        <f t="shared" si="10"/>
        <v>5.530542784143222E-2</v>
      </c>
    </row>
    <row r="31" spans="2:16" x14ac:dyDescent="0.25">
      <c r="B31" t="s">
        <v>23</v>
      </c>
      <c r="F31" s="19">
        <f t="shared" ref="F31:P31" si="11">-F19*$E$10</f>
        <v>-20</v>
      </c>
      <c r="G31" s="19">
        <f t="shared" si="11"/>
        <v>-22</v>
      </c>
      <c r="H31" s="19">
        <f t="shared" si="11"/>
        <v>-24.2</v>
      </c>
      <c r="I31" s="19">
        <f t="shared" si="11"/>
        <v>-26.62</v>
      </c>
      <c r="J31" s="19">
        <f t="shared" si="11"/>
        <v>-29.282000000000004</v>
      </c>
      <c r="K31" s="19">
        <f t="shared" si="11"/>
        <v>-32.210200000000007</v>
      </c>
      <c r="L31" s="19">
        <f t="shared" si="11"/>
        <v>-33.820710000000005</v>
      </c>
      <c r="M31" s="19">
        <f t="shared" si="11"/>
        <v>-35.511745500000011</v>
      </c>
      <c r="N31" s="19">
        <f t="shared" si="11"/>
        <v>-37.287332775000017</v>
      </c>
      <c r="O31" s="19">
        <f t="shared" si="11"/>
        <v>-39.151699413750016</v>
      </c>
      <c r="P31" s="19">
        <f t="shared" si="11"/>
        <v>-41.109284384437515</v>
      </c>
    </row>
    <row r="32" spans="2:16" x14ac:dyDescent="0.25">
      <c r="B32" s="2" t="s">
        <v>5</v>
      </c>
      <c r="F32" s="18">
        <f>+SUM(F28, F31)</f>
        <v>105</v>
      </c>
      <c r="G32" s="18">
        <f t="shared" ref="G32:P32" si="12">+SUM(G28, G31)</f>
        <v>118</v>
      </c>
      <c r="H32" s="18">
        <f t="shared" si="12"/>
        <v>132.42500000000001</v>
      </c>
      <c r="I32" s="18">
        <f t="shared" si="12"/>
        <v>148.42375000000001</v>
      </c>
      <c r="J32" s="18">
        <f t="shared" si="12"/>
        <v>166.16018749999995</v>
      </c>
      <c r="K32" s="18">
        <f t="shared" si="12"/>
        <v>185.81497187499997</v>
      </c>
      <c r="L32" s="18">
        <f t="shared" si="12"/>
        <v>196.38200203125007</v>
      </c>
      <c r="M32" s="18">
        <f t="shared" si="12"/>
        <v>207.51567214218747</v>
      </c>
      <c r="N32" s="18">
        <f t="shared" si="12"/>
        <v>219.24546285895318</v>
      </c>
      <c r="O32" s="18">
        <f t="shared" si="12"/>
        <v>231.60236332484681</v>
      </c>
      <c r="P32" s="18">
        <f t="shared" si="12"/>
        <v>244.61894763372339</v>
      </c>
    </row>
    <row r="33" spans="2:16" x14ac:dyDescent="0.25">
      <c r="B33" s="4" t="s">
        <v>3</v>
      </c>
      <c r="F33" s="11">
        <f t="shared" ref="F33:P33" si="13">+F32/F$19</f>
        <v>0.21</v>
      </c>
      <c r="G33" s="11">
        <f t="shared" si="13"/>
        <v>0.21454545454545454</v>
      </c>
      <c r="H33" s="11">
        <f t="shared" si="13"/>
        <v>0.21888429752066119</v>
      </c>
      <c r="I33" s="11">
        <f t="shared" si="13"/>
        <v>0.22302592036063112</v>
      </c>
      <c r="J33" s="11">
        <f t="shared" si="13"/>
        <v>0.22697928761696595</v>
      </c>
      <c r="K33" s="11">
        <f t="shared" si="13"/>
        <v>0.23075295636164936</v>
      </c>
      <c r="L33" s="11">
        <f t="shared" si="13"/>
        <v>0.23226242385952278</v>
      </c>
      <c r="M33" s="11">
        <f t="shared" si="13"/>
        <v>0.23374313959553175</v>
      </c>
      <c r="N33" s="11">
        <f t="shared" si="13"/>
        <v>0.23519565122228359</v>
      </c>
      <c r="O33" s="11">
        <f t="shared" si="13"/>
        <v>0.23662049596090678</v>
      </c>
      <c r="P33" s="11">
        <f t="shared" si="13"/>
        <v>0.23801820079974662</v>
      </c>
    </row>
    <row r="34" spans="2:16" x14ac:dyDescent="0.25">
      <c r="B34" t="s">
        <v>28</v>
      </c>
      <c r="F34" s="19">
        <f t="shared" ref="F34:P34" si="14">-F32*$E$12</f>
        <v>-35.700000000000003</v>
      </c>
      <c r="G34" s="19">
        <f t="shared" si="14"/>
        <v>-40.120000000000005</v>
      </c>
      <c r="H34" s="19">
        <f t="shared" si="14"/>
        <v>-45.02450000000001</v>
      </c>
      <c r="I34" s="19">
        <f t="shared" si="14"/>
        <v>-50.464075000000008</v>
      </c>
      <c r="J34" s="19">
        <f t="shared" si="14"/>
        <v>-56.494463749999987</v>
      </c>
      <c r="K34" s="19">
        <f t="shared" si="14"/>
        <v>-63.177090437499992</v>
      </c>
      <c r="L34" s="19">
        <f t="shared" si="14"/>
        <v>-66.76988069062503</v>
      </c>
      <c r="M34" s="19">
        <f t="shared" si="14"/>
        <v>-70.55532852834375</v>
      </c>
      <c r="N34" s="19">
        <f t="shared" si="14"/>
        <v>-74.543457372044088</v>
      </c>
      <c r="O34" s="19">
        <f t="shared" si="14"/>
        <v>-78.744803530447925</v>
      </c>
      <c r="P34" s="19">
        <f t="shared" si="14"/>
        <v>-83.170442195465967</v>
      </c>
    </row>
    <row r="35" spans="2:16" x14ac:dyDescent="0.25">
      <c r="B35" s="2" t="s">
        <v>38</v>
      </c>
      <c r="E35" s="12" t="s">
        <v>27</v>
      </c>
      <c r="F35" s="18">
        <f>+SUM(F32, F34)</f>
        <v>69.3</v>
      </c>
      <c r="G35" s="18">
        <f>+SUM(G32, G34)</f>
        <v>77.88</v>
      </c>
      <c r="H35" s="18">
        <f>+SUM(H32, H34)</f>
        <v>87.400499999999994</v>
      </c>
      <c r="I35" s="18">
        <f>+SUM(I32, I34)</f>
        <v>97.959675000000004</v>
      </c>
      <c r="J35" s="18">
        <f t="shared" ref="J35:P35" si="15">+SUM(J32, J34)</f>
        <v>109.66572374999996</v>
      </c>
      <c r="K35" s="18">
        <f t="shared" si="15"/>
        <v>122.63788143749997</v>
      </c>
      <c r="L35" s="18">
        <f t="shared" si="15"/>
        <v>129.61212134062504</v>
      </c>
      <c r="M35" s="18">
        <f t="shared" si="15"/>
        <v>136.96034361384372</v>
      </c>
      <c r="N35" s="18">
        <f t="shared" si="15"/>
        <v>144.70200548690909</v>
      </c>
      <c r="O35" s="18">
        <f t="shared" si="15"/>
        <v>152.85755979439887</v>
      </c>
      <c r="P35" s="18">
        <f t="shared" si="15"/>
        <v>161.44850543825743</v>
      </c>
    </row>
    <row r="36" spans="2:16" x14ac:dyDescent="0.25">
      <c r="F36" s="8">
        <f t="shared" ref="F36:M36" si="16">+IFERROR(F35/E35-1, 0)</f>
        <v>0</v>
      </c>
      <c r="G36" s="8">
        <f t="shared" si="16"/>
        <v>0.12380952380952381</v>
      </c>
      <c r="H36" s="8">
        <f t="shared" si="16"/>
        <v>0.12224576271186449</v>
      </c>
      <c r="I36" s="8">
        <f t="shared" si="16"/>
        <v>0.12081366811402683</v>
      </c>
      <c r="J36" s="8">
        <f t="shared" si="16"/>
        <v>0.11949864829584156</v>
      </c>
      <c r="K36" s="8">
        <f t="shared" si="16"/>
        <v>0.1182881692102089</v>
      </c>
      <c r="L36" s="8">
        <f t="shared" si="16"/>
        <v>5.6868561502991577E-2</v>
      </c>
      <c r="M36" s="8">
        <f t="shared" si="16"/>
        <v>5.6693943415271342E-2</v>
      </c>
      <c r="N36" s="8">
        <f t="shared" ref="N36" si="17">+IFERROR(N35/M35-1, 0)</f>
        <v>5.6524842657322605E-2</v>
      </c>
      <c r="O36" s="8">
        <f t="shared" ref="O36" si="18">+IFERROR(O35/N35-1, 0)</f>
        <v>5.6361031625284497E-2</v>
      </c>
      <c r="P36" s="8">
        <f t="shared" ref="P36" si="19">+IFERROR(P35/O35-1, 0)</f>
        <v>5.620229483850081E-2</v>
      </c>
    </row>
    <row r="37" spans="2:16" x14ac:dyDescent="0.25">
      <c r="B37" t="s">
        <v>29</v>
      </c>
      <c r="F37" s="17">
        <f>-F31</f>
        <v>20</v>
      </c>
      <c r="G37" s="17">
        <f t="shared" ref="G37:P37" si="20">-G31</f>
        <v>22</v>
      </c>
      <c r="H37" s="17">
        <f t="shared" si="20"/>
        <v>24.2</v>
      </c>
      <c r="I37" s="17">
        <f t="shared" si="20"/>
        <v>26.62</v>
      </c>
      <c r="J37" s="17">
        <f t="shared" si="20"/>
        <v>29.282000000000004</v>
      </c>
      <c r="K37" s="17">
        <f t="shared" si="20"/>
        <v>32.210200000000007</v>
      </c>
      <c r="L37" s="17">
        <f t="shared" si="20"/>
        <v>33.820710000000005</v>
      </c>
      <c r="M37" s="17">
        <f t="shared" si="20"/>
        <v>35.511745500000011</v>
      </c>
      <c r="N37" s="17">
        <f t="shared" si="20"/>
        <v>37.287332775000017</v>
      </c>
      <c r="O37" s="17">
        <f t="shared" si="20"/>
        <v>39.151699413750016</v>
      </c>
      <c r="P37" s="17">
        <f t="shared" si="20"/>
        <v>41.109284384437515</v>
      </c>
    </row>
    <row r="38" spans="2:16" x14ac:dyDescent="0.25">
      <c r="B38" t="s">
        <v>40</v>
      </c>
      <c r="F38" s="17">
        <f t="shared" ref="F38:P38" si="21">-F19*$E$13</f>
        <v>-25</v>
      </c>
      <c r="G38" s="17">
        <f t="shared" si="21"/>
        <v>-27.5</v>
      </c>
      <c r="H38" s="17">
        <f t="shared" si="21"/>
        <v>-30.25</v>
      </c>
      <c r="I38" s="17">
        <f t="shared" si="21"/>
        <v>-33.274999999999999</v>
      </c>
      <c r="J38" s="17">
        <f t="shared" si="21"/>
        <v>-36.602500000000006</v>
      </c>
      <c r="K38" s="17">
        <f t="shared" si="21"/>
        <v>-40.262750000000011</v>
      </c>
      <c r="L38" s="17">
        <f t="shared" si="21"/>
        <v>-42.27588750000001</v>
      </c>
      <c r="M38" s="17">
        <f t="shared" si="21"/>
        <v>-44.389681875000015</v>
      </c>
      <c r="N38" s="17">
        <f t="shared" si="21"/>
        <v>-46.60916596875002</v>
      </c>
      <c r="O38" s="17">
        <f t="shared" si="21"/>
        <v>-48.939624267187526</v>
      </c>
      <c r="P38" s="17">
        <f t="shared" si="21"/>
        <v>-51.386605480546898</v>
      </c>
    </row>
    <row r="39" spans="2:16" x14ac:dyDescent="0.25">
      <c r="B39" s="5" t="s">
        <v>39</v>
      </c>
      <c r="F39" s="19">
        <f t="shared" ref="F39:P39" si="22">+F19*$E$14</f>
        <v>-10</v>
      </c>
      <c r="G39" s="19">
        <f t="shared" si="22"/>
        <v>-11</v>
      </c>
      <c r="H39" s="19">
        <f t="shared" si="22"/>
        <v>-12.1</v>
      </c>
      <c r="I39" s="19">
        <f t="shared" si="22"/>
        <v>-13.31</v>
      </c>
      <c r="J39" s="19">
        <f t="shared" si="22"/>
        <v>-14.641000000000002</v>
      </c>
      <c r="K39" s="19">
        <f t="shared" si="22"/>
        <v>-16.105100000000004</v>
      </c>
      <c r="L39" s="19">
        <f t="shared" si="22"/>
        <v>-16.910355000000003</v>
      </c>
      <c r="M39" s="19">
        <f t="shared" si="22"/>
        <v>-17.755872750000005</v>
      </c>
      <c r="N39" s="19">
        <f t="shared" si="22"/>
        <v>-18.643666387500009</v>
      </c>
      <c r="O39" s="19">
        <f t="shared" si="22"/>
        <v>-19.575849706875008</v>
      </c>
      <c r="P39" s="19">
        <f t="shared" si="22"/>
        <v>-20.554642192218758</v>
      </c>
    </row>
    <row r="40" spans="2:16" x14ac:dyDescent="0.25">
      <c r="B40" s="20" t="s">
        <v>6</v>
      </c>
      <c r="C40" s="21"/>
      <c r="D40" s="21"/>
      <c r="E40" s="21"/>
      <c r="F40" s="22">
        <f>+SUM(F35, F37:F39)</f>
        <v>54.3</v>
      </c>
      <c r="G40" s="22">
        <f t="shared" ref="G40:P40" si="23">+SUM(G35, G37:G39)</f>
        <v>61.379999999999995</v>
      </c>
      <c r="H40" s="22">
        <f t="shared" si="23"/>
        <v>69.250500000000002</v>
      </c>
      <c r="I40" s="22">
        <f t="shared" si="23"/>
        <v>77.994675000000001</v>
      </c>
      <c r="J40" s="22">
        <f t="shared" si="23"/>
        <v>87.704223749999954</v>
      </c>
      <c r="K40" s="22">
        <f t="shared" si="23"/>
        <v>98.480231437499967</v>
      </c>
      <c r="L40" s="22">
        <f t="shared" si="23"/>
        <v>104.24658884062504</v>
      </c>
      <c r="M40" s="22">
        <f t="shared" si="23"/>
        <v>110.32653448884372</v>
      </c>
      <c r="N40" s="22">
        <f t="shared" si="23"/>
        <v>116.73650590565909</v>
      </c>
      <c r="O40" s="22">
        <f t="shared" si="23"/>
        <v>123.49378523408635</v>
      </c>
      <c r="P40" s="22">
        <f t="shared" si="23"/>
        <v>130.61654214992927</v>
      </c>
    </row>
    <row r="42" spans="2:16" x14ac:dyDescent="0.25">
      <c r="B42" t="s">
        <v>8</v>
      </c>
      <c r="G42" s="44">
        <v>1</v>
      </c>
      <c r="H42" s="44">
        <v>2</v>
      </c>
      <c r="I42" s="44">
        <v>3</v>
      </c>
      <c r="J42" s="44">
        <v>4</v>
      </c>
      <c r="K42" s="44">
        <v>5</v>
      </c>
      <c r="L42" s="44">
        <v>6</v>
      </c>
      <c r="M42" s="44">
        <v>7</v>
      </c>
      <c r="N42" s="44">
        <v>8</v>
      </c>
      <c r="O42" s="44">
        <v>9</v>
      </c>
      <c r="P42" s="44">
        <v>10</v>
      </c>
    </row>
    <row r="43" spans="2:16" x14ac:dyDescent="0.25">
      <c r="B43" t="s">
        <v>9</v>
      </c>
      <c r="F43" s="15"/>
      <c r="G43" s="16">
        <f t="shared" ref="G43:P43" si="24">1/((1+WACC)^G42)</f>
        <v>0.8</v>
      </c>
      <c r="H43" s="16">
        <f t="shared" si="24"/>
        <v>0.64</v>
      </c>
      <c r="I43" s="16">
        <f t="shared" si="24"/>
        <v>0.51200000000000001</v>
      </c>
      <c r="J43" s="16">
        <f t="shared" si="24"/>
        <v>0.40960000000000002</v>
      </c>
      <c r="K43" s="16">
        <f t="shared" si="24"/>
        <v>0.32768000000000003</v>
      </c>
      <c r="L43" s="16">
        <f t="shared" si="24"/>
        <v>0.26214399999999999</v>
      </c>
      <c r="M43" s="16">
        <f t="shared" si="24"/>
        <v>0.20971519999999999</v>
      </c>
      <c r="N43" s="16">
        <f t="shared" si="24"/>
        <v>0.16777216</v>
      </c>
      <c r="O43" s="16">
        <f t="shared" si="24"/>
        <v>0.13421772800000001</v>
      </c>
      <c r="P43" s="16">
        <f t="shared" si="24"/>
        <v>0.1073741824</v>
      </c>
    </row>
    <row r="44" spans="2:16" x14ac:dyDescent="0.25">
      <c r="B44" s="20" t="s">
        <v>10</v>
      </c>
      <c r="C44" s="21"/>
      <c r="D44" s="21"/>
      <c r="E44" s="21"/>
      <c r="F44" s="22"/>
      <c r="G44" s="22">
        <f t="shared" ref="G44:P44" si="25">+G40*G43</f>
        <v>49.103999999999999</v>
      </c>
      <c r="H44" s="22">
        <f t="shared" si="25"/>
        <v>44.320320000000002</v>
      </c>
      <c r="I44" s="22">
        <f t="shared" si="25"/>
        <v>39.9332736</v>
      </c>
      <c r="J44" s="22">
        <f t="shared" si="25"/>
        <v>35.923650047999985</v>
      </c>
      <c r="K44" s="22">
        <f t="shared" si="25"/>
        <v>32.270002237439989</v>
      </c>
      <c r="L44" s="22">
        <f t="shared" si="25"/>
        <v>27.327617785036807</v>
      </c>
      <c r="M44" s="22">
        <f t="shared" si="25"/>
        <v>23.137151245634758</v>
      </c>
      <c r="N44" s="22">
        <f t="shared" si="25"/>
        <v>19.585135746645182</v>
      </c>
      <c r="O44" s="22">
        <f t="shared" si="25"/>
        <v>16.57505527623902</v>
      </c>
      <c r="P44" s="22">
        <f t="shared" si="25"/>
        <v>14.024844421263795</v>
      </c>
    </row>
    <row r="46" spans="2:16" x14ac:dyDescent="0.25">
      <c r="C46" s="26"/>
      <c r="D46" s="32" t="s">
        <v>34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2:16" x14ac:dyDescent="0.25">
      <c r="C47" s="26"/>
      <c r="D47" s="27"/>
      <c r="E47" s="33" t="s">
        <v>37</v>
      </c>
      <c r="F47" s="33"/>
      <c r="G47" s="33"/>
      <c r="H47" s="33"/>
      <c r="I47" s="33"/>
      <c r="J47" s="34"/>
      <c r="K47" s="34"/>
      <c r="L47" s="34"/>
      <c r="M47" s="34"/>
      <c r="N47" s="34"/>
      <c r="O47" s="34"/>
    </row>
    <row r="48" spans="2:16" x14ac:dyDescent="0.25">
      <c r="C48" s="26"/>
      <c r="D48" s="37">
        <f>K13</f>
        <v>378.07905479325086</v>
      </c>
      <c r="E48" s="35">
        <v>0.19999999999999996</v>
      </c>
      <c r="F48" s="35">
        <v>0.20999999999999996</v>
      </c>
      <c r="G48" s="35">
        <v>0.21999999999999997</v>
      </c>
      <c r="H48" s="35">
        <v>0.22999999999999998</v>
      </c>
      <c r="I48" s="35">
        <v>0.24</v>
      </c>
      <c r="J48" s="36">
        <v>0.25</v>
      </c>
      <c r="K48" s="36">
        <v>0.26</v>
      </c>
      <c r="L48" s="36">
        <v>0.27</v>
      </c>
      <c r="M48" s="36">
        <v>0.28000000000000003</v>
      </c>
      <c r="N48" s="36">
        <v>0.29000000000000004</v>
      </c>
      <c r="O48" s="36">
        <v>0.30000000000000004</v>
      </c>
    </row>
    <row r="49" spans="2:15" ht="15" customHeight="1" x14ac:dyDescent="0.25">
      <c r="C49" s="146" t="s">
        <v>36</v>
      </c>
      <c r="D49" s="31">
        <v>4.9999999999999996E-2</v>
      </c>
      <c r="E49" s="38">
        <f t="dataTable" ref="E49:O54" dt2D="1" dtr="1" r1="E15" r2="K7"/>
        <v>511.79665326738461</v>
      </c>
      <c r="F49" s="38">
        <v>477.64895757317572</v>
      </c>
      <c r="G49" s="38">
        <v>447.59614881728936</v>
      </c>
      <c r="H49" s="38">
        <v>420.95193121845864</v>
      </c>
      <c r="I49" s="38">
        <v>397.17472783704125</v>
      </c>
      <c r="J49" s="38">
        <v>375.83148357189447</v>
      </c>
      <c r="K49" s="38">
        <v>356.57181161407954</v>
      </c>
      <c r="L49" s="38">
        <v>339.10919212051408</v>
      </c>
      <c r="M49" s="38">
        <v>323.20707666287007</v>
      </c>
      <c r="N49" s="38">
        <v>308.66846750055805</v>
      </c>
      <c r="O49" s="38">
        <v>295.32799864116834</v>
      </c>
    </row>
    <row r="50" spans="2:15" x14ac:dyDescent="0.25">
      <c r="C50" s="146"/>
      <c r="D50" s="31">
        <v>5.1999999999999998E-2</v>
      </c>
      <c r="E50" s="38">
        <v>514.07722632413925</v>
      </c>
      <c r="F50" s="38">
        <v>479.50754406156273</v>
      </c>
      <c r="G50" s="38">
        <v>449.12382567208232</v>
      </c>
      <c r="H50" s="38">
        <v>422.2172200297374</v>
      </c>
      <c r="I50" s="38">
        <v>398.22989571419214</v>
      </c>
      <c r="J50" s="38">
        <v>376.71689041667128</v>
      </c>
      <c r="K50" s="38">
        <v>357.31896650253276</v>
      </c>
      <c r="L50" s="38">
        <v>339.74293853462365</v>
      </c>
      <c r="M50" s="38">
        <v>323.74717864136551</v>
      </c>
      <c r="N50" s="38">
        <v>309.13077675436443</v>
      </c>
      <c r="O50" s="38">
        <v>295.72532403064162</v>
      </c>
    </row>
    <row r="51" spans="2:15" x14ac:dyDescent="0.25">
      <c r="C51" s="146"/>
      <c r="D51" s="31">
        <v>5.3999999999999999E-2</v>
      </c>
      <c r="E51" s="38">
        <v>516.42028083450361</v>
      </c>
      <c r="F51" s="38">
        <v>481.41378661375461</v>
      </c>
      <c r="G51" s="38">
        <v>450.68831401735213</v>
      </c>
      <c r="H51" s="38">
        <v>423.51126540490884</v>
      </c>
      <c r="I51" s="38">
        <v>399.3077553736473</v>
      </c>
      <c r="J51" s="38">
        <v>377.6203667888924</v>
      </c>
      <c r="K51" s="38">
        <v>358.08062925289767</v>
      </c>
      <c r="L51" s="38">
        <v>340.3884209934389</v>
      </c>
      <c r="M51" s="38">
        <v>324.29683994691391</v>
      </c>
      <c r="N51" s="38">
        <v>309.60092175823536</v>
      </c>
      <c r="O51" s="38">
        <v>296.12910999555345</v>
      </c>
    </row>
    <row r="52" spans="2:15" x14ac:dyDescent="0.25">
      <c r="C52" s="146"/>
      <c r="D52" s="31">
        <v>5.6000000000000001E-2</v>
      </c>
      <c r="E52" s="38">
        <v>518.82842019237808</v>
      </c>
      <c r="F52" s="38">
        <v>483.36954195950983</v>
      </c>
      <c r="G52" s="38">
        <v>452.29096061494567</v>
      </c>
      <c r="H52" s="38">
        <v>424.83505894962457</v>
      </c>
      <c r="I52" s="38">
        <v>400.40904676482984</v>
      </c>
      <c r="J52" s="38">
        <v>378.5424715399223</v>
      </c>
      <c r="K52" s="38">
        <v>358.85722656699528</v>
      </c>
      <c r="L52" s="38">
        <v>341.04596854494235</v>
      </c>
      <c r="M52" s="38">
        <v>324.85631663291861</v>
      </c>
      <c r="N52" s="38">
        <v>310.07910342883912</v>
      </c>
      <c r="O52" s="38">
        <v>296.53951540251302</v>
      </c>
    </row>
    <row r="53" spans="2:15" x14ac:dyDescent="0.25">
      <c r="C53" s="146"/>
      <c r="D53" s="31">
        <v>5.8000000000000003E-2</v>
      </c>
      <c r="E53" s="38">
        <v>521.30439446174205</v>
      </c>
      <c r="F53" s="38">
        <v>485.37676455120601</v>
      </c>
      <c r="G53" s="38">
        <v>453.9331787334674</v>
      </c>
      <c r="H53" s="38">
        <v>426.18963839072893</v>
      </c>
      <c r="I53" s="38">
        <v>401.53454236241191</v>
      </c>
      <c r="J53" s="38">
        <v>379.48378680659857</v>
      </c>
      <c r="K53" s="38">
        <v>359.64920204572843</v>
      </c>
      <c r="L53" s="38">
        <v>341.71592265402126</v>
      </c>
      <c r="M53" s="38">
        <v>325.42587397993231</v>
      </c>
      <c r="N53" s="38">
        <v>310.56552961100499</v>
      </c>
      <c r="O53" s="38">
        <v>296.95670436991821</v>
      </c>
    </row>
    <row r="54" spans="2:15" ht="15" customHeight="1" x14ac:dyDescent="0.25">
      <c r="C54" s="146"/>
      <c r="D54" s="31">
        <v>6.0000000000000005E-2</v>
      </c>
      <c r="E54" s="38">
        <v>523.85111085308768</v>
      </c>
      <c r="F54" s="38">
        <v>487.43751307868075</v>
      </c>
      <c r="G54" s="38">
        <v>455.61645230495219</v>
      </c>
      <c r="H54" s="38">
        <v>427.57609028927106</v>
      </c>
      <c r="I54" s="38">
        <v>402.68504897327364</v>
      </c>
      <c r="J54" s="38">
        <v>380.4449192367839</v>
      </c>
      <c r="K54" s="38">
        <v>360.45701703403631</v>
      </c>
      <c r="L54" s="38">
        <v>342.39863779374934</v>
      </c>
      <c r="M54" s="38">
        <v>326.0057869150736</v>
      </c>
      <c r="N54" s="38">
        <v>311.06041537894765</v>
      </c>
      <c r="O54" s="38">
        <v>297.38084648678011</v>
      </c>
    </row>
    <row r="55" spans="2:15" x14ac:dyDescent="0.25">
      <c r="B55" s="30"/>
    </row>
    <row r="56" spans="2:15" x14ac:dyDescent="0.25">
      <c r="B56" s="30"/>
    </row>
    <row r="57" spans="2:15" ht="15" customHeight="1" x14ac:dyDescent="0.25">
      <c r="B57" s="30"/>
      <c r="D57" s="29"/>
      <c r="E57" s="29"/>
      <c r="F57" s="29"/>
      <c r="G57" s="29"/>
      <c r="H57" s="29"/>
    </row>
    <row r="58" spans="2:15" x14ac:dyDescent="0.25">
      <c r="B58" s="30"/>
      <c r="D58" s="29"/>
      <c r="E58" s="29"/>
      <c r="F58" s="29"/>
      <c r="G58" s="29"/>
      <c r="H58" s="29"/>
    </row>
    <row r="59" spans="2:15" x14ac:dyDescent="0.25">
      <c r="D59" s="29"/>
      <c r="E59" s="29"/>
      <c r="F59" s="29"/>
      <c r="G59" s="29"/>
      <c r="H59" s="29"/>
    </row>
    <row r="60" spans="2:15" x14ac:dyDescent="0.25">
      <c r="D60" s="29"/>
      <c r="E60" s="29"/>
      <c r="F60" s="29"/>
      <c r="G60" s="29"/>
      <c r="H60" s="29"/>
    </row>
    <row r="61" spans="2:15" x14ac:dyDescent="0.25">
      <c r="D61" s="29"/>
      <c r="E61" s="29"/>
      <c r="F61" s="29"/>
      <c r="G61" s="29"/>
      <c r="H61" s="29"/>
    </row>
    <row r="62" spans="2:15" x14ac:dyDescent="0.25">
      <c r="C62" s="28"/>
    </row>
    <row r="63" spans="2:15" x14ac:dyDescent="0.25">
      <c r="C63" s="28"/>
    </row>
    <row r="64" spans="2:15" x14ac:dyDescent="0.25">
      <c r="C64" s="28"/>
    </row>
  </sheetData>
  <mergeCells count="1">
    <mergeCell ref="C49:C54"/>
  </mergeCells>
  <conditionalFormatting sqref="D57:H6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">
      <colorScale>
        <cfvo type="min"/>
        <cfvo type="max"/>
        <color theme="3" tint="0.89999084444715716"/>
        <color theme="3" tint="0.499984740745262"/>
      </colorScale>
    </cfRule>
    <cfRule type="colorScale" priority="6">
      <colorScale>
        <cfvo type="min"/>
        <cfvo type="max"/>
        <color theme="3" tint="0.89999084444715716"/>
        <color theme="3" tint="0.499984740745262"/>
      </colorScale>
    </cfRule>
  </conditionalFormatting>
  <conditionalFormatting sqref="E49:O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C1A8-CBC6-4E2D-AD84-D5C2A0BDE2AC}">
  <sheetPr>
    <pageSetUpPr autoPageBreaks="0"/>
  </sheetPr>
  <dimension ref="A1:AN46"/>
  <sheetViews>
    <sheetView showGridLines="0" zoomScaleNormal="100" workbookViewId="0">
      <selection activeCell="K20" sqref="K20"/>
    </sheetView>
  </sheetViews>
  <sheetFormatPr defaultRowHeight="15" outlineLevelCol="1" x14ac:dyDescent="0.25"/>
  <cols>
    <col min="1" max="1" width="2.5703125" style="47" customWidth="1"/>
    <col min="2" max="2" width="27.7109375" style="47" customWidth="1"/>
    <col min="3" max="3" width="10.140625" style="47" hidden="1" customWidth="1" outlineLevel="1"/>
    <col min="4" max="5" width="12.7109375" style="47" hidden="1" customWidth="1" outlineLevel="1"/>
    <col min="6" max="6" width="12.85546875" style="47" customWidth="1" collapsed="1"/>
    <col min="7" max="10" width="12.7109375" style="47" hidden="1" customWidth="1" outlineLevel="1"/>
    <col min="11" max="11" width="13.140625" style="47" customWidth="1" collapsed="1"/>
    <col min="12" max="25" width="12.7109375" style="47" customWidth="1"/>
    <col min="26" max="26" width="2.5703125" style="47" customWidth="1"/>
    <col min="27" max="27" width="2.7109375" style="47" customWidth="1"/>
    <col min="28" max="36" width="12.28515625" style="47" customWidth="1"/>
    <col min="37" max="16384" width="9.140625" style="47"/>
  </cols>
  <sheetData>
    <row r="1" spans="1:40" ht="18.75" x14ac:dyDescent="0.3">
      <c r="A1" s="46"/>
      <c r="B1" s="1" t="s">
        <v>11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spans="1:40" ht="17.850000000000001" customHeight="1" x14ac:dyDescent="0.25">
      <c r="A2" s="46"/>
      <c r="B2" s="2" t="s">
        <v>84</v>
      </c>
      <c r="C2" s="48"/>
      <c r="D2" s="48"/>
      <c r="E2" s="48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spans="1:40" x14ac:dyDescent="0.25">
      <c r="A3" s="46"/>
      <c r="B3" s="3" t="s">
        <v>97</v>
      </c>
      <c r="C3" s="46"/>
      <c r="D3" s="48"/>
      <c r="E3" s="48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40" x14ac:dyDescent="0.25">
      <c r="A4" s="46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6"/>
      <c r="V4" s="46"/>
      <c r="W4" s="46"/>
      <c r="X4" s="46"/>
      <c r="Y4" s="46"/>
    </row>
    <row r="5" spans="1:40" x14ac:dyDescent="0.25">
      <c r="A5" s="46"/>
      <c r="B5" s="50"/>
      <c r="C5" s="50"/>
      <c r="D5" s="53" t="s">
        <v>44</v>
      </c>
      <c r="E5" s="53" t="s">
        <v>45</v>
      </c>
      <c r="F5" s="53"/>
      <c r="G5" s="53"/>
      <c r="H5" s="53"/>
      <c r="I5" s="53" t="s">
        <v>46</v>
      </c>
      <c r="J5" s="53"/>
      <c r="K5" s="53"/>
      <c r="L5" s="108" t="s">
        <v>47</v>
      </c>
      <c r="M5" s="108"/>
      <c r="N5" s="108"/>
      <c r="O5" s="108" t="s">
        <v>4</v>
      </c>
      <c r="P5" s="108"/>
      <c r="Q5" s="108"/>
      <c r="R5" s="108" t="s">
        <v>48</v>
      </c>
      <c r="S5" s="108"/>
      <c r="T5" s="108"/>
      <c r="U5" s="53" t="s">
        <v>47</v>
      </c>
      <c r="V5" s="53" t="s">
        <v>4</v>
      </c>
      <c r="W5" s="108" t="s">
        <v>49</v>
      </c>
      <c r="X5" s="108"/>
      <c r="Y5" s="108"/>
    </row>
    <row r="6" spans="1:40" x14ac:dyDescent="0.25">
      <c r="A6" s="46"/>
      <c r="B6" s="54" t="s">
        <v>50</v>
      </c>
      <c r="C6" s="54" t="s">
        <v>51</v>
      </c>
      <c r="D6" s="55" t="s">
        <v>52</v>
      </c>
      <c r="E6" s="55" t="s">
        <v>53</v>
      </c>
      <c r="F6" s="55" t="s">
        <v>108</v>
      </c>
      <c r="G6" s="55" t="s">
        <v>54</v>
      </c>
      <c r="H6" s="55" t="s">
        <v>55</v>
      </c>
      <c r="I6" s="55" t="s">
        <v>56</v>
      </c>
      <c r="J6" s="53" t="s">
        <v>82</v>
      </c>
      <c r="K6" s="55" t="s">
        <v>109</v>
      </c>
      <c r="L6" s="56" t="s">
        <v>57</v>
      </c>
      <c r="M6" s="67" t="s">
        <v>80</v>
      </c>
      <c r="N6" s="67" t="s">
        <v>81</v>
      </c>
      <c r="O6" s="56" t="str">
        <f>$L$6</f>
        <v>LTM</v>
      </c>
      <c r="P6" s="67" t="str">
        <f>+$M$6</f>
        <v>FY22</v>
      </c>
      <c r="Q6" s="67" t="str">
        <f>+$N$6</f>
        <v>FY23</v>
      </c>
      <c r="R6" s="56" t="str">
        <f>$L$6</f>
        <v>LTM</v>
      </c>
      <c r="S6" s="67" t="str">
        <f>+$M$6</f>
        <v>FY22</v>
      </c>
      <c r="T6" s="67" t="str">
        <f>+$N$6</f>
        <v>FY23</v>
      </c>
      <c r="U6" s="55" t="s">
        <v>58</v>
      </c>
      <c r="V6" s="55" t="s">
        <v>58</v>
      </c>
      <c r="W6" s="56" t="str">
        <f>$L$6</f>
        <v>LTM</v>
      </c>
      <c r="X6" s="67" t="str">
        <f>+$M$6</f>
        <v>FY22</v>
      </c>
      <c r="Y6" s="67" t="str">
        <f>+$N$6</f>
        <v>FY23</v>
      </c>
    </row>
    <row r="7" spans="1:40" x14ac:dyDescent="0.25">
      <c r="A7" s="46"/>
      <c r="B7" s="46" t="s">
        <v>68</v>
      </c>
      <c r="C7" s="46" t="s">
        <v>74</v>
      </c>
      <c r="D7" s="69">
        <v>1996.36</v>
      </c>
      <c r="E7" s="69">
        <v>51.3</v>
      </c>
      <c r="F7" s="70">
        <f>+D7*E7</f>
        <v>102413.268</v>
      </c>
      <c r="G7" s="69">
        <v>6673</v>
      </c>
      <c r="H7" s="69">
        <v>3140</v>
      </c>
      <c r="I7" s="69">
        <v>0</v>
      </c>
      <c r="J7" s="69">
        <v>0</v>
      </c>
      <c r="K7" s="70">
        <f t="shared" ref="K7:K12" si="0">+F7+G7+H7+I7+J7</f>
        <v>112226.268</v>
      </c>
      <c r="L7" s="69">
        <v>18493</v>
      </c>
      <c r="M7" s="69">
        <v>10537</v>
      </c>
      <c r="N7" s="69">
        <v>14473</v>
      </c>
      <c r="O7" s="69">
        <v>2713</v>
      </c>
      <c r="P7" s="69">
        <v>1364</v>
      </c>
      <c r="Q7" s="69">
        <v>2227</v>
      </c>
      <c r="R7" s="69">
        <v>1437</v>
      </c>
      <c r="S7" s="69">
        <v>482</v>
      </c>
      <c r="T7" s="69">
        <v>987</v>
      </c>
      <c r="U7" s="59">
        <f t="shared" ref="U7:U12" si="1">IFERROR(+N7/M7-1,"N/A")</f>
        <v>0.37354085603112841</v>
      </c>
      <c r="V7" s="59">
        <f>IFERROR(+Q7/P7-1,"N/A")</f>
        <v>0.63269794721407635</v>
      </c>
      <c r="W7" s="59">
        <f t="shared" ref="W7:Y12" si="2">O7/L7</f>
        <v>0.146704158330179</v>
      </c>
      <c r="X7" s="59">
        <f t="shared" si="2"/>
        <v>0.1294486096611939</v>
      </c>
      <c r="Y7" s="59">
        <f t="shared" si="2"/>
        <v>0.15387272852898501</v>
      </c>
      <c r="AN7" s="46"/>
    </row>
    <row r="8" spans="1:40" x14ac:dyDescent="0.25">
      <c r="A8" s="46"/>
      <c r="B8" s="46" t="s">
        <v>69</v>
      </c>
      <c r="C8" s="46" t="s">
        <v>75</v>
      </c>
      <c r="D8" s="69">
        <v>229.09</v>
      </c>
      <c r="E8" s="69">
        <v>10681.8</v>
      </c>
      <c r="F8" s="70">
        <f t="shared" ref="F8:F12" si="3">+D8*E8</f>
        <v>2447093.5619999999</v>
      </c>
      <c r="G8" s="69">
        <v>88051</v>
      </c>
      <c r="H8" s="69">
        <v>4357.5119999999997</v>
      </c>
      <c r="I8" s="69">
        <v>0</v>
      </c>
      <c r="J8" s="69">
        <v>0</v>
      </c>
      <c r="K8" s="70">
        <f t="shared" si="0"/>
        <v>2539502.074</v>
      </c>
      <c r="L8" s="69">
        <v>620128</v>
      </c>
      <c r="M8" s="69">
        <v>513983</v>
      </c>
      <c r="N8" s="69">
        <v>574785</v>
      </c>
      <c r="O8" s="69">
        <v>111583</v>
      </c>
      <c r="P8" s="69">
        <v>55432</v>
      </c>
      <c r="Q8" s="69">
        <v>86282</v>
      </c>
      <c r="R8" s="69">
        <v>49868</v>
      </c>
      <c r="S8" s="69">
        <v>-2722</v>
      </c>
      <c r="T8" s="69">
        <v>30425</v>
      </c>
      <c r="U8" s="59">
        <f t="shared" si="1"/>
        <v>0.1182957412988368</v>
      </c>
      <c r="V8" s="59">
        <f>IFERROR(+Q8/P8-1,"N/A")</f>
        <v>0.55653773993361244</v>
      </c>
      <c r="W8" s="59">
        <f t="shared" si="2"/>
        <v>0.17993543268486506</v>
      </c>
      <c r="X8" s="59">
        <f t="shared" si="2"/>
        <v>0.10784792493136933</v>
      </c>
      <c r="Y8" s="59">
        <f t="shared" si="2"/>
        <v>0.15011178092678132</v>
      </c>
      <c r="AN8" s="46"/>
    </row>
    <row r="9" spans="1:40" x14ac:dyDescent="0.25">
      <c r="A9" s="46"/>
      <c r="B9" s="46" t="s">
        <v>71</v>
      </c>
      <c r="C9" s="46" t="s">
        <v>77</v>
      </c>
      <c r="D9" s="69">
        <v>122.8</v>
      </c>
      <c r="E9" s="69">
        <v>598.20000000000005</v>
      </c>
      <c r="F9" s="70">
        <f>+D9*E9</f>
        <v>73458.960000000006</v>
      </c>
      <c r="G9" s="69">
        <v>7913.29</v>
      </c>
      <c r="H9" s="69">
        <v>2078.1</v>
      </c>
      <c r="I9" s="69">
        <v>0</v>
      </c>
      <c r="J9" s="69">
        <v>0</v>
      </c>
      <c r="K9" s="70">
        <f t="shared" si="0"/>
        <v>83450.350000000006</v>
      </c>
      <c r="L9" s="69">
        <v>15486.06</v>
      </c>
      <c r="M9" s="69">
        <v>12456</v>
      </c>
      <c r="N9" s="69">
        <v>13081</v>
      </c>
      <c r="O9" s="69">
        <v>751.1</v>
      </c>
      <c r="P9" s="69">
        <v>-984</v>
      </c>
      <c r="Q9" s="69">
        <v>563</v>
      </c>
      <c r="R9" s="69">
        <v>97.27</v>
      </c>
      <c r="S9" s="69">
        <v>-1652</v>
      </c>
      <c r="T9" s="69">
        <v>151</v>
      </c>
      <c r="U9" s="59">
        <f t="shared" si="1"/>
        <v>5.0176621708413638E-2</v>
      </c>
      <c r="V9" s="59">
        <f>-IFERROR(Q9/P9-1,"N/A")</f>
        <v>1.5721544715447155</v>
      </c>
      <c r="W9" s="59">
        <f t="shared" si="2"/>
        <v>4.8501684740986414E-2</v>
      </c>
      <c r="X9" s="59">
        <f t="shared" si="2"/>
        <v>-7.8998073217726394E-2</v>
      </c>
      <c r="Y9" s="59">
        <f t="shared" si="2"/>
        <v>4.3039522972249826E-2</v>
      </c>
      <c r="AN9" s="46"/>
    </row>
    <row r="10" spans="1:40" x14ac:dyDescent="0.25">
      <c r="A10" s="46"/>
      <c r="B10" s="46" t="s">
        <v>70</v>
      </c>
      <c r="C10" s="46" t="s">
        <v>76</v>
      </c>
      <c r="D10" s="69">
        <v>117.5</v>
      </c>
      <c r="E10" s="69">
        <v>1310.7</v>
      </c>
      <c r="F10" s="70">
        <f t="shared" si="3"/>
        <v>154007.25</v>
      </c>
      <c r="G10" s="69">
        <v>4895</v>
      </c>
      <c r="H10" s="69">
        <v>1079.95</v>
      </c>
      <c r="I10" s="69">
        <v>0</v>
      </c>
      <c r="J10" s="69">
        <v>0</v>
      </c>
      <c r="K10" s="70">
        <f t="shared" si="0"/>
        <v>159982.20000000001</v>
      </c>
      <c r="L10" s="69">
        <v>8212</v>
      </c>
      <c r="M10" s="69">
        <v>7290</v>
      </c>
      <c r="N10" s="69">
        <v>9529</v>
      </c>
      <c r="O10" s="69">
        <v>1114</v>
      </c>
      <c r="P10" s="69">
        <v>-747</v>
      </c>
      <c r="Q10" s="69">
        <v>212</v>
      </c>
      <c r="R10" s="69">
        <v>1383</v>
      </c>
      <c r="S10" s="69">
        <v>-4505</v>
      </c>
      <c r="T10" s="69">
        <v>180</v>
      </c>
      <c r="U10" s="59">
        <f t="shared" si="1"/>
        <v>0.30713305898491083</v>
      </c>
      <c r="V10" s="59">
        <f>-IFERROR(Q10/P10-1,"N/A")</f>
        <v>1.2838018741633199</v>
      </c>
      <c r="W10" s="59">
        <f t="shared" si="2"/>
        <v>0.13565513882123723</v>
      </c>
      <c r="X10" s="59">
        <f t="shared" si="2"/>
        <v>-0.10246913580246914</v>
      </c>
      <c r="Y10" s="59">
        <f t="shared" si="2"/>
        <v>2.2247874908175043E-2</v>
      </c>
      <c r="AN10" s="46"/>
    </row>
    <row r="11" spans="1:40" x14ac:dyDescent="0.25">
      <c r="A11" s="46"/>
      <c r="B11" s="46" t="s">
        <v>73</v>
      </c>
      <c r="C11" s="46" t="s">
        <v>79</v>
      </c>
      <c r="D11" s="69">
        <v>103.24</v>
      </c>
      <c r="E11" s="69">
        <v>2475.6</v>
      </c>
      <c r="F11" s="70">
        <f>+D11*E11</f>
        <v>255580.94399999999</v>
      </c>
      <c r="G11" s="69">
        <v>55423.47</v>
      </c>
      <c r="H11" s="69">
        <v>2169.4</v>
      </c>
      <c r="I11" s="69">
        <v>0</v>
      </c>
      <c r="J11" s="69">
        <v>0</v>
      </c>
      <c r="K11" s="70">
        <f t="shared" si="0"/>
        <v>313173.81400000001</v>
      </c>
      <c r="L11" s="69">
        <v>137080.1472275611</v>
      </c>
      <c r="M11" s="69">
        <v>134524</v>
      </c>
      <c r="N11" s="69">
        <v>129114.83</v>
      </c>
      <c r="O11" s="69">
        <v>24895.162658650297</v>
      </c>
      <c r="P11" s="69">
        <v>22274.59</v>
      </c>
      <c r="Q11" s="69">
        <v>21158.670000000002</v>
      </c>
      <c r="R11" s="69">
        <v>12303.940321776299</v>
      </c>
      <c r="S11" s="69">
        <v>9770.67</v>
      </c>
      <c r="T11" s="69">
        <v>10777.130000000001</v>
      </c>
      <c r="U11" s="59">
        <f t="shared" si="1"/>
        <v>-4.0209702357943522E-2</v>
      </c>
      <c r="V11" s="59">
        <f>IFERROR(+Q11/P11-1,"N/A")</f>
        <v>-5.0098340755093451E-2</v>
      </c>
      <c r="W11" s="59">
        <f t="shared" si="2"/>
        <v>0.18161027079525136</v>
      </c>
      <c r="X11" s="59">
        <f t="shared" si="2"/>
        <v>0.16558078855817548</v>
      </c>
      <c r="Y11" s="59">
        <f t="shared" si="2"/>
        <v>0.16387482367439898</v>
      </c>
      <c r="AN11" s="46"/>
    </row>
    <row r="12" spans="1:40" x14ac:dyDescent="0.25">
      <c r="A12" s="46"/>
      <c r="B12" s="46" t="s">
        <v>72</v>
      </c>
      <c r="C12" s="46" t="s">
        <v>78</v>
      </c>
      <c r="D12" s="69">
        <v>67.819999999999993</v>
      </c>
      <c r="E12" s="69">
        <v>510.5</v>
      </c>
      <c r="F12" s="70">
        <f t="shared" si="3"/>
        <v>34622.109999999993</v>
      </c>
      <c r="G12" s="69">
        <v>4891</v>
      </c>
      <c r="H12" s="69">
        <v>583.96</v>
      </c>
      <c r="I12" s="69">
        <v>0</v>
      </c>
      <c r="J12" s="69">
        <v>0</v>
      </c>
      <c r="K12" s="70">
        <f t="shared" si="0"/>
        <v>40097.069999999992</v>
      </c>
      <c r="L12" s="69">
        <v>10266</v>
      </c>
      <c r="M12" s="69">
        <v>9655</v>
      </c>
      <c r="N12" s="69">
        <v>10056</v>
      </c>
      <c r="O12" s="69">
        <v>2619</v>
      </c>
      <c r="P12" s="69">
        <v>2670</v>
      </c>
      <c r="Q12" s="69">
        <v>2440</v>
      </c>
      <c r="R12" s="69">
        <v>2020</v>
      </c>
      <c r="S12" s="69">
        <v>-1274</v>
      </c>
      <c r="T12" s="69">
        <v>2775</v>
      </c>
      <c r="U12" s="59">
        <f t="shared" si="1"/>
        <v>4.1532884515794954E-2</v>
      </c>
      <c r="V12" s="59">
        <f>IFERROR(+Q12/P12-1,"N/A")</f>
        <v>-8.6142322097378266E-2</v>
      </c>
      <c r="W12" s="59">
        <f t="shared" si="2"/>
        <v>0.25511396843950906</v>
      </c>
      <c r="X12" s="59">
        <f t="shared" si="2"/>
        <v>0.276540652511652</v>
      </c>
      <c r="Y12" s="59">
        <f t="shared" si="2"/>
        <v>0.24264120922832141</v>
      </c>
      <c r="AN12" s="46"/>
    </row>
    <row r="13" spans="1:40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AN13" s="46"/>
    </row>
    <row r="14" spans="1:40" x14ac:dyDescent="0.25">
      <c r="A14" s="46"/>
      <c r="B14" s="46" t="s">
        <v>59</v>
      </c>
      <c r="C14" s="46"/>
      <c r="D14" s="71">
        <f>MAX(D7:D12)</f>
        <v>1996.36</v>
      </c>
      <c r="E14" s="71"/>
      <c r="F14" s="77">
        <f>MAX(F7:F12)</f>
        <v>2447093.5619999999</v>
      </c>
      <c r="G14" s="77"/>
      <c r="H14" s="77"/>
      <c r="I14" s="77"/>
      <c r="J14" s="77"/>
      <c r="K14" s="77">
        <f t="shared" ref="K14:Y14" si="4">MAX(K7:K12)</f>
        <v>2539502.074</v>
      </c>
      <c r="L14" s="77">
        <f t="shared" si="4"/>
        <v>620128</v>
      </c>
      <c r="M14" s="77">
        <f t="shared" si="4"/>
        <v>513983</v>
      </c>
      <c r="N14" s="77">
        <f t="shared" si="4"/>
        <v>574785</v>
      </c>
      <c r="O14" s="77">
        <f t="shared" si="4"/>
        <v>111583</v>
      </c>
      <c r="P14" s="77">
        <f t="shared" si="4"/>
        <v>55432</v>
      </c>
      <c r="Q14" s="77">
        <f t="shared" si="4"/>
        <v>86282</v>
      </c>
      <c r="R14" s="77">
        <f t="shared" si="4"/>
        <v>49868</v>
      </c>
      <c r="S14" s="77">
        <f t="shared" si="4"/>
        <v>9770.67</v>
      </c>
      <c r="T14" s="77">
        <f t="shared" si="4"/>
        <v>30425</v>
      </c>
      <c r="U14" s="72">
        <f t="shared" si="4"/>
        <v>0.37354085603112841</v>
      </c>
      <c r="V14" s="72">
        <f t="shared" si="4"/>
        <v>1.5721544715447155</v>
      </c>
      <c r="W14" s="72">
        <f t="shared" si="4"/>
        <v>0.25511396843950906</v>
      </c>
      <c r="X14" s="72">
        <f t="shared" si="4"/>
        <v>0.276540652511652</v>
      </c>
      <c r="Y14" s="72">
        <f t="shared" si="4"/>
        <v>0.24264120922832141</v>
      </c>
      <c r="AN14" s="46"/>
    </row>
    <row r="15" spans="1:40" x14ac:dyDescent="0.25">
      <c r="A15" s="46"/>
      <c r="B15" s="46" t="s">
        <v>60</v>
      </c>
      <c r="C15" s="46"/>
      <c r="D15" s="71">
        <f>QUARTILE(D7:D12,3)</f>
        <v>202.51749999999998</v>
      </c>
      <c r="E15" s="71"/>
      <c r="F15" s="77">
        <f>QUARTILE(F7:F12,3)</f>
        <v>230187.52049999998</v>
      </c>
      <c r="G15" s="77"/>
      <c r="H15" s="77"/>
      <c r="I15" s="77"/>
      <c r="J15" s="77"/>
      <c r="K15" s="77">
        <f t="shared" ref="K15:Y15" si="5">QUARTILE(K7:K12,3)</f>
        <v>274875.9105</v>
      </c>
      <c r="L15" s="77">
        <f t="shared" si="5"/>
        <v>107433.36042067083</v>
      </c>
      <c r="M15" s="77">
        <f t="shared" si="5"/>
        <v>104007</v>
      </c>
      <c r="N15" s="77">
        <f t="shared" si="5"/>
        <v>100454.3725</v>
      </c>
      <c r="O15" s="77">
        <f t="shared" si="5"/>
        <v>19349.621993987723</v>
      </c>
      <c r="P15" s="77">
        <f t="shared" si="5"/>
        <v>17373.442500000001</v>
      </c>
      <c r="Q15" s="77">
        <f t="shared" si="5"/>
        <v>16479.002500000002</v>
      </c>
      <c r="R15" s="77">
        <f t="shared" si="5"/>
        <v>9732.9552413322235</v>
      </c>
      <c r="S15" s="77">
        <f t="shared" si="5"/>
        <v>43</v>
      </c>
      <c r="T15" s="77">
        <f t="shared" si="5"/>
        <v>8776.5974999999999</v>
      </c>
      <c r="U15" s="72">
        <f t="shared" si="5"/>
        <v>0.25992372956339233</v>
      </c>
      <c r="V15" s="72">
        <f t="shared" si="5"/>
        <v>1.121025892426009</v>
      </c>
      <c r="W15" s="72">
        <f t="shared" si="5"/>
        <v>0.18119156126765479</v>
      </c>
      <c r="X15" s="72">
        <f t="shared" si="5"/>
        <v>0.15654774383393008</v>
      </c>
      <c r="Y15" s="72">
        <f t="shared" si="5"/>
        <v>0.1613742998880455</v>
      </c>
      <c r="AN15" s="46"/>
    </row>
    <row r="16" spans="1:40" x14ac:dyDescent="0.25">
      <c r="A16" s="46"/>
      <c r="B16" s="74" t="s">
        <v>61</v>
      </c>
      <c r="C16" s="74"/>
      <c r="D16" s="75">
        <f>MEDIAN(D7:D12)</f>
        <v>120.15</v>
      </c>
      <c r="E16" s="75"/>
      <c r="F16" s="78">
        <f>MEDIAN(F7:F12)</f>
        <v>128210.25899999999</v>
      </c>
      <c r="G16" s="78"/>
      <c r="H16" s="78"/>
      <c r="I16" s="78"/>
      <c r="J16" s="78"/>
      <c r="K16" s="78">
        <f t="shared" ref="K16:Y16" si="6">MEDIAN(K7:K12)</f>
        <v>136104.234</v>
      </c>
      <c r="L16" s="78">
        <f t="shared" si="6"/>
        <v>16989.53</v>
      </c>
      <c r="M16" s="78">
        <f t="shared" si="6"/>
        <v>11496.5</v>
      </c>
      <c r="N16" s="78">
        <f t="shared" si="6"/>
        <v>13777</v>
      </c>
      <c r="O16" s="78">
        <f t="shared" si="6"/>
        <v>2666</v>
      </c>
      <c r="P16" s="78">
        <f t="shared" si="6"/>
        <v>2017</v>
      </c>
      <c r="Q16" s="78">
        <f t="shared" si="6"/>
        <v>2333.5</v>
      </c>
      <c r="R16" s="78">
        <f t="shared" si="6"/>
        <v>1728.5</v>
      </c>
      <c r="S16" s="78">
        <f t="shared" si="6"/>
        <v>-1463</v>
      </c>
      <c r="T16" s="78">
        <f t="shared" si="6"/>
        <v>1881</v>
      </c>
      <c r="U16" s="76">
        <f t="shared" si="6"/>
        <v>8.4236181503625218E-2</v>
      </c>
      <c r="V16" s="76">
        <f t="shared" si="6"/>
        <v>0.5946178435738444</v>
      </c>
      <c r="W16" s="76">
        <f t="shared" si="6"/>
        <v>0.16331979550752201</v>
      </c>
      <c r="X16" s="76">
        <f t="shared" si="6"/>
        <v>0.11864826729628161</v>
      </c>
      <c r="Y16" s="76">
        <f t="shared" si="6"/>
        <v>0.15199225472788316</v>
      </c>
      <c r="AN16" s="46"/>
    </row>
    <row r="17" spans="1:40" x14ac:dyDescent="0.25">
      <c r="A17" s="46"/>
      <c r="B17" s="46" t="s">
        <v>62</v>
      </c>
      <c r="C17" s="48"/>
      <c r="D17" s="71">
        <f>QUARTILE(D7:D12,1)</f>
        <v>106.80499999999999</v>
      </c>
      <c r="E17" s="71"/>
      <c r="F17" s="77">
        <f>QUARTILE(F7:F12,1)</f>
        <v>80697.537000000011</v>
      </c>
      <c r="G17" s="77"/>
      <c r="H17" s="77"/>
      <c r="I17" s="77"/>
      <c r="J17" s="77"/>
      <c r="K17" s="77">
        <f t="shared" ref="K17:Y17" si="7">QUARTILE(K7:K12,1)</f>
        <v>90644.329500000007</v>
      </c>
      <c r="L17" s="77">
        <f t="shared" si="7"/>
        <v>11571.014999999999</v>
      </c>
      <c r="M17" s="77">
        <f t="shared" si="7"/>
        <v>9875.5</v>
      </c>
      <c r="N17" s="77">
        <f t="shared" si="7"/>
        <v>10812.25</v>
      </c>
      <c r="O17" s="77">
        <f t="shared" si="7"/>
        <v>1490.25</v>
      </c>
      <c r="P17" s="77">
        <f t="shared" si="7"/>
        <v>-219.25</v>
      </c>
      <c r="Q17" s="77">
        <f t="shared" si="7"/>
        <v>979</v>
      </c>
      <c r="R17" s="77">
        <f t="shared" si="7"/>
        <v>1396.5</v>
      </c>
      <c r="S17" s="77">
        <f t="shared" si="7"/>
        <v>-2454.5</v>
      </c>
      <c r="T17" s="77">
        <f t="shared" si="7"/>
        <v>381.75</v>
      </c>
      <c r="U17" s="72">
        <f t="shared" si="7"/>
        <v>4.3693818813949625E-2</v>
      </c>
      <c r="V17" s="72">
        <f t="shared" si="7"/>
        <v>0.10156067941708302</v>
      </c>
      <c r="W17" s="72">
        <f t="shared" si="7"/>
        <v>0.13841739369847267</v>
      </c>
      <c r="X17" s="72">
        <f t="shared" si="7"/>
        <v>-3.2286573680452464E-2</v>
      </c>
      <c r="Y17" s="72">
        <f t="shared" si="7"/>
        <v>6.9807587460882697E-2</v>
      </c>
      <c r="AN17" s="46"/>
    </row>
    <row r="18" spans="1:40" x14ac:dyDescent="0.25">
      <c r="A18" s="46"/>
      <c r="B18" s="46" t="s">
        <v>63</v>
      </c>
      <c r="C18" s="48"/>
      <c r="D18" s="71">
        <f>MIN(D7:D12)</f>
        <v>67.819999999999993</v>
      </c>
      <c r="E18" s="71"/>
      <c r="F18" s="77">
        <f>MIN(F7:F12)</f>
        <v>34622.109999999993</v>
      </c>
      <c r="G18" s="77"/>
      <c r="H18" s="77"/>
      <c r="I18" s="77"/>
      <c r="J18" s="77"/>
      <c r="K18" s="77">
        <f t="shared" ref="K18:Y18" si="8">MIN(K7:K12)</f>
        <v>40097.069999999992</v>
      </c>
      <c r="L18" s="77">
        <f t="shared" si="8"/>
        <v>8212</v>
      </c>
      <c r="M18" s="77">
        <f t="shared" si="8"/>
        <v>7290</v>
      </c>
      <c r="N18" s="77">
        <f t="shared" si="8"/>
        <v>9529</v>
      </c>
      <c r="O18" s="77">
        <f t="shared" si="8"/>
        <v>751.1</v>
      </c>
      <c r="P18" s="77">
        <f t="shared" si="8"/>
        <v>-984</v>
      </c>
      <c r="Q18" s="77">
        <f t="shared" si="8"/>
        <v>212</v>
      </c>
      <c r="R18" s="77">
        <f t="shared" si="8"/>
        <v>97.27</v>
      </c>
      <c r="S18" s="77">
        <f t="shared" si="8"/>
        <v>-4505</v>
      </c>
      <c r="T18" s="77">
        <f t="shared" si="8"/>
        <v>151</v>
      </c>
      <c r="U18" s="72">
        <f t="shared" si="8"/>
        <v>-4.0209702357943522E-2</v>
      </c>
      <c r="V18" s="72">
        <f t="shared" si="8"/>
        <v>-8.6142322097378266E-2</v>
      </c>
      <c r="W18" s="72">
        <f t="shared" si="8"/>
        <v>4.8501684740986414E-2</v>
      </c>
      <c r="X18" s="72">
        <f t="shared" si="8"/>
        <v>-0.10246913580246914</v>
      </c>
      <c r="Y18" s="72">
        <f t="shared" si="8"/>
        <v>2.2247874908175043E-2</v>
      </c>
      <c r="AN18" s="46"/>
    </row>
    <row r="19" spans="1:40" x14ac:dyDescent="0.25">
      <c r="A19" s="46"/>
      <c r="B19" s="46"/>
      <c r="C19" s="46"/>
      <c r="D19" s="46"/>
      <c r="E19" s="46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46"/>
      <c r="V19" s="46"/>
      <c r="W19" s="46"/>
      <c r="X19" s="46"/>
      <c r="Y19" s="46"/>
      <c r="AN19" s="46"/>
    </row>
    <row r="20" spans="1:40" x14ac:dyDescent="0.25">
      <c r="A20" s="46"/>
      <c r="B20" s="73" t="s">
        <v>67</v>
      </c>
      <c r="C20" s="73" t="s">
        <v>148</v>
      </c>
      <c r="D20" s="107">
        <v>27</v>
      </c>
      <c r="E20" s="73">
        <v>51</v>
      </c>
      <c r="F20" s="104">
        <f>+D20*E20</f>
        <v>1377</v>
      </c>
      <c r="G20" s="79">
        <v>150</v>
      </c>
      <c r="H20" s="79">
        <v>20</v>
      </c>
      <c r="I20" s="135">
        <v>0</v>
      </c>
      <c r="J20" s="135">
        <v>0</v>
      </c>
      <c r="K20" s="79">
        <f>+F20+G20+H20+I20+J20</f>
        <v>1547</v>
      </c>
      <c r="L20" s="79">
        <f>+XYZ_DCF!F19</f>
        <v>500</v>
      </c>
      <c r="M20" s="104">
        <v>430</v>
      </c>
      <c r="N20" s="104">
        <v>465</v>
      </c>
      <c r="O20" s="79">
        <f>+XYZ_DCF!F28</f>
        <v>125</v>
      </c>
      <c r="P20" s="104">
        <v>100</v>
      </c>
      <c r="Q20" s="104">
        <v>110</v>
      </c>
      <c r="R20" s="79">
        <f>+XYZ_DCF!F35-10</f>
        <v>59.3</v>
      </c>
      <c r="S20" s="104">
        <v>45</v>
      </c>
      <c r="T20" s="104">
        <v>50</v>
      </c>
      <c r="U20" s="106">
        <f>IFERROR(+N20/M20-1,"N/A")</f>
        <v>8.1395348837209225E-2</v>
      </c>
      <c r="V20" s="106">
        <f>IFERROR(+Q20/P20-1,"N/A")</f>
        <v>0.10000000000000009</v>
      </c>
      <c r="W20" s="106">
        <f>O20/L20</f>
        <v>0.25</v>
      </c>
      <c r="X20" s="105">
        <f>P20/M20</f>
        <v>0.23255813953488372</v>
      </c>
      <c r="Y20" s="105">
        <f>Q20/N20</f>
        <v>0.23655913978494625</v>
      </c>
      <c r="AN20" s="46"/>
    </row>
    <row r="21" spans="1:40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AN21" s="46"/>
    </row>
    <row r="22" spans="1:40" x14ac:dyDescent="0.25">
      <c r="A22" s="46"/>
      <c r="B22" s="50"/>
      <c r="C22" s="50"/>
      <c r="D22" s="53"/>
      <c r="E22" s="53"/>
      <c r="F22" s="53"/>
      <c r="G22" s="53"/>
      <c r="H22" s="53"/>
      <c r="I22" s="53"/>
      <c r="J22" s="53"/>
      <c r="K22" s="53"/>
      <c r="L22" s="108" t="s">
        <v>105</v>
      </c>
      <c r="M22" s="108"/>
      <c r="N22" s="108"/>
      <c r="O22" s="108" t="s">
        <v>106</v>
      </c>
      <c r="P22" s="108"/>
      <c r="Q22" s="108"/>
      <c r="R22" s="108" t="s">
        <v>107</v>
      </c>
      <c r="S22" s="108"/>
      <c r="T22" s="108"/>
      <c r="U22" s="46"/>
      <c r="V22" s="46"/>
      <c r="W22" s="46"/>
      <c r="X22" s="46"/>
      <c r="Y22" s="46"/>
      <c r="AN22" s="46"/>
    </row>
    <row r="23" spans="1:40" x14ac:dyDescent="0.25">
      <c r="A23" s="46"/>
      <c r="B23" s="54" t="s">
        <v>50</v>
      </c>
      <c r="C23" s="54"/>
      <c r="D23" s="55"/>
      <c r="E23" s="55"/>
      <c r="F23" s="55" t="s">
        <v>108</v>
      </c>
      <c r="G23" s="55"/>
      <c r="H23" s="55"/>
      <c r="I23" s="55"/>
      <c r="J23" s="55"/>
      <c r="K23" s="55" t="s">
        <v>109</v>
      </c>
      <c r="L23" s="56" t="str">
        <f>$L$6</f>
        <v>LTM</v>
      </c>
      <c r="M23" s="67" t="str">
        <f>+$M$6</f>
        <v>FY22</v>
      </c>
      <c r="N23" s="67" t="str">
        <f>+$N$6</f>
        <v>FY23</v>
      </c>
      <c r="O23" s="56" t="str">
        <f>$L$6</f>
        <v>LTM</v>
      </c>
      <c r="P23" s="67" t="str">
        <f>+$M$6</f>
        <v>FY22</v>
      </c>
      <c r="Q23" s="67" t="str">
        <f>+$N$6</f>
        <v>FY23</v>
      </c>
      <c r="R23" s="56" t="str">
        <f>$L$6</f>
        <v>LTM</v>
      </c>
      <c r="S23" s="67" t="str">
        <f>+$M$6</f>
        <v>FY22</v>
      </c>
      <c r="T23" s="67" t="str">
        <f>+$N$6</f>
        <v>FY23</v>
      </c>
      <c r="U23" s="61"/>
      <c r="V23" s="61"/>
      <c r="W23" s="61"/>
      <c r="X23" s="61"/>
      <c r="Y23" s="46"/>
      <c r="AN23" s="46"/>
    </row>
    <row r="24" spans="1:40" x14ac:dyDescent="0.25">
      <c r="A24" s="46"/>
      <c r="B24" s="46" t="str">
        <f>+B7</f>
        <v>Mercado Libre</v>
      </c>
      <c r="C24" s="46" t="str">
        <f>+C7</f>
        <v>MELI</v>
      </c>
      <c r="D24" s="57"/>
      <c r="E24" s="58"/>
      <c r="F24" s="70">
        <f t="shared" ref="F24:F29" si="9">+F7</f>
        <v>102413.268</v>
      </c>
      <c r="G24" s="69"/>
      <c r="H24" s="69"/>
      <c r="I24" s="69"/>
      <c r="J24" s="69"/>
      <c r="K24" s="70">
        <f>+K7</f>
        <v>112226.268</v>
      </c>
      <c r="L24" s="80">
        <f t="shared" ref="L24:Q29" si="10">IFERROR(IF(OR(+$K7/L7&lt;0,+$K7/L7&gt;=100),"NM",+$K7/L7),"N/A")</f>
        <v>6.0685809765857348</v>
      </c>
      <c r="M24" s="80">
        <f t="shared" si="10"/>
        <v>10.650685014710069</v>
      </c>
      <c r="N24" s="80">
        <f t="shared" si="10"/>
        <v>7.7541814413044978</v>
      </c>
      <c r="O24" s="80">
        <f t="shared" si="10"/>
        <v>41.366114264651678</v>
      </c>
      <c r="P24" s="80">
        <f t="shared" si="10"/>
        <v>82.277322580645162</v>
      </c>
      <c r="Q24" s="80">
        <f t="shared" si="10"/>
        <v>50.393474629546475</v>
      </c>
      <c r="R24" s="80">
        <f t="shared" ref="R24:T29" si="11">IFERROR(IF(OR(+$F7/R7&lt;0,+$F7/R7&gt;=100),"NM",+$F7/R7),"N/A")</f>
        <v>71.268801670146132</v>
      </c>
      <c r="S24" s="80" t="str">
        <f t="shared" si="11"/>
        <v>NM</v>
      </c>
      <c r="T24" s="80" t="str">
        <f t="shared" si="11"/>
        <v>NM</v>
      </c>
      <c r="U24" s="62"/>
      <c r="V24" s="62"/>
      <c r="W24" s="62"/>
      <c r="X24" s="62"/>
      <c r="Y24" s="46"/>
      <c r="AN24" s="46"/>
    </row>
    <row r="25" spans="1:40" x14ac:dyDescent="0.25">
      <c r="A25" s="46"/>
      <c r="B25" s="46" t="str">
        <f t="shared" ref="B25:B28" si="12">+B8</f>
        <v>Amazon</v>
      </c>
      <c r="C25" s="46" t="str">
        <f>+C8</f>
        <v>AMZN</v>
      </c>
      <c r="D25" s="60"/>
      <c r="E25" s="58"/>
      <c r="F25" s="70">
        <f t="shared" si="9"/>
        <v>2447093.5619999999</v>
      </c>
      <c r="G25" s="69"/>
      <c r="H25" s="69"/>
      <c r="I25" s="69"/>
      <c r="J25" s="69"/>
      <c r="K25" s="70">
        <f t="shared" ref="K25:K29" si="13">+K8</f>
        <v>2539502.074</v>
      </c>
      <c r="L25" s="80">
        <f t="shared" si="10"/>
        <v>4.0951256418029827</v>
      </c>
      <c r="M25" s="80">
        <f t="shared" si="10"/>
        <v>4.9408289262485336</v>
      </c>
      <c r="N25" s="80">
        <f t="shared" si="10"/>
        <v>4.4181773602303469</v>
      </c>
      <c r="O25" s="80">
        <f t="shared" si="10"/>
        <v>22.758861780020254</v>
      </c>
      <c r="P25" s="80">
        <f t="shared" si="10"/>
        <v>45.812925277817868</v>
      </c>
      <c r="Q25" s="80">
        <f t="shared" si="10"/>
        <v>29.432582392619551</v>
      </c>
      <c r="R25" s="80">
        <f t="shared" si="11"/>
        <v>49.071419788240952</v>
      </c>
      <c r="S25" s="80" t="str">
        <f t="shared" si="11"/>
        <v>NM</v>
      </c>
      <c r="T25" s="80">
        <f t="shared" si="11"/>
        <v>80.430355365653242</v>
      </c>
      <c r="U25" s="46"/>
      <c r="V25" s="46"/>
      <c r="W25" s="46"/>
      <c r="X25" s="46"/>
      <c r="Y25" s="46"/>
      <c r="AN25" s="46"/>
    </row>
    <row r="26" spans="1:40" x14ac:dyDescent="0.25">
      <c r="A26" s="46"/>
      <c r="B26" s="46" t="str">
        <f t="shared" si="12"/>
        <v>Sea Limited</v>
      </c>
      <c r="C26" s="46" t="str">
        <f>+C10</f>
        <v>SHOP</v>
      </c>
      <c r="D26" s="60"/>
      <c r="E26" s="58"/>
      <c r="F26" s="70">
        <f t="shared" si="9"/>
        <v>73458.960000000006</v>
      </c>
      <c r="G26" s="69"/>
      <c r="H26" s="69"/>
      <c r="I26" s="69"/>
      <c r="J26" s="69"/>
      <c r="K26" s="70">
        <f t="shared" si="13"/>
        <v>83450.350000000006</v>
      </c>
      <c r="L26" s="80">
        <f t="shared" si="10"/>
        <v>5.3887399377246377</v>
      </c>
      <c r="M26" s="80">
        <f t="shared" si="10"/>
        <v>6.6996106294155435</v>
      </c>
      <c r="N26" s="80">
        <f t="shared" si="10"/>
        <v>6.3795084473664101</v>
      </c>
      <c r="O26" s="80" t="str">
        <f t="shared" si="10"/>
        <v>NM</v>
      </c>
      <c r="P26" s="80" t="str">
        <f t="shared" si="10"/>
        <v>NM</v>
      </c>
      <c r="Q26" s="80" t="str">
        <f t="shared" si="10"/>
        <v>NM</v>
      </c>
      <c r="R26" s="80" t="str">
        <f t="shared" si="11"/>
        <v>NM</v>
      </c>
      <c r="S26" s="80" t="str">
        <f t="shared" si="11"/>
        <v>NM</v>
      </c>
      <c r="T26" s="80" t="str">
        <f t="shared" si="11"/>
        <v>NM</v>
      </c>
      <c r="U26" s="46"/>
      <c r="V26" s="46"/>
      <c r="W26" s="46"/>
      <c r="X26" s="46"/>
      <c r="Y26" s="46"/>
      <c r="AN26" s="46"/>
    </row>
    <row r="27" spans="1:40" x14ac:dyDescent="0.25">
      <c r="A27" s="46"/>
      <c r="B27" s="46" t="str">
        <f t="shared" si="12"/>
        <v>Shopify</v>
      </c>
      <c r="C27" s="46" t="str">
        <f>+C9</f>
        <v>SE</v>
      </c>
      <c r="D27" s="60"/>
      <c r="E27" s="58"/>
      <c r="F27" s="70">
        <f t="shared" si="9"/>
        <v>154007.25</v>
      </c>
      <c r="G27" s="69"/>
      <c r="H27" s="69"/>
      <c r="I27" s="69"/>
      <c r="J27" s="69"/>
      <c r="K27" s="70">
        <f t="shared" si="13"/>
        <v>159982.20000000001</v>
      </c>
      <c r="L27" s="80">
        <f t="shared" si="10"/>
        <v>19.481514856307843</v>
      </c>
      <c r="M27" s="80">
        <f t="shared" si="10"/>
        <v>21.945432098765433</v>
      </c>
      <c r="N27" s="80">
        <f t="shared" si="10"/>
        <v>16.788981005352085</v>
      </c>
      <c r="O27" s="80" t="str">
        <f t="shared" si="10"/>
        <v>NM</v>
      </c>
      <c r="P27" s="80" t="str">
        <f t="shared" si="10"/>
        <v>NM</v>
      </c>
      <c r="Q27" s="80" t="str">
        <f t="shared" si="10"/>
        <v>NM</v>
      </c>
      <c r="R27" s="80" t="str">
        <f t="shared" si="11"/>
        <v>NM</v>
      </c>
      <c r="S27" s="80" t="str">
        <f t="shared" si="11"/>
        <v>NM</v>
      </c>
      <c r="T27" s="80" t="str">
        <f t="shared" si="11"/>
        <v>NM</v>
      </c>
      <c r="U27" s="46"/>
      <c r="V27" s="46"/>
      <c r="W27" s="46"/>
      <c r="X27" s="46"/>
      <c r="Y27" s="46"/>
      <c r="AN27" s="46"/>
    </row>
    <row r="28" spans="1:40" x14ac:dyDescent="0.25">
      <c r="A28" s="46"/>
      <c r="B28" s="46" t="str">
        <f t="shared" si="12"/>
        <v>Alibaba</v>
      </c>
      <c r="C28" s="46" t="str">
        <f>+C12</f>
        <v>EBAY</v>
      </c>
      <c r="D28" s="60"/>
      <c r="E28" s="58"/>
      <c r="F28" s="70">
        <f t="shared" si="9"/>
        <v>255580.94399999999</v>
      </c>
      <c r="G28" s="69"/>
      <c r="H28" s="69"/>
      <c r="I28" s="69"/>
      <c r="J28" s="69"/>
      <c r="K28" s="70">
        <f t="shared" si="13"/>
        <v>313173.81400000001</v>
      </c>
      <c r="L28" s="80">
        <f t="shared" si="10"/>
        <v>2.2846037178535639</v>
      </c>
      <c r="M28" s="80">
        <f t="shared" si="10"/>
        <v>2.3280144360857542</v>
      </c>
      <c r="N28" s="80">
        <f t="shared" si="10"/>
        <v>2.4255448735052356</v>
      </c>
      <c r="O28" s="80">
        <f t="shared" si="10"/>
        <v>12.579705475078782</v>
      </c>
      <c r="P28" s="80">
        <f t="shared" si="10"/>
        <v>14.059689269252543</v>
      </c>
      <c r="Q28" s="80">
        <f t="shared" si="10"/>
        <v>14.801205085196752</v>
      </c>
      <c r="R28" s="80">
        <f t="shared" si="11"/>
        <v>20.772284107039802</v>
      </c>
      <c r="S28" s="80">
        <f t="shared" si="11"/>
        <v>26.157975246323947</v>
      </c>
      <c r="T28" s="80">
        <f t="shared" si="11"/>
        <v>23.715121187180628</v>
      </c>
      <c r="U28" s="46"/>
      <c r="V28" s="46"/>
      <c r="W28" s="46"/>
      <c r="X28" s="46"/>
      <c r="Y28" s="46"/>
      <c r="AN28" s="46"/>
    </row>
    <row r="29" spans="1:40" x14ac:dyDescent="0.25">
      <c r="A29" s="46"/>
      <c r="B29" s="46" t="str">
        <f>+B12</f>
        <v>eBay</v>
      </c>
      <c r="C29" s="46" t="str">
        <f>+C11</f>
        <v>BABA</v>
      </c>
      <c r="D29" s="60"/>
      <c r="E29" s="58"/>
      <c r="F29" s="70">
        <f t="shared" si="9"/>
        <v>34622.109999999993</v>
      </c>
      <c r="G29" s="69"/>
      <c r="H29" s="69"/>
      <c r="I29" s="69"/>
      <c r="J29" s="69"/>
      <c r="K29" s="70">
        <f t="shared" si="13"/>
        <v>40097.069999999992</v>
      </c>
      <c r="L29" s="80">
        <f t="shared" si="10"/>
        <v>3.9058123904149613</v>
      </c>
      <c r="M29" s="80">
        <f t="shared" si="10"/>
        <v>4.1529849818746758</v>
      </c>
      <c r="N29" s="80">
        <f t="shared" si="10"/>
        <v>3.9873776849641995</v>
      </c>
      <c r="O29" s="80">
        <f t="shared" si="10"/>
        <v>15.310068728522333</v>
      </c>
      <c r="P29" s="80">
        <f t="shared" si="10"/>
        <v>15.017629213483144</v>
      </c>
      <c r="Q29" s="80">
        <f t="shared" si="10"/>
        <v>16.433225409836062</v>
      </c>
      <c r="R29" s="80">
        <f t="shared" si="11"/>
        <v>17.139658415841581</v>
      </c>
      <c r="S29" s="80" t="str">
        <f t="shared" si="11"/>
        <v>NM</v>
      </c>
      <c r="T29" s="80">
        <f t="shared" si="11"/>
        <v>12.476436036036034</v>
      </c>
      <c r="U29" s="46"/>
      <c r="V29" s="46"/>
      <c r="W29" s="46"/>
      <c r="X29" s="46"/>
      <c r="Y29" s="46"/>
      <c r="AN29" s="46"/>
    </row>
    <row r="30" spans="1:40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AN30" s="46"/>
    </row>
    <row r="31" spans="1:40" x14ac:dyDescent="0.25">
      <c r="A31" s="46"/>
      <c r="B31" s="46" t="s">
        <v>59</v>
      </c>
      <c r="C31" s="46"/>
      <c r="D31" s="94"/>
      <c r="E31" s="94"/>
      <c r="F31" s="89">
        <f>MAX(F24:F29)</f>
        <v>2447093.5619999999</v>
      </c>
      <c r="G31" s="89"/>
      <c r="H31" s="89"/>
      <c r="I31" s="89"/>
      <c r="J31" s="89"/>
      <c r="K31" s="89">
        <f t="shared" ref="K31:T31" si="14">MAX(K24:K29)</f>
        <v>2539502.074</v>
      </c>
      <c r="L31" s="97">
        <f>MAX(L24:L29)</f>
        <v>19.481514856307843</v>
      </c>
      <c r="M31" s="97">
        <f>MAX(M24:M29)</f>
        <v>21.945432098765433</v>
      </c>
      <c r="N31" s="97">
        <f>MAX(N24:N29)</f>
        <v>16.788981005352085</v>
      </c>
      <c r="O31" s="97">
        <f>MAX(O24:O29)</f>
        <v>41.366114264651678</v>
      </c>
      <c r="P31" s="97">
        <f t="shared" si="14"/>
        <v>82.277322580645162</v>
      </c>
      <c r="Q31" s="97">
        <f t="shared" si="14"/>
        <v>50.393474629546475</v>
      </c>
      <c r="R31" s="97">
        <f t="shared" si="14"/>
        <v>71.268801670146132</v>
      </c>
      <c r="S31" s="97">
        <f>MAX(S24:S29)</f>
        <v>26.157975246323947</v>
      </c>
      <c r="T31" s="97">
        <f t="shared" si="14"/>
        <v>80.430355365653242</v>
      </c>
      <c r="U31" s="46"/>
      <c r="V31" s="46"/>
      <c r="W31" s="46"/>
      <c r="X31" s="46"/>
      <c r="Y31" s="46"/>
      <c r="AN31" s="46"/>
    </row>
    <row r="32" spans="1:40" x14ac:dyDescent="0.25">
      <c r="A32" s="46"/>
      <c r="B32" s="46" t="s">
        <v>60</v>
      </c>
      <c r="C32" s="46"/>
      <c r="D32" s="98"/>
      <c r="E32" s="98"/>
      <c r="F32" s="90">
        <f>QUARTILE(F24:F29,3)</f>
        <v>230187.52049999998</v>
      </c>
      <c r="G32" s="90"/>
      <c r="H32" s="90"/>
      <c r="I32" s="90"/>
      <c r="J32" s="90"/>
      <c r="K32" s="90">
        <f t="shared" ref="K32:T32" si="15">QUARTILE(K24:K29,3)</f>
        <v>274875.9105</v>
      </c>
      <c r="L32" s="97">
        <f>QUARTILE(L24:L29,3)</f>
        <v>5.898620716870461</v>
      </c>
      <c r="M32" s="97">
        <f t="shared" si="15"/>
        <v>9.6629164183864376</v>
      </c>
      <c r="N32" s="97">
        <f t="shared" si="15"/>
        <v>7.4105131928199759</v>
      </c>
      <c r="O32" s="97">
        <f t="shared" si="15"/>
        <v>27.410674901178112</v>
      </c>
      <c r="P32" s="97">
        <f t="shared" si="15"/>
        <v>54.929024603524695</v>
      </c>
      <c r="Q32" s="97">
        <f t="shared" si="15"/>
        <v>34.672805451851282</v>
      </c>
      <c r="R32" s="97">
        <f t="shared" si="15"/>
        <v>54.620765258717249</v>
      </c>
      <c r="S32" s="97">
        <f>QUARTILE(S24:S29,3)</f>
        <v>26.157975246323947</v>
      </c>
      <c r="T32" s="97">
        <f t="shared" si="15"/>
        <v>52.072738276416935</v>
      </c>
      <c r="U32" s="46"/>
      <c r="V32" s="46"/>
      <c r="W32" s="46"/>
      <c r="X32" s="46"/>
      <c r="Y32" s="46"/>
      <c r="AN32" s="46"/>
    </row>
    <row r="33" spans="1:40" x14ac:dyDescent="0.25">
      <c r="A33" s="46"/>
      <c r="B33" s="74" t="s">
        <v>61</v>
      </c>
      <c r="C33" s="74"/>
      <c r="D33" s="99"/>
      <c r="E33" s="99"/>
      <c r="F33" s="92">
        <f>MEDIAN(F24:F29)</f>
        <v>128210.25899999999</v>
      </c>
      <c r="G33" s="92"/>
      <c r="H33" s="92"/>
      <c r="I33" s="92"/>
      <c r="J33" s="92"/>
      <c r="K33" s="92">
        <f t="shared" ref="K33" si="16">MEDIAN(K24:K29)</f>
        <v>136104.234</v>
      </c>
      <c r="L33" s="100">
        <f t="shared" ref="L33:T33" si="17">MEDIAN(L24:L29)</f>
        <v>4.7419327897638102</v>
      </c>
      <c r="M33" s="100">
        <f t="shared" si="17"/>
        <v>5.8202197778320386</v>
      </c>
      <c r="N33" s="100">
        <f t="shared" si="17"/>
        <v>5.3988429037983785</v>
      </c>
      <c r="O33" s="100">
        <f t="shared" si="17"/>
        <v>19.034465254271293</v>
      </c>
      <c r="P33" s="100">
        <f t="shared" si="17"/>
        <v>30.415277245650508</v>
      </c>
      <c r="Q33" s="100">
        <f t="shared" si="17"/>
        <v>22.932903901227807</v>
      </c>
      <c r="R33" s="100">
        <f t="shared" si="17"/>
        <v>34.921851947640377</v>
      </c>
      <c r="S33" s="100">
        <f t="shared" si="17"/>
        <v>26.157975246323947</v>
      </c>
      <c r="T33" s="100">
        <f t="shared" si="17"/>
        <v>23.715121187180628</v>
      </c>
      <c r="U33" s="46"/>
      <c r="V33" s="46"/>
      <c r="W33" s="46"/>
      <c r="X33" s="46"/>
      <c r="Y33" s="46"/>
      <c r="AN33" s="46"/>
    </row>
    <row r="34" spans="1:40" x14ac:dyDescent="0.25">
      <c r="A34" s="46"/>
      <c r="B34" s="46" t="s">
        <v>62</v>
      </c>
      <c r="C34" s="48"/>
      <c r="D34" s="98"/>
      <c r="E34" s="98"/>
      <c r="F34" s="90">
        <f>QUARTILE(F24:F29,1)</f>
        <v>80697.537000000011</v>
      </c>
      <c r="G34" s="90"/>
      <c r="H34" s="90"/>
      <c r="I34" s="90"/>
      <c r="J34" s="90"/>
      <c r="K34" s="90">
        <f t="shared" ref="K34:T34" si="18">QUARTILE(K24:K29,1)</f>
        <v>90644.329500000007</v>
      </c>
      <c r="L34" s="97">
        <f>QUARTILE(L24:L29,1)</f>
        <v>3.9531407032619668</v>
      </c>
      <c r="M34" s="97">
        <f>QUARTILE(M24:M29,1)</f>
        <v>4.3499459679681403</v>
      </c>
      <c r="N34" s="97">
        <f>QUARTILE(N24:N29,1)</f>
        <v>4.0950776037807364</v>
      </c>
      <c r="O34" s="97">
        <f>QUARTILE(O24:O29,1)</f>
        <v>14.627477915161446</v>
      </c>
      <c r="P34" s="97">
        <f>QUARTILE(P24:P29,1)</f>
        <v>14.778144227425493</v>
      </c>
      <c r="Q34" s="97">
        <f t="shared" si="18"/>
        <v>16.025220328676234</v>
      </c>
      <c r="R34" s="97">
        <f t="shared" si="18"/>
        <v>19.864127684240245</v>
      </c>
      <c r="S34" s="97">
        <f>QUARTILE(S24:S29,1)</f>
        <v>26.157975246323947</v>
      </c>
      <c r="T34" s="97">
        <f t="shared" si="18"/>
        <v>18.095778611608331</v>
      </c>
      <c r="U34" s="46"/>
      <c r="V34" s="46"/>
      <c r="W34" s="46"/>
      <c r="X34" s="46"/>
      <c r="Y34" s="46"/>
      <c r="AN34" s="46"/>
    </row>
    <row r="35" spans="1:40" x14ac:dyDescent="0.25">
      <c r="A35" s="46"/>
      <c r="B35" s="46" t="s">
        <v>63</v>
      </c>
      <c r="C35" s="48"/>
      <c r="D35" s="98"/>
      <c r="E35" s="98"/>
      <c r="F35" s="90">
        <f>MIN(F24:F29)</f>
        <v>34622.109999999993</v>
      </c>
      <c r="G35" s="90"/>
      <c r="H35" s="90"/>
      <c r="I35" s="90"/>
      <c r="J35" s="90"/>
      <c r="K35" s="90">
        <f t="shared" ref="K35:T35" si="19">MIN(K24:K29)</f>
        <v>40097.069999999992</v>
      </c>
      <c r="L35" s="97">
        <f t="shared" si="19"/>
        <v>2.2846037178535639</v>
      </c>
      <c r="M35" s="97">
        <f t="shared" si="19"/>
        <v>2.3280144360857542</v>
      </c>
      <c r="N35" s="97">
        <f t="shared" si="19"/>
        <v>2.4255448735052356</v>
      </c>
      <c r="O35" s="97">
        <f t="shared" si="19"/>
        <v>12.579705475078782</v>
      </c>
      <c r="P35" s="97">
        <f t="shared" si="19"/>
        <v>14.059689269252543</v>
      </c>
      <c r="Q35" s="97">
        <f t="shared" si="19"/>
        <v>14.801205085196752</v>
      </c>
      <c r="R35" s="97">
        <f t="shared" si="19"/>
        <v>17.139658415841581</v>
      </c>
      <c r="S35" s="97">
        <f>MIN(S24:S29)</f>
        <v>26.157975246323947</v>
      </c>
      <c r="T35" s="97">
        <f t="shared" si="19"/>
        <v>12.476436036036034</v>
      </c>
      <c r="U35" s="46"/>
      <c r="V35" s="46"/>
      <c r="W35" s="46"/>
      <c r="X35" s="46"/>
      <c r="Y35" s="46"/>
      <c r="AN35" s="46"/>
    </row>
    <row r="36" spans="1:40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AN36" s="46"/>
    </row>
    <row r="37" spans="1:40" x14ac:dyDescent="0.25">
      <c r="A37" s="46"/>
      <c r="B37" s="73" t="str">
        <f>B20</f>
        <v>XYZ Company</v>
      </c>
      <c r="C37" s="73" t="str">
        <f>+C20</f>
        <v>XYZC</v>
      </c>
      <c r="D37" s="101"/>
      <c r="E37" s="101"/>
      <c r="F37" s="102">
        <f>+F20</f>
        <v>1377</v>
      </c>
      <c r="G37" s="102"/>
      <c r="H37" s="102"/>
      <c r="I37" s="102"/>
      <c r="J37" s="102"/>
      <c r="K37" s="102">
        <f>+K20</f>
        <v>1547</v>
      </c>
      <c r="L37" s="103">
        <f>IFERROR(IF(OR(+$K20/L20&lt;0,+$K20/L20&gt;=100),"NM",+$K20/L20),"N/A")</f>
        <v>3.0939999999999999</v>
      </c>
      <c r="M37" s="103">
        <f>IFERROR(IF(OR(+$K20/M20&lt;0,+$K20/M20&gt;=100),"NM",+$K20/M20),"-")</f>
        <v>3.597674418604651</v>
      </c>
      <c r="N37" s="103">
        <f>IFERROR(IF(OR(+$K20/N20&lt;0,+$K20/N20&gt;=100),"NM",+$K20/N20),"-")</f>
        <v>3.3268817204301073</v>
      </c>
      <c r="O37" s="103">
        <f>IFERROR(IF(OR(+$K20/O20&lt;0,+$K20/O20&gt;=100),"NM",+$K20/O20),"N/A")</f>
        <v>12.375999999999999</v>
      </c>
      <c r="P37" s="103">
        <f>IFERROR(IF(OR(+$K20/P20&lt;0,+$K20/P20&gt;=100),"NM",+$K20/P20),"-")</f>
        <v>15.47</v>
      </c>
      <c r="Q37" s="103">
        <f>IFERROR(IF(OR(+$K20/Q20&lt;0,+$K20/Q20&gt;=100),"NM",+$K20/Q20),"-")</f>
        <v>14.063636363636364</v>
      </c>
      <c r="R37" s="103">
        <f>IFERROR(IF(OR(+$F20/R20&lt;0,+$F20/R20&gt;=100),"NM",+$F20/R20),"-")</f>
        <v>23.22091062394604</v>
      </c>
      <c r="S37" s="103">
        <f>IFERROR(IF(OR(+$F20/S20&lt;0,+$F20/S20&gt;=100),"NM",+$F20/S20),"-")</f>
        <v>30.6</v>
      </c>
      <c r="T37" s="103">
        <f>IFERROR(IF(OR(+$F20/T20&lt;0,+$F20/T20&gt;=100),"NM",+$F20/T20),"-")</f>
        <v>27.54</v>
      </c>
      <c r="U37" s="46"/>
      <c r="V37" s="46"/>
      <c r="W37" s="46"/>
      <c r="X37" s="46"/>
      <c r="Y37" s="46"/>
      <c r="AN37" s="46"/>
    </row>
    <row r="38" spans="1:40" ht="14.45" customHeight="1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65"/>
      <c r="S38" s="46"/>
      <c r="T38" s="46"/>
      <c r="U38" s="46"/>
      <c r="V38" s="46"/>
      <c r="W38" s="46"/>
      <c r="X38" s="46"/>
      <c r="Y38" s="46"/>
      <c r="AN38" s="46"/>
    </row>
    <row r="39" spans="1:40" x14ac:dyDescent="0.25">
      <c r="A39" s="46"/>
      <c r="B39" s="49"/>
      <c r="C39" s="68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AN39" s="46"/>
    </row>
    <row r="40" spans="1:40" x14ac:dyDescent="0.25">
      <c r="A40" s="46"/>
      <c r="U40" s="46"/>
      <c r="V40" s="46"/>
      <c r="W40" s="46"/>
      <c r="X40" s="46"/>
      <c r="Y40" s="46"/>
      <c r="AN40" s="46"/>
    </row>
    <row r="41" spans="1:40" x14ac:dyDescent="0.25">
      <c r="AN41" s="46"/>
    </row>
    <row r="42" spans="1:40" x14ac:dyDescent="0.25">
      <c r="AN42" s="46"/>
    </row>
    <row r="46" spans="1:40" x14ac:dyDescent="0.25">
      <c r="E46" s="66"/>
      <c r="F46" s="66"/>
      <c r="G46" s="66"/>
      <c r="H46" s="66"/>
      <c r="I46" s="66"/>
    </row>
  </sheetData>
  <pageMargins left="0.7" right="0.7" top="0.75" bottom="0.75" header="0.3" footer="0.3"/>
  <pageSetup scale="3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31B6-D755-4EBA-B301-450134529155}">
  <sheetPr>
    <pageSetUpPr autoPageBreaks="0"/>
  </sheetPr>
  <dimension ref="B1:I36"/>
  <sheetViews>
    <sheetView showGridLines="0" zoomScaleNormal="100" workbookViewId="0">
      <selection activeCell="D26" sqref="D26"/>
    </sheetView>
  </sheetViews>
  <sheetFormatPr defaultRowHeight="15" x14ac:dyDescent="0.25"/>
  <cols>
    <col min="1" max="1" width="2.7109375" customWidth="1"/>
    <col min="2" max="2" width="17.85546875" customWidth="1"/>
    <col min="3" max="3" width="18" customWidth="1"/>
    <col min="4" max="9" width="16.7109375" customWidth="1"/>
    <col min="10" max="10" width="2.7109375" customWidth="1"/>
  </cols>
  <sheetData>
    <row r="1" spans="2:9" ht="18.75" x14ac:dyDescent="0.3">
      <c r="B1" s="1" t="s">
        <v>11</v>
      </c>
    </row>
    <row r="2" spans="2:9" x14ac:dyDescent="0.25">
      <c r="B2" s="2" t="s">
        <v>83</v>
      </c>
    </row>
    <row r="3" spans="2:9" x14ac:dyDescent="0.25">
      <c r="B3" s="3" t="s">
        <v>97</v>
      </c>
    </row>
    <row r="5" spans="2:9" x14ac:dyDescent="0.25">
      <c r="B5" s="55" t="s">
        <v>64</v>
      </c>
      <c r="C5" s="55" t="s">
        <v>65</v>
      </c>
      <c r="D5" s="55" t="s">
        <v>66</v>
      </c>
      <c r="E5" s="55" t="s">
        <v>102</v>
      </c>
      <c r="F5" s="55" t="s">
        <v>101</v>
      </c>
      <c r="G5" s="55" t="s">
        <v>100</v>
      </c>
      <c r="H5" s="55" t="s">
        <v>98</v>
      </c>
      <c r="I5" s="55" t="s">
        <v>99</v>
      </c>
    </row>
    <row r="6" spans="2:9" x14ac:dyDescent="0.25">
      <c r="B6" t="s">
        <v>69</v>
      </c>
      <c r="C6" s="81" t="s">
        <v>93</v>
      </c>
      <c r="D6" s="82">
        <v>44114</v>
      </c>
      <c r="E6" s="96">
        <v>580</v>
      </c>
      <c r="F6" s="96">
        <v>500</v>
      </c>
      <c r="G6" s="96">
        <v>20</v>
      </c>
      <c r="H6" s="63">
        <f t="shared" ref="H6:I15" si="0">IFERROR(IF(OR(+$E6/F6&lt;0,+$E6/F6&gt;=100),"NM",+$E6/F6),"N/A")</f>
        <v>1.1599999999999999</v>
      </c>
      <c r="I6" s="63">
        <f t="shared" ref="I6:I13" si="1">IFERROR(IF(OR(+$E6/G6&lt;0,+$E6/G6&gt;=100),"NM",+$E6/G6),"N/A")</f>
        <v>29</v>
      </c>
    </row>
    <row r="7" spans="2:9" x14ac:dyDescent="0.25">
      <c r="B7" t="s">
        <v>72</v>
      </c>
      <c r="C7" s="81" t="s">
        <v>92</v>
      </c>
      <c r="D7" s="82">
        <v>44023</v>
      </c>
      <c r="E7" s="96">
        <v>1200</v>
      </c>
      <c r="F7" s="96">
        <v>800</v>
      </c>
      <c r="G7" s="96">
        <v>50</v>
      </c>
      <c r="H7" s="63">
        <f t="shared" si="0"/>
        <v>1.5</v>
      </c>
      <c r="I7" s="63">
        <f t="shared" si="1"/>
        <v>24</v>
      </c>
    </row>
    <row r="8" spans="2:9" x14ac:dyDescent="0.25">
      <c r="B8" t="s">
        <v>73</v>
      </c>
      <c r="C8" s="81" t="s">
        <v>95</v>
      </c>
      <c r="D8" s="82">
        <v>44024</v>
      </c>
      <c r="E8" s="96">
        <v>1000</v>
      </c>
      <c r="F8" s="96">
        <v>450</v>
      </c>
      <c r="G8" s="96">
        <v>30</v>
      </c>
      <c r="H8" s="63">
        <f t="shared" si="0"/>
        <v>2.2222222222222223</v>
      </c>
      <c r="I8" s="63">
        <f t="shared" si="1"/>
        <v>33.333333333333336</v>
      </c>
    </row>
    <row r="9" spans="2:9" x14ac:dyDescent="0.25">
      <c r="B9" t="s">
        <v>85</v>
      </c>
      <c r="C9" s="81" t="s">
        <v>96</v>
      </c>
      <c r="D9" s="82">
        <v>43843</v>
      </c>
      <c r="E9" s="96">
        <v>16000</v>
      </c>
      <c r="F9" s="96">
        <v>4600</v>
      </c>
      <c r="G9" s="96">
        <v>500</v>
      </c>
      <c r="H9" s="63">
        <f t="shared" si="0"/>
        <v>3.4782608695652173</v>
      </c>
      <c r="I9" s="63">
        <f t="shared" si="1"/>
        <v>32</v>
      </c>
    </row>
    <row r="10" spans="2:9" x14ac:dyDescent="0.25">
      <c r="B10" t="s">
        <v>68</v>
      </c>
      <c r="C10" s="81" t="s">
        <v>86</v>
      </c>
      <c r="D10" s="82">
        <v>45183</v>
      </c>
      <c r="E10" s="96">
        <v>105</v>
      </c>
      <c r="F10" s="96">
        <v>80</v>
      </c>
      <c r="G10" s="96">
        <v>5</v>
      </c>
      <c r="H10" s="63">
        <f t="shared" si="0"/>
        <v>1.3125</v>
      </c>
      <c r="I10" s="63">
        <f t="shared" si="1"/>
        <v>21</v>
      </c>
    </row>
    <row r="11" spans="2:9" x14ac:dyDescent="0.25">
      <c r="B11" t="s">
        <v>70</v>
      </c>
      <c r="C11" s="81" t="s">
        <v>87</v>
      </c>
      <c r="D11" s="82">
        <v>45122</v>
      </c>
      <c r="E11" s="96">
        <v>2100</v>
      </c>
      <c r="F11" s="96">
        <v>650</v>
      </c>
      <c r="G11" s="96">
        <v>25</v>
      </c>
      <c r="H11" s="63">
        <f t="shared" si="0"/>
        <v>3.2307692307692308</v>
      </c>
      <c r="I11" s="63">
        <f t="shared" si="1"/>
        <v>84</v>
      </c>
    </row>
    <row r="12" spans="2:9" x14ac:dyDescent="0.25">
      <c r="B12" t="s">
        <v>88</v>
      </c>
      <c r="C12" s="81" t="s">
        <v>89</v>
      </c>
      <c r="D12" s="82">
        <v>44332</v>
      </c>
      <c r="E12" s="96">
        <v>1000</v>
      </c>
      <c r="F12" s="96">
        <v>250</v>
      </c>
      <c r="G12" s="96">
        <v>100</v>
      </c>
      <c r="H12" s="63">
        <f t="shared" si="0"/>
        <v>4</v>
      </c>
      <c r="I12" s="63">
        <f t="shared" si="1"/>
        <v>10</v>
      </c>
    </row>
    <row r="13" spans="2:9" x14ac:dyDescent="0.25">
      <c r="B13" t="s">
        <v>73</v>
      </c>
      <c r="C13" s="81" t="s">
        <v>90</v>
      </c>
      <c r="D13" s="82">
        <v>44547</v>
      </c>
      <c r="E13" s="96">
        <v>1400</v>
      </c>
      <c r="F13" s="96">
        <v>600</v>
      </c>
      <c r="G13" s="96">
        <v>200</v>
      </c>
      <c r="H13" s="63">
        <f t="shared" si="0"/>
        <v>2.3333333333333335</v>
      </c>
      <c r="I13" s="63">
        <f t="shared" si="1"/>
        <v>7</v>
      </c>
    </row>
    <row r="14" spans="2:9" x14ac:dyDescent="0.25">
      <c r="B14" t="s">
        <v>69</v>
      </c>
      <c r="C14" s="81" t="s">
        <v>94</v>
      </c>
      <c r="D14" s="82">
        <v>45491</v>
      </c>
      <c r="E14" s="96">
        <v>1700</v>
      </c>
      <c r="F14" s="96">
        <v>1500</v>
      </c>
      <c r="G14" s="96">
        <v>100</v>
      </c>
      <c r="H14" s="63">
        <f t="shared" si="0"/>
        <v>1.1333333333333333</v>
      </c>
      <c r="I14" s="63">
        <f t="shared" si="0"/>
        <v>17</v>
      </c>
    </row>
    <row r="15" spans="2:9" x14ac:dyDescent="0.25">
      <c r="B15" s="15" t="s">
        <v>68</v>
      </c>
      <c r="C15" s="132" t="s">
        <v>91</v>
      </c>
      <c r="D15" s="133">
        <v>45584</v>
      </c>
      <c r="E15" s="134">
        <v>863</v>
      </c>
      <c r="F15" s="134">
        <v>750</v>
      </c>
      <c r="G15" s="134">
        <v>60</v>
      </c>
      <c r="H15" s="64">
        <f t="shared" si="0"/>
        <v>1.1506666666666667</v>
      </c>
      <c r="I15" s="64">
        <f t="shared" si="0"/>
        <v>14.383333333333333</v>
      </c>
    </row>
    <row r="16" spans="2:9" x14ac:dyDescent="0.25">
      <c r="E16" s="83"/>
    </row>
    <row r="17" spans="2:9" x14ac:dyDescent="0.25">
      <c r="C17" s="46" t="s">
        <v>59</v>
      </c>
      <c r="D17" s="88"/>
      <c r="E17" s="70">
        <f>MAX(E6:E15)</f>
        <v>16000</v>
      </c>
      <c r="F17" s="70">
        <f>MAX(F6:F15)</f>
        <v>4600</v>
      </c>
      <c r="G17" s="70">
        <f>MAX(G6:G15)</f>
        <v>500</v>
      </c>
      <c r="H17" s="63">
        <f>MAX(H6:H15)</f>
        <v>4</v>
      </c>
      <c r="I17" s="63">
        <f>MAX(I6:I15)</f>
        <v>84</v>
      </c>
    </row>
    <row r="18" spans="2:9" x14ac:dyDescent="0.25">
      <c r="C18" s="46" t="s">
        <v>60</v>
      </c>
      <c r="D18" s="88"/>
      <c r="E18" s="70">
        <f>QUARTILE(E6:E15,3)</f>
        <v>1625</v>
      </c>
      <c r="F18" s="70">
        <f>QUARTILE(F6:F15,3)</f>
        <v>787.5</v>
      </c>
      <c r="G18" s="70">
        <f>QUARTILE(G6:G15,3)</f>
        <v>100</v>
      </c>
      <c r="H18" s="63">
        <f>QUARTILE(H6:H15,3)</f>
        <v>3.0064102564102564</v>
      </c>
      <c r="I18" s="63">
        <f>QUARTILE(I6:I15,3)</f>
        <v>31.25</v>
      </c>
    </row>
    <row r="19" spans="2:9" x14ac:dyDescent="0.25">
      <c r="C19" s="74" t="s">
        <v>61</v>
      </c>
      <c r="D19" s="91"/>
      <c r="E19" s="95">
        <f>MEDIAN(E6:E15)</f>
        <v>1100</v>
      </c>
      <c r="F19" s="95">
        <f>MEDIAN(F6:F15)</f>
        <v>625</v>
      </c>
      <c r="G19" s="95">
        <f>MEDIAN(G6:G15)</f>
        <v>55</v>
      </c>
      <c r="H19" s="93">
        <f>MEDIAN(H6:H15)</f>
        <v>1.8611111111111112</v>
      </c>
      <c r="I19" s="93">
        <f>MEDIAN(I6:I15)</f>
        <v>22.5</v>
      </c>
    </row>
    <row r="20" spans="2:9" x14ac:dyDescent="0.25">
      <c r="C20" s="46" t="s">
        <v>62</v>
      </c>
      <c r="D20" s="88"/>
      <c r="E20" s="70">
        <f>QUARTILE(E6:E15,1)</f>
        <v>897.25</v>
      </c>
      <c r="F20" s="70">
        <f>QUARTILE(F6:F15,1)</f>
        <v>462.5</v>
      </c>
      <c r="G20" s="70">
        <f>QUARTILE(G6:G15,1)</f>
        <v>26.25</v>
      </c>
      <c r="H20" s="63">
        <f>QUARTILE(H6:H15,1)</f>
        <v>1.1981249999999999</v>
      </c>
      <c r="I20" s="63">
        <f>QUARTILE(I6:I15,1)</f>
        <v>15.0375</v>
      </c>
    </row>
    <row r="21" spans="2:9" x14ac:dyDescent="0.25">
      <c r="C21" s="46" t="s">
        <v>63</v>
      </c>
      <c r="D21" s="88"/>
      <c r="E21" s="70">
        <f>MIN(E6:E15)</f>
        <v>105</v>
      </c>
      <c r="F21" s="70">
        <f>MIN(F6:F15)</f>
        <v>80</v>
      </c>
      <c r="G21" s="70">
        <f>MIN(G6:G15)</f>
        <v>5</v>
      </c>
      <c r="H21" s="63">
        <f>MIN(H6:H15)</f>
        <v>1.1333333333333333</v>
      </c>
      <c r="I21" s="63">
        <f>MIN(I6:I15)</f>
        <v>7</v>
      </c>
    </row>
    <row r="27" spans="2:9" x14ac:dyDescent="0.25">
      <c r="B27" s="84"/>
      <c r="C27" s="84"/>
      <c r="D27" s="85"/>
      <c r="E27" s="86"/>
      <c r="F27" s="84"/>
      <c r="G27" s="84"/>
      <c r="H27" s="84"/>
      <c r="I27" s="84"/>
    </row>
    <row r="28" spans="2:9" x14ac:dyDescent="0.25">
      <c r="B28" s="84"/>
      <c r="C28" s="84"/>
      <c r="D28" s="85"/>
      <c r="E28" s="87"/>
      <c r="F28" s="84"/>
      <c r="G28" s="84"/>
      <c r="H28" s="84"/>
      <c r="I28" s="84"/>
    </row>
    <row r="29" spans="2:9" x14ac:dyDescent="0.25">
      <c r="B29" s="84"/>
      <c r="C29" s="84"/>
      <c r="D29" s="85"/>
      <c r="E29" s="87"/>
      <c r="F29" s="84"/>
      <c r="G29" s="84"/>
      <c r="H29" s="84"/>
      <c r="I29" s="84"/>
    </row>
    <row r="30" spans="2:9" x14ac:dyDescent="0.25">
      <c r="B30" s="84"/>
      <c r="C30" s="84"/>
      <c r="D30" s="85"/>
      <c r="E30" s="87"/>
      <c r="F30" s="84"/>
      <c r="G30" s="84"/>
      <c r="H30" s="84"/>
      <c r="I30" s="84"/>
    </row>
    <row r="31" spans="2:9" x14ac:dyDescent="0.25">
      <c r="B31" s="84"/>
      <c r="C31" s="84"/>
      <c r="D31" s="85"/>
      <c r="E31" s="86"/>
      <c r="F31" s="84"/>
      <c r="G31" s="84"/>
      <c r="H31" s="84"/>
      <c r="I31" s="84"/>
    </row>
    <row r="32" spans="2:9" x14ac:dyDescent="0.25">
      <c r="B32" s="84"/>
      <c r="C32" s="84"/>
      <c r="D32" s="85"/>
      <c r="E32" s="87"/>
      <c r="F32" s="84"/>
      <c r="G32" s="84"/>
      <c r="H32" s="84"/>
      <c r="I32" s="84"/>
    </row>
    <row r="33" spans="2:9" x14ac:dyDescent="0.25">
      <c r="B33" s="84"/>
      <c r="C33" s="84"/>
      <c r="D33" s="85"/>
      <c r="E33" s="87"/>
      <c r="F33" s="84"/>
      <c r="G33" s="84"/>
      <c r="H33" s="84"/>
      <c r="I33" s="84"/>
    </row>
    <row r="34" spans="2:9" x14ac:dyDescent="0.25">
      <c r="B34" s="84"/>
      <c r="C34" s="84"/>
      <c r="D34" s="85"/>
      <c r="E34" s="87"/>
      <c r="F34" s="84"/>
      <c r="G34" s="84"/>
      <c r="H34" s="84"/>
      <c r="I34" s="84"/>
    </row>
    <row r="35" spans="2:9" x14ac:dyDescent="0.25">
      <c r="B35" s="84"/>
      <c r="C35" s="84"/>
      <c r="D35" s="85"/>
      <c r="E35" s="87"/>
      <c r="F35" s="84"/>
      <c r="G35" s="84"/>
      <c r="H35" s="84"/>
      <c r="I35" s="84"/>
    </row>
    <row r="36" spans="2:9" x14ac:dyDescent="0.25">
      <c r="B36" s="84"/>
      <c r="C36" s="84"/>
      <c r="D36" s="85"/>
      <c r="E36" s="86"/>
      <c r="F36" s="84"/>
      <c r="G36" s="84"/>
      <c r="H36" s="84"/>
      <c r="I36" s="84"/>
    </row>
  </sheetData>
  <pageMargins left="0.7" right="0.7" top="0.75" bottom="0.75" header="0.3" footer="0.3"/>
  <pageSetup scale="45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5430-05EC-4847-838A-7B5D6F704F81}">
  <dimension ref="B2:M35"/>
  <sheetViews>
    <sheetView showGridLines="0" workbookViewId="0">
      <selection activeCell="I30" sqref="I30"/>
    </sheetView>
  </sheetViews>
  <sheetFormatPr defaultRowHeight="15" x14ac:dyDescent="0.25"/>
  <cols>
    <col min="1" max="1" width="2.7109375" customWidth="1"/>
    <col min="2" max="2" width="34.42578125" customWidth="1"/>
    <col min="3" max="3" width="10.28515625" bestFit="1" customWidth="1"/>
    <col min="4" max="4" width="10.5703125" bestFit="1" customWidth="1"/>
    <col min="5" max="5" width="9.5703125" bestFit="1" customWidth="1"/>
    <col min="6" max="6" width="10.5703125" bestFit="1" customWidth="1"/>
    <col min="7" max="7" width="9.85546875" bestFit="1" customWidth="1"/>
    <col min="8" max="8" width="12.28515625" customWidth="1"/>
    <col min="9" max="9" width="9.85546875" bestFit="1" customWidth="1"/>
    <col min="10" max="10" width="10.5703125" bestFit="1" customWidth="1"/>
    <col min="11" max="11" width="9.5703125" bestFit="1" customWidth="1"/>
    <col min="12" max="13" width="10.5703125" bestFit="1" customWidth="1"/>
    <col min="14" max="14" width="8.140625" bestFit="1" customWidth="1"/>
  </cols>
  <sheetData>
    <row r="2" spans="2:13" x14ac:dyDescent="0.25">
      <c r="B2" s="52"/>
      <c r="C2" s="108" t="s">
        <v>132</v>
      </c>
      <c r="D2" s="108"/>
      <c r="E2" s="108"/>
      <c r="F2" s="108"/>
      <c r="G2" s="51"/>
      <c r="H2" s="53"/>
      <c r="I2" s="108" t="s">
        <v>131</v>
      </c>
      <c r="J2" s="108"/>
      <c r="K2" s="108"/>
      <c r="L2" s="108"/>
      <c r="M2" s="108"/>
    </row>
    <row r="3" spans="2:13" x14ac:dyDescent="0.25">
      <c r="B3" s="52"/>
      <c r="C3" s="53"/>
      <c r="D3" s="53" t="s">
        <v>123</v>
      </c>
      <c r="E3" s="53"/>
      <c r="F3" s="53" t="s">
        <v>124</v>
      </c>
      <c r="G3" s="51"/>
      <c r="H3" s="53" t="s">
        <v>125</v>
      </c>
      <c r="I3" s="53"/>
      <c r="J3" s="53" t="s">
        <v>124</v>
      </c>
      <c r="K3" s="53"/>
      <c r="L3" s="53" t="s">
        <v>123</v>
      </c>
      <c r="M3" s="53"/>
    </row>
    <row r="4" spans="2:13" x14ac:dyDescent="0.25">
      <c r="B4" s="52"/>
      <c r="C4" s="53" t="s">
        <v>59</v>
      </c>
      <c r="D4" s="53" t="s">
        <v>126</v>
      </c>
      <c r="E4" s="53" t="s">
        <v>61</v>
      </c>
      <c r="F4" s="53" t="s">
        <v>126</v>
      </c>
      <c r="G4" s="53" t="s">
        <v>63</v>
      </c>
      <c r="H4" s="53" t="s">
        <v>127</v>
      </c>
      <c r="I4" s="53" t="s">
        <v>63</v>
      </c>
      <c r="J4" s="53" t="s">
        <v>126</v>
      </c>
      <c r="K4" s="53" t="s">
        <v>61</v>
      </c>
      <c r="L4" s="53" t="s">
        <v>126</v>
      </c>
      <c r="M4" s="53" t="s">
        <v>59</v>
      </c>
    </row>
    <row r="5" spans="2:13" x14ac:dyDescent="0.25">
      <c r="B5" s="54" t="s">
        <v>130</v>
      </c>
      <c r="C5" s="55" t="s">
        <v>128</v>
      </c>
      <c r="D5" s="55" t="s">
        <v>128</v>
      </c>
      <c r="E5" s="55" t="s">
        <v>128</v>
      </c>
      <c r="F5" s="55" t="s">
        <v>128</v>
      </c>
      <c r="G5" s="55" t="s">
        <v>128</v>
      </c>
      <c r="H5" s="55" t="s">
        <v>129</v>
      </c>
      <c r="I5" s="55" t="s">
        <v>128</v>
      </c>
      <c r="J5" s="55" t="s">
        <v>128</v>
      </c>
      <c r="K5" s="55" t="s">
        <v>128</v>
      </c>
      <c r="L5" s="55" t="s">
        <v>128</v>
      </c>
      <c r="M5" s="55" t="s">
        <v>128</v>
      </c>
    </row>
    <row r="6" spans="2:13" x14ac:dyDescent="0.25">
      <c r="B6" s="2" t="s">
        <v>103</v>
      </c>
    </row>
    <row r="7" spans="2:13" x14ac:dyDescent="0.25">
      <c r="B7" s="136" t="s">
        <v>111</v>
      </c>
      <c r="C7" s="114" cm="1">
        <f t="array" ref="C7:G15">TRANSPOSE('Public-Comps'!L31:T35)</f>
        <v>19.481514856307843</v>
      </c>
      <c r="D7" s="114">
        <v>5.898620716870461</v>
      </c>
      <c r="E7" s="114">
        <v>4.7419327897638102</v>
      </c>
      <c r="F7" s="114">
        <v>3.9531407032619668</v>
      </c>
      <c r="G7" s="114">
        <v>2.2846037178535639</v>
      </c>
      <c r="H7" s="115" cm="1">
        <f t="array" ref="H7:H15">TRANSPOSE('Public-Comps'!L20:T20)</f>
        <v>500</v>
      </c>
      <c r="I7" s="137">
        <f>(+I22+SUM($E$22:$E$29))/'Public-Comps'!$E$20</f>
        <v>24.947095273074154</v>
      </c>
      <c r="J7" s="137">
        <f>(+J22+SUM($E$22:$E$29))/'Public-Comps'!$E$20</f>
        <v>41.305301012372219</v>
      </c>
      <c r="K7" s="137">
        <f>(+K22+SUM($E$22:$E$29))/'Public-Comps'!$E$20</f>
        <v>49.0385567623903</v>
      </c>
      <c r="L7" s="137">
        <f>(+L22+SUM($E$22:$E$29))/'Public-Comps'!$E$20</f>
        <v>60.378634479122169</v>
      </c>
      <c r="M7" s="137">
        <f>(+M22+SUM($E$22:$E$29))/'Public-Comps'!$E$20</f>
        <v>193.54426329713573</v>
      </c>
    </row>
    <row r="8" spans="2:13" x14ac:dyDescent="0.25">
      <c r="B8" s="136" t="s">
        <v>110</v>
      </c>
      <c r="C8" s="114">
        <v>21.945432098765433</v>
      </c>
      <c r="D8" s="114">
        <v>9.6629164183864376</v>
      </c>
      <c r="E8" s="114">
        <v>5.8202197778320386</v>
      </c>
      <c r="F8" s="114">
        <v>4.3499459679681403</v>
      </c>
      <c r="G8" s="114">
        <v>2.3280144360857542</v>
      </c>
      <c r="H8" s="115">
        <v>430</v>
      </c>
      <c r="I8" s="137">
        <f>(+I23+SUM($E$22:$E$29))/'Public-Comps'!$E$20</f>
        <v>22.177376617977927</v>
      </c>
      <c r="J8" s="137">
        <f>(+J23+SUM($E$22:$E$29))/'Public-Comps'!$E$20</f>
        <v>39.225034631888242</v>
      </c>
      <c r="K8" s="137">
        <f>(+K23+SUM($E$22:$E$29))/'Public-Comps'!$E$20</f>
        <v>51.621460871917186</v>
      </c>
      <c r="L8" s="137">
        <f>(+L23+SUM($E$22:$E$29))/'Public-Comps'!$E$20</f>
        <v>84.02066784129741</v>
      </c>
      <c r="M8" s="137">
        <f>(+M23+SUM($E$22:$E$29))/'Public-Comps'!$E$20</f>
        <v>187.57913338174777</v>
      </c>
    </row>
    <row r="9" spans="2:13" x14ac:dyDescent="0.25">
      <c r="B9" s="136" t="s">
        <v>112</v>
      </c>
      <c r="C9" s="114">
        <v>16.788981005352085</v>
      </c>
      <c r="D9" s="114">
        <v>7.4105131928199759</v>
      </c>
      <c r="E9" s="114">
        <v>5.3988429037983785</v>
      </c>
      <c r="F9" s="114">
        <v>4.0950776037807364</v>
      </c>
      <c r="G9" s="114">
        <v>2.4255448735052356</v>
      </c>
      <c r="H9" s="115">
        <v>465</v>
      </c>
      <c r="I9" s="137">
        <f>(+I24+SUM($E$22:$E$29))/'Public-Comps'!$E$20</f>
        <v>24.664281689802639</v>
      </c>
      <c r="J9" s="137">
        <f>(+J24+SUM($E$22:$E$29))/'Public-Comps'!$E$20</f>
        <v>39.886491877608677</v>
      </c>
      <c r="K9" s="137">
        <f>(+K24+SUM($E$22:$E$29))/'Public-Comps'!$E$20</f>
        <v>51.773763730710705</v>
      </c>
      <c r="L9" s="137">
        <f>(+L24+SUM($E$22:$E$29))/'Public-Comps'!$E$20</f>
        <v>70.115463424731161</v>
      </c>
      <c r="M9" s="137">
        <f>(+M24+SUM($E$22:$E$29))/'Public-Comps'!$E$20</f>
        <v>155.62502289193566</v>
      </c>
    </row>
    <row r="10" spans="2:13" x14ac:dyDescent="0.25">
      <c r="B10" s="136" t="s">
        <v>113</v>
      </c>
      <c r="C10" s="114">
        <v>41.366114264651678</v>
      </c>
      <c r="D10" s="114">
        <v>27.410674901178112</v>
      </c>
      <c r="E10" s="114">
        <v>19.034465254271293</v>
      </c>
      <c r="F10" s="114">
        <v>14.627477915161446</v>
      </c>
      <c r="G10" s="114">
        <v>12.579705475078782</v>
      </c>
      <c r="H10" s="115">
        <v>125</v>
      </c>
      <c r="I10" s="137">
        <f>(+I25+SUM($E$22:$E$29))/'Public-Comps'!$E$20</f>
        <v>33.381631066369565</v>
      </c>
      <c r="J10" s="137">
        <f>(+J25+SUM($E$22:$E$29))/'Public-Comps'!$E$20</f>
        <v>38.400681164611385</v>
      </c>
      <c r="K10" s="137">
        <f>(+K25+SUM($E$22:$E$29))/'Public-Comps'!$E$20</f>
        <v>49.202120721253173</v>
      </c>
      <c r="L10" s="137">
        <f>(+L25+SUM($E$22:$E$29))/'Public-Comps'!$E$20</f>
        <v>69.732046326416935</v>
      </c>
      <c r="M10" s="137">
        <f>(+M25+SUM($E$22:$E$29))/'Public-Comps'!$E$20</f>
        <v>103.93655457022469</v>
      </c>
    </row>
    <row r="11" spans="2:13" x14ac:dyDescent="0.25">
      <c r="B11" s="136" t="s">
        <v>114</v>
      </c>
      <c r="C11" s="114">
        <v>82.277322580645162</v>
      </c>
      <c r="D11" s="114">
        <v>54.929024603524695</v>
      </c>
      <c r="E11" s="114">
        <v>30.415277245650508</v>
      </c>
      <c r="F11" s="114">
        <v>14.778144227425493</v>
      </c>
      <c r="G11" s="114">
        <v>14.059689269252543</v>
      </c>
      <c r="H11" s="115">
        <v>100</v>
      </c>
      <c r="I11" s="137">
        <f>(+I26+SUM($E$22:$E$29))/'Public-Comps'!$E$20</f>
        <v>30.117037782848122</v>
      </c>
      <c r="J11" s="137">
        <f>(+J26+SUM($E$22:$E$29))/'Public-Comps'!$E$20</f>
        <v>31.52577299495195</v>
      </c>
      <c r="K11" s="137">
        <f>(+K26+SUM($E$22:$E$29))/'Public-Comps'!$E$20</f>
        <v>62.186818128726486</v>
      </c>
      <c r="L11" s="137">
        <f>(+L26+SUM($E$22:$E$29))/'Public-Comps'!$E$20</f>
        <v>110.25298941867587</v>
      </c>
      <c r="M11" s="137">
        <f>(+M26+SUM($E$22:$E$29))/'Public-Comps'!$E$20</f>
        <v>163.87710309930424</v>
      </c>
    </row>
    <row r="12" spans="2:13" x14ac:dyDescent="0.25">
      <c r="B12" s="136" t="s">
        <v>115</v>
      </c>
      <c r="C12" s="114">
        <v>50.393474629546475</v>
      </c>
      <c r="D12" s="114">
        <v>34.672805451851282</v>
      </c>
      <c r="E12" s="114">
        <v>22.932903901227807</v>
      </c>
      <c r="F12" s="114">
        <v>16.025220328676234</v>
      </c>
      <c r="G12" s="114">
        <v>14.801205085196752</v>
      </c>
      <c r="H12" s="115">
        <v>110</v>
      </c>
      <c r="I12" s="137">
        <f>(+I27+SUM($E$22:$E$29))/'Public-Comps'!$E$20</f>
        <v>34.473187438659664</v>
      </c>
      <c r="J12" s="137">
        <f>(+J27+SUM($E$22:$E$29))/'Public-Comps'!$E$20</f>
        <v>37.11322031675266</v>
      </c>
      <c r="K12" s="137">
        <f>(+K27+SUM($E$22:$E$29))/'Public-Comps'!$E$20</f>
        <v>52.012145669314883</v>
      </c>
      <c r="L12" s="137">
        <f>(+L27+SUM($E$22:$E$29))/'Public-Comps'!$E$20</f>
        <v>77.333501954973343</v>
      </c>
      <c r="M12" s="137">
        <f>(+M27+SUM($E$22:$E$29))/'Public-Comps'!$E$20</f>
        <v>111.24082763235513</v>
      </c>
    </row>
    <row r="13" spans="2:13" x14ac:dyDescent="0.25">
      <c r="B13" s="136" t="s">
        <v>116</v>
      </c>
      <c r="C13" s="114">
        <v>71.268801670146132</v>
      </c>
      <c r="D13" s="114">
        <v>54.620765258717249</v>
      </c>
      <c r="E13" s="114">
        <v>34.921851947640377</v>
      </c>
      <c r="F13" s="114">
        <v>19.864127684240245</v>
      </c>
      <c r="G13" s="114">
        <v>17.139658415841581</v>
      </c>
      <c r="H13" s="115">
        <v>59.3</v>
      </c>
      <c r="I13" s="137">
        <f>(+I28+SUM($E$22:$E$29))/'Public-Comps'!$E$20</f>
        <v>22.478073412929525</v>
      </c>
      <c r="J13" s="137">
        <f>(+J28+SUM($E$22:$E$29))/'Public-Comps'!$E$20</f>
        <v>25.645936699518558</v>
      </c>
      <c r="K13" s="137">
        <f>(+K28+SUM($E$22:$E$29))/'Public-Comps'!$E$20</f>
        <v>43.154231774413219</v>
      </c>
      <c r="L13" s="137">
        <f>(+L28+SUM($E$22:$E$29))/'Public-Comps'!$E$20</f>
        <v>66.059046663567315</v>
      </c>
      <c r="M13" s="137">
        <f>(+M28+SUM($E$22:$E$29))/'Public-Comps'!$E$20</f>
        <v>85.41646939293463</v>
      </c>
    </row>
    <row r="14" spans="2:13" x14ac:dyDescent="0.25">
      <c r="B14" s="136" t="s">
        <v>117</v>
      </c>
      <c r="C14" s="114">
        <v>26.157975246323947</v>
      </c>
      <c r="D14" s="114">
        <v>26.157975246323947</v>
      </c>
      <c r="E14" s="114">
        <v>26.157975246323947</v>
      </c>
      <c r="F14" s="114">
        <v>26.157975246323947</v>
      </c>
      <c r="G14" s="114">
        <v>26.157975246323947</v>
      </c>
      <c r="H14" s="115">
        <v>45</v>
      </c>
      <c r="I14" s="137">
        <f>(+I29+SUM($E$22:$E$29))/'Public-Comps'!$E$20</f>
        <v>25.629586001658382</v>
      </c>
      <c r="J14" s="137">
        <f>(+J29+SUM($E$22:$E$29))/'Public-Comps'!$E$20</f>
        <v>25.629586001658382</v>
      </c>
      <c r="K14" s="137">
        <f>(+K29+SUM($E$22:$E$29))/'Public-Comps'!$E$20</f>
        <v>25.629586001658382</v>
      </c>
      <c r="L14" s="137">
        <f>(+L29+SUM($E$22:$E$29))/'Public-Comps'!$E$20</f>
        <v>25.629586001658382</v>
      </c>
      <c r="M14" s="137">
        <f>(+M29+SUM($E$22:$E$29))/'Public-Comps'!$E$20</f>
        <v>25.629586001658382</v>
      </c>
    </row>
    <row r="15" spans="2:13" x14ac:dyDescent="0.25">
      <c r="B15" s="136" t="s">
        <v>118</v>
      </c>
      <c r="C15" s="114">
        <v>80.430355365653242</v>
      </c>
      <c r="D15" s="114">
        <v>52.072738276416935</v>
      </c>
      <c r="E15" s="114">
        <v>23.715121187180628</v>
      </c>
      <c r="F15" s="114">
        <v>18.095778611608331</v>
      </c>
      <c r="G15" s="114">
        <v>12.476436036036034</v>
      </c>
      <c r="H15" s="115">
        <v>50</v>
      </c>
      <c r="I15" s="137">
        <f>(+I30+SUM($E$22:$E$29))/'Public-Comps'!$E$20</f>
        <v>14.780819643172583</v>
      </c>
      <c r="J15" s="137">
        <f>(+J30+SUM($E$22:$E$29))/'Public-Comps'!$E$20</f>
        <v>20.289979030988558</v>
      </c>
      <c r="K15" s="137">
        <f>(+K30+SUM($E$22:$E$29))/'Public-Comps'!$E$20</f>
        <v>25.799138418804539</v>
      </c>
      <c r="L15" s="137">
        <f>(+L30+SUM($E$22:$E$29))/'Public-Comps'!$E$20</f>
        <v>53.600723800408758</v>
      </c>
      <c r="M15" s="137">
        <f>(+M30+SUM($E$22:$E$29))/'Public-Comps'!$E$20</f>
        <v>81.402309182012971</v>
      </c>
    </row>
    <row r="16" spans="2:13" x14ac:dyDescent="0.25">
      <c r="I16" s="38"/>
      <c r="J16" s="38"/>
      <c r="K16" s="38"/>
      <c r="L16" s="38"/>
      <c r="M16" s="38"/>
    </row>
    <row r="17" spans="2:13" x14ac:dyDescent="0.25">
      <c r="B17" s="109" t="s">
        <v>104</v>
      </c>
      <c r="I17" s="38"/>
      <c r="J17" s="38"/>
      <c r="K17" s="38"/>
      <c r="L17" s="38"/>
      <c r="M17" s="38"/>
    </row>
    <row r="18" spans="2:13" x14ac:dyDescent="0.25">
      <c r="B18" s="136" t="s">
        <v>111</v>
      </c>
      <c r="C18" s="114" cm="1">
        <f t="array" ref="C18:G19">TRANSPOSE('M&amp;A-Comps'!H17:I21)</f>
        <v>4</v>
      </c>
      <c r="D18" s="114">
        <v>3.0064102564102564</v>
      </c>
      <c r="E18" s="114">
        <v>1.8611111111111112</v>
      </c>
      <c r="F18" s="114">
        <v>1.1981249999999999</v>
      </c>
      <c r="G18" s="114">
        <v>1.1333333333333333</v>
      </c>
      <c r="H18" s="115">
        <f>+'Public-Comps'!L20</f>
        <v>500</v>
      </c>
      <c r="I18" s="38">
        <f>(+I32+SUM($E$22:$E$29))/'Public-Comps'!$E$20</f>
        <v>13.660130718954248</v>
      </c>
      <c r="J18" s="38">
        <f>(+J32+SUM($E$22:$E$29))/'Public-Comps'!$E$20</f>
        <v>14.2953431372549</v>
      </c>
      <c r="K18" s="38">
        <f>(+K32+SUM($E$22:$E$29))/'Public-Comps'!$E$20</f>
        <v>20.795206971677562</v>
      </c>
      <c r="L18" s="38">
        <f>(+L32+SUM($E$22:$E$29))/'Public-Comps'!$E$20</f>
        <v>32.023629964806432</v>
      </c>
      <c r="M18" s="38">
        <f>(+M32+SUM($E$22:$E$29))/'Public-Comps'!$E$20</f>
        <v>41.764705882352942</v>
      </c>
    </row>
    <row r="19" spans="2:13" x14ac:dyDescent="0.25">
      <c r="B19" s="136" t="s">
        <v>113</v>
      </c>
      <c r="C19" s="114">
        <v>84</v>
      </c>
      <c r="D19" s="114">
        <v>31.25</v>
      </c>
      <c r="E19" s="114">
        <v>22.5</v>
      </c>
      <c r="F19" s="114">
        <v>15.0375</v>
      </c>
      <c r="G19" s="114">
        <v>7</v>
      </c>
      <c r="H19" s="115">
        <f>+'Public-Comps'!O20</f>
        <v>125</v>
      </c>
      <c r="I19" s="38">
        <f>(+I33+SUM($E$22:$E$29))/'Public-Comps'!$E$20</f>
        <v>19.705882352941178</v>
      </c>
      <c r="J19" s="38">
        <f>(+J33+SUM($E$22:$E$29))/'Public-Comps'!$E$20</f>
        <v>39.405637254901961</v>
      </c>
      <c r="K19" s="38">
        <f>(+K33+SUM($E$22:$E$29))/'Public-Comps'!$E$20</f>
        <v>57.696078431372548</v>
      </c>
      <c r="L19" s="38">
        <f>(+L33+SUM($E$22:$E$29))/'Public-Comps'!$E$20</f>
        <v>79.142156862745097</v>
      </c>
      <c r="M19" s="38">
        <f>(+M33+SUM($E$22:$E$29))/'Public-Comps'!$E$20</f>
        <v>208.43137254901961</v>
      </c>
    </row>
    <row r="20" spans="2:13" x14ac:dyDescent="0.25">
      <c r="I20" s="138"/>
      <c r="J20" s="138"/>
      <c r="K20" s="138"/>
      <c r="L20" s="138"/>
      <c r="M20" s="138"/>
    </row>
    <row r="21" spans="2:13" x14ac:dyDescent="0.25">
      <c r="B21" s="116" t="s">
        <v>119</v>
      </c>
      <c r="C21" s="139"/>
      <c r="D21" s="139"/>
      <c r="E21" s="117">
        <f>+I22</f>
        <v>1142.301858926782</v>
      </c>
      <c r="G21" s="121" t="s">
        <v>120</v>
      </c>
      <c r="H21" s="121"/>
      <c r="I21" s="121"/>
      <c r="J21" s="122"/>
      <c r="K21" s="122"/>
      <c r="L21" s="122"/>
      <c r="M21" s="122"/>
    </row>
    <row r="22" spans="2:13" x14ac:dyDescent="0.25">
      <c r="B22" s="110" t="s">
        <v>121</v>
      </c>
      <c r="C22" s="46"/>
      <c r="D22" s="46"/>
      <c r="E22" s="111">
        <f>+'Public-Comps'!G20</f>
        <v>150</v>
      </c>
      <c r="G22" s="123" t="s">
        <v>146</v>
      </c>
      <c r="H22" s="124"/>
      <c r="I22" s="140">
        <f t="shared" ref="I22:I30" si="0">+G7*$H7</f>
        <v>1142.301858926782</v>
      </c>
      <c r="J22" s="141">
        <f t="shared" ref="J22:J30" si="1">+H7*$F7</f>
        <v>1976.5703516309834</v>
      </c>
      <c r="K22" s="141">
        <f t="shared" ref="K22:K30" si="2">+$H7*E7</f>
        <v>2370.9663948819052</v>
      </c>
      <c r="L22" s="141">
        <f t="shared" ref="L22:L30" si="3">+$H7*D7</f>
        <v>2949.3103584352307</v>
      </c>
      <c r="M22" s="142">
        <f t="shared" ref="M22:M30" si="4">+$H7*C7</f>
        <v>9740.7574281539219</v>
      </c>
    </row>
    <row r="23" spans="2:13" x14ac:dyDescent="0.25">
      <c r="B23" s="136" t="s">
        <v>122</v>
      </c>
      <c r="E23" s="111">
        <v>0</v>
      </c>
      <c r="G23" s="123" t="s">
        <v>146</v>
      </c>
      <c r="H23" s="124"/>
      <c r="I23" s="140">
        <f t="shared" si="0"/>
        <v>1001.0462075168743</v>
      </c>
      <c r="J23" s="141">
        <f t="shared" si="1"/>
        <v>1870.4767662263002</v>
      </c>
      <c r="K23" s="141">
        <f t="shared" si="2"/>
        <v>2502.6945044677764</v>
      </c>
      <c r="L23" s="141">
        <f t="shared" si="3"/>
        <v>4155.0540599061678</v>
      </c>
      <c r="M23" s="142">
        <f t="shared" si="4"/>
        <v>9436.5358024691359</v>
      </c>
    </row>
    <row r="24" spans="2:13" x14ac:dyDescent="0.25">
      <c r="B24" s="136" t="str">
        <f>+'[1]STLD-DCF'!I23</f>
        <v>(+) Equity Investments:</v>
      </c>
      <c r="E24" s="111">
        <v>0</v>
      </c>
      <c r="G24" s="123" t="s">
        <v>146</v>
      </c>
      <c r="H24" s="124"/>
      <c r="I24" s="140">
        <f t="shared" si="0"/>
        <v>1127.8783661799346</v>
      </c>
      <c r="J24" s="141">
        <f t="shared" si="1"/>
        <v>1904.2110857580424</v>
      </c>
      <c r="K24" s="141">
        <f t="shared" si="2"/>
        <v>2510.4619502662458</v>
      </c>
      <c r="L24" s="141">
        <f t="shared" si="3"/>
        <v>3445.888634661289</v>
      </c>
      <c r="M24" s="142">
        <f t="shared" si="4"/>
        <v>7806.8761674887191</v>
      </c>
    </row>
    <row r="25" spans="2:13" x14ac:dyDescent="0.25">
      <c r="B25" s="136" t="str">
        <f>+'[1]STLD-DCF'!I24</f>
        <v>(+) Other Non-Core Assets, Net:</v>
      </c>
      <c r="E25" s="111">
        <v>0</v>
      </c>
      <c r="G25" s="123" t="s">
        <v>146</v>
      </c>
      <c r="H25" s="124"/>
      <c r="I25" s="140">
        <f t="shared" si="0"/>
        <v>1572.4631843848479</v>
      </c>
      <c r="J25" s="141">
        <f t="shared" si="1"/>
        <v>1828.4347393951807</v>
      </c>
      <c r="K25" s="141">
        <f t="shared" si="2"/>
        <v>2379.3081567839117</v>
      </c>
      <c r="L25" s="141">
        <f t="shared" si="3"/>
        <v>3426.3343626472638</v>
      </c>
      <c r="M25" s="142">
        <f t="shared" si="4"/>
        <v>5170.7642830814593</v>
      </c>
    </row>
    <row r="26" spans="2:13" x14ac:dyDescent="0.25">
      <c r="B26" s="136" t="str">
        <f>+'[1]STLD-DCF'!I25</f>
        <v>(+) Net Operating Losses:</v>
      </c>
      <c r="E26" s="111">
        <v>0</v>
      </c>
      <c r="G26" s="123" t="s">
        <v>146</v>
      </c>
      <c r="H26" s="124"/>
      <c r="I26" s="140">
        <f t="shared" si="0"/>
        <v>1405.9689269252542</v>
      </c>
      <c r="J26" s="141">
        <f t="shared" si="1"/>
        <v>1477.8144227425494</v>
      </c>
      <c r="K26" s="141">
        <f t="shared" si="2"/>
        <v>3041.5277245650509</v>
      </c>
      <c r="L26" s="141">
        <f t="shared" si="3"/>
        <v>5492.9024603524695</v>
      </c>
      <c r="M26" s="142">
        <f t="shared" si="4"/>
        <v>8227.7322580645159</v>
      </c>
    </row>
    <row r="27" spans="2:13" x14ac:dyDescent="0.25">
      <c r="B27" s="136" t="str">
        <f>+'[1]STLD-DCF'!I26</f>
        <v>(-) Total Debt:</v>
      </c>
      <c r="E27" s="111">
        <f>-'Public-Comps'!H20</f>
        <v>-20</v>
      </c>
      <c r="G27" s="123" t="s">
        <v>146</v>
      </c>
      <c r="H27" s="124"/>
      <c r="I27" s="140">
        <f t="shared" si="0"/>
        <v>1628.1325593716429</v>
      </c>
      <c r="J27" s="141">
        <f t="shared" si="1"/>
        <v>1762.7742361543858</v>
      </c>
      <c r="K27" s="141">
        <f t="shared" si="2"/>
        <v>2522.6194291350589</v>
      </c>
      <c r="L27" s="141">
        <f t="shared" si="3"/>
        <v>3814.0085997036408</v>
      </c>
      <c r="M27" s="142">
        <f t="shared" si="4"/>
        <v>5543.2822092501119</v>
      </c>
    </row>
    <row r="28" spans="2:13" x14ac:dyDescent="0.25">
      <c r="B28" s="136" t="str">
        <f>+'[1]STLD-DCF'!I27</f>
        <v>(-) Preferred Stock:</v>
      </c>
      <c r="E28" s="111">
        <f>+'Public-Comps'!I20</f>
        <v>0</v>
      </c>
      <c r="G28" s="123" t="s">
        <v>108</v>
      </c>
      <c r="H28" s="124"/>
      <c r="I28" s="140">
        <f t="shared" si="0"/>
        <v>1016.3817440594057</v>
      </c>
      <c r="J28" s="141">
        <f t="shared" si="1"/>
        <v>1177.9427716754465</v>
      </c>
      <c r="K28" s="141">
        <f t="shared" si="2"/>
        <v>2070.8658204950743</v>
      </c>
      <c r="L28" s="141">
        <f t="shared" si="3"/>
        <v>3239.0113798419329</v>
      </c>
      <c r="M28" s="142">
        <f t="shared" si="4"/>
        <v>4226.2399390396658</v>
      </c>
    </row>
    <row r="29" spans="2:13" x14ac:dyDescent="0.25">
      <c r="B29" s="136" t="str">
        <f>+'[1]STLD-DCF'!I28</f>
        <v>(-) Noncontrolling Interests:</v>
      </c>
      <c r="E29" s="112">
        <f>+'Public-Comps'!J20</f>
        <v>0</v>
      </c>
      <c r="G29" s="123" t="s">
        <v>108</v>
      </c>
      <c r="H29" s="124"/>
      <c r="I29" s="140">
        <f t="shared" si="0"/>
        <v>1177.1088860845775</v>
      </c>
      <c r="J29" s="141">
        <f t="shared" si="1"/>
        <v>1177.1088860845775</v>
      </c>
      <c r="K29" s="141">
        <f t="shared" si="2"/>
        <v>1177.1088860845775</v>
      </c>
      <c r="L29" s="141">
        <f t="shared" si="3"/>
        <v>1177.1088860845775</v>
      </c>
      <c r="M29" s="142">
        <f t="shared" si="4"/>
        <v>1177.1088860845775</v>
      </c>
    </row>
    <row r="30" spans="2:13" x14ac:dyDescent="0.25">
      <c r="B30" s="118" t="s">
        <v>134</v>
      </c>
      <c r="C30" s="119"/>
      <c r="D30" s="119"/>
      <c r="E30" s="120">
        <f>SUM(E21:E29)</f>
        <v>1272.301858926782</v>
      </c>
      <c r="G30" s="123" t="s">
        <v>108</v>
      </c>
      <c r="H30" s="124"/>
      <c r="I30" s="140">
        <f t="shared" si="0"/>
        <v>623.82180180180171</v>
      </c>
      <c r="J30" s="141">
        <f t="shared" si="1"/>
        <v>904.7889305804166</v>
      </c>
      <c r="K30" s="141">
        <f t="shared" si="2"/>
        <v>1185.7560593590315</v>
      </c>
      <c r="L30" s="141">
        <f t="shared" si="3"/>
        <v>2603.6369138208465</v>
      </c>
      <c r="M30" s="142">
        <f t="shared" si="4"/>
        <v>4021.517768282662</v>
      </c>
    </row>
    <row r="31" spans="2:13" x14ac:dyDescent="0.25">
      <c r="I31" s="143"/>
      <c r="J31" s="143"/>
      <c r="K31" s="143"/>
      <c r="L31" s="143"/>
      <c r="M31" s="143"/>
    </row>
    <row r="32" spans="2:13" x14ac:dyDescent="0.25">
      <c r="B32" s="46" t="s">
        <v>135</v>
      </c>
      <c r="C32" s="46"/>
      <c r="D32" s="46"/>
      <c r="E32" s="126">
        <f>'Public-Comps'!$E$20</f>
        <v>51</v>
      </c>
      <c r="G32" s="123" t="s">
        <v>133</v>
      </c>
      <c r="H32" s="129"/>
      <c r="I32" s="141">
        <f>+G18*$H18</f>
        <v>566.66666666666663</v>
      </c>
      <c r="J32" s="141">
        <f>+H18*$F18</f>
        <v>599.06249999999989</v>
      </c>
      <c r="K32" s="141">
        <f>+$H18*E18</f>
        <v>930.55555555555554</v>
      </c>
      <c r="L32" s="141">
        <f>+$H18*D18</f>
        <v>1503.2051282051282</v>
      </c>
      <c r="M32" s="142">
        <f>+$H18*C18</f>
        <v>2000</v>
      </c>
    </row>
    <row r="33" spans="2:13" x14ac:dyDescent="0.25">
      <c r="G33" s="123" t="s">
        <v>133</v>
      </c>
      <c r="H33" s="125"/>
      <c r="I33" s="144">
        <f>+G19*$H19</f>
        <v>875</v>
      </c>
      <c r="J33" s="144">
        <f>+H19*$F19</f>
        <v>1879.6875</v>
      </c>
      <c r="K33" s="144">
        <f>+$H19*E19</f>
        <v>2812.5</v>
      </c>
      <c r="L33" s="144">
        <f>+$H19*D19</f>
        <v>3906.25</v>
      </c>
      <c r="M33" s="145">
        <f>+$H19*C19</f>
        <v>10500</v>
      </c>
    </row>
    <row r="34" spans="2:13" x14ac:dyDescent="0.25">
      <c r="B34" s="74" t="s">
        <v>136</v>
      </c>
      <c r="C34" s="127"/>
      <c r="D34" s="127"/>
      <c r="E34" s="99">
        <f>+E30/E32</f>
        <v>24.947095273074154</v>
      </c>
      <c r="G34" s="113"/>
      <c r="H34" s="113"/>
    </row>
    <row r="35" spans="2:13" x14ac:dyDescent="0.25">
      <c r="B35" s="74" t="s">
        <v>137</v>
      </c>
      <c r="C35" s="127"/>
      <c r="D35" s="127"/>
      <c r="E35" s="128">
        <f>+E34/'Public-Comps'!D20-1</f>
        <v>-7.6033508404660943E-2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0FA0-3C5B-4796-B717-1EFFB57558AB}">
  <dimension ref="B32:R47"/>
  <sheetViews>
    <sheetView showGridLines="0" zoomScaleNormal="100" workbookViewId="0">
      <selection activeCell="H35" sqref="H35"/>
    </sheetView>
  </sheetViews>
  <sheetFormatPr defaultRowHeight="15" x14ac:dyDescent="0.25"/>
  <cols>
    <col min="1" max="1" width="2.85546875" customWidth="1"/>
    <col min="14" max="14" width="9.28515625" bestFit="1" customWidth="1"/>
    <col min="15" max="15" width="9.7109375" bestFit="1" customWidth="1"/>
    <col min="16" max="16" width="12.5703125" bestFit="1" customWidth="1"/>
    <col min="17" max="17" width="9.7109375" bestFit="1" customWidth="1"/>
    <col min="18" max="18" width="9.5703125" bestFit="1" customWidth="1"/>
  </cols>
  <sheetData>
    <row r="32" spans="2:18" x14ac:dyDescent="0.25">
      <c r="B32" t="s">
        <v>145</v>
      </c>
      <c r="I32" t="s">
        <v>138</v>
      </c>
      <c r="J32" t="s">
        <v>124</v>
      </c>
      <c r="K32" t="s">
        <v>61</v>
      </c>
      <c r="L32" t="s">
        <v>123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  <c r="R32" t="s">
        <v>144</v>
      </c>
    </row>
    <row r="33" spans="2:18" x14ac:dyDescent="0.25">
      <c r="B33" t="s">
        <v>147</v>
      </c>
      <c r="N33" s="131">
        <f>+XYZ_DCF!O49</f>
        <v>295.32799864116834</v>
      </c>
      <c r="O33" s="131">
        <f>+XYZ_DCF!L51</f>
        <v>340.3884209934389</v>
      </c>
      <c r="P33" s="131">
        <f>+XYZ_DCF!J52</f>
        <v>378.5424715399223</v>
      </c>
      <c r="Q33" s="131">
        <f>+XYZ_DCF!G52</f>
        <v>452.29096061494567</v>
      </c>
      <c r="R33" s="131">
        <f>+XYZ_DCF!E54</f>
        <v>523.85111085308768</v>
      </c>
    </row>
    <row r="34" spans="2:18" x14ac:dyDescent="0.25">
      <c r="N34" s="130"/>
      <c r="O34" s="130"/>
      <c r="P34" s="130"/>
      <c r="Q34" s="130"/>
      <c r="R34" s="130"/>
    </row>
    <row r="35" spans="2:18" x14ac:dyDescent="0.25">
      <c r="N35" s="130"/>
      <c r="O35" s="130"/>
      <c r="P35" s="130"/>
      <c r="Q35" s="130"/>
      <c r="R35" s="130"/>
    </row>
    <row r="36" spans="2:18" x14ac:dyDescent="0.25">
      <c r="B36" t="s">
        <v>111</v>
      </c>
      <c r="I36" s="131">
        <v>566.66666666666663</v>
      </c>
      <c r="J36" s="131">
        <v>599.06249999999989</v>
      </c>
      <c r="K36" s="131">
        <v>930.55555555555554</v>
      </c>
      <c r="L36" s="131">
        <v>1503.2051282051282</v>
      </c>
      <c r="M36" s="131">
        <v>2000</v>
      </c>
      <c r="N36" s="130">
        <f>+I36</f>
        <v>566.66666666666663</v>
      </c>
      <c r="O36" s="130">
        <f>+J36-I36</f>
        <v>32.395833333333258</v>
      </c>
      <c r="P36" s="130">
        <f>+K36-J36</f>
        <v>331.49305555555566</v>
      </c>
      <c r="Q36" s="130">
        <f>+L36-K36</f>
        <v>572.64957264957263</v>
      </c>
      <c r="R36" s="130">
        <f>+M36-L36</f>
        <v>496.79487179487182</v>
      </c>
    </row>
    <row r="37" spans="2:18" x14ac:dyDescent="0.25">
      <c r="B37" t="s">
        <v>113</v>
      </c>
      <c r="I37" s="131">
        <v>875</v>
      </c>
      <c r="J37" s="131">
        <v>1879.6875</v>
      </c>
      <c r="K37" s="131">
        <v>2812.5</v>
      </c>
      <c r="L37" s="131">
        <v>3906.25</v>
      </c>
      <c r="M37" s="131">
        <v>10500</v>
      </c>
      <c r="N37" s="130">
        <f>+I37</f>
        <v>875</v>
      </c>
      <c r="O37" s="130">
        <f>+J37-I37</f>
        <v>1004.6875</v>
      </c>
      <c r="P37" s="130">
        <f t="shared" ref="P37:R37" si="0">+K37-J37</f>
        <v>932.8125</v>
      </c>
      <c r="Q37" s="130">
        <f t="shared" si="0"/>
        <v>1093.75</v>
      </c>
      <c r="R37" s="130">
        <f t="shared" si="0"/>
        <v>6593.75</v>
      </c>
    </row>
    <row r="38" spans="2:18" x14ac:dyDescent="0.25">
      <c r="I38" s="131"/>
      <c r="J38" s="131"/>
      <c r="K38" s="131"/>
      <c r="L38" s="131"/>
      <c r="M38" s="131"/>
      <c r="N38" s="130"/>
      <c r="O38" s="130"/>
      <c r="P38" s="130"/>
      <c r="Q38" s="130"/>
      <c r="R38" s="130"/>
    </row>
    <row r="39" spans="2:18" x14ac:dyDescent="0.25">
      <c r="B39" t="s">
        <v>111</v>
      </c>
      <c r="I39" s="131">
        <v>1142.301858926782</v>
      </c>
      <c r="J39" s="131">
        <v>1976.5703516309834</v>
      </c>
      <c r="K39" s="131">
        <v>2370.9663948819052</v>
      </c>
      <c r="L39" s="131">
        <v>2949.3103584352307</v>
      </c>
      <c r="M39" s="131">
        <v>9740.7574281539219</v>
      </c>
      <c r="N39" s="130">
        <f>+I39</f>
        <v>1142.301858926782</v>
      </c>
      <c r="O39" s="130">
        <f>+J39-I39</f>
        <v>834.26849270420144</v>
      </c>
      <c r="P39" s="130">
        <f>+K39-J39</f>
        <v>394.39604325092182</v>
      </c>
      <c r="Q39" s="130">
        <f t="shared" ref="O39:R47" si="1">+L39-K39</f>
        <v>578.34396355332547</v>
      </c>
      <c r="R39" s="130">
        <f t="shared" si="1"/>
        <v>6791.4470697186916</v>
      </c>
    </row>
    <row r="40" spans="2:18" x14ac:dyDescent="0.25">
      <c r="B40" t="s">
        <v>110</v>
      </c>
      <c r="I40" s="131">
        <v>1001.0462075168743</v>
      </c>
      <c r="J40" s="131">
        <v>1870.4767662263002</v>
      </c>
      <c r="K40" s="131">
        <v>2502.6945044677764</v>
      </c>
      <c r="L40" s="131">
        <v>4155.0540599061678</v>
      </c>
      <c r="M40" s="131">
        <v>9436.5358024691359</v>
      </c>
      <c r="N40" s="130">
        <f t="shared" ref="N40:N47" si="2">+I40</f>
        <v>1001.0462075168743</v>
      </c>
      <c r="O40" s="130">
        <f>+J40-I40</f>
        <v>869.4305587094259</v>
      </c>
      <c r="P40" s="130">
        <f>+K40-J40</f>
        <v>632.21773824147613</v>
      </c>
      <c r="Q40" s="130">
        <f>+L40-K40</f>
        <v>1652.3595554383915</v>
      </c>
      <c r="R40" s="130">
        <f>+M40-L40</f>
        <v>5281.4817425629681</v>
      </c>
    </row>
    <row r="41" spans="2:18" x14ac:dyDescent="0.25">
      <c r="B41" t="s">
        <v>112</v>
      </c>
      <c r="I41" s="131">
        <v>1127.8783661799346</v>
      </c>
      <c r="J41" s="131">
        <v>1904.2110857580424</v>
      </c>
      <c r="K41" s="131">
        <v>2510.4619502662458</v>
      </c>
      <c r="L41" s="131">
        <v>3445.888634661289</v>
      </c>
      <c r="M41" s="131">
        <v>7806.8761674887191</v>
      </c>
      <c r="N41" s="130">
        <f t="shared" si="2"/>
        <v>1127.8783661799346</v>
      </c>
      <c r="O41" s="130">
        <f t="shared" si="1"/>
        <v>776.3327195781078</v>
      </c>
      <c r="P41" s="130">
        <f t="shared" si="1"/>
        <v>606.25086450820345</v>
      </c>
      <c r="Q41" s="130">
        <f t="shared" si="1"/>
        <v>935.42668439504314</v>
      </c>
      <c r="R41" s="130">
        <f t="shared" si="1"/>
        <v>4360.9875328274302</v>
      </c>
    </row>
    <row r="42" spans="2:18" x14ac:dyDescent="0.25">
      <c r="B42" t="s">
        <v>113</v>
      </c>
      <c r="I42" s="131">
        <v>1572.4631843848479</v>
      </c>
      <c r="J42" s="131">
        <v>1828.4347393951807</v>
      </c>
      <c r="K42" s="131">
        <v>2379.3081567839117</v>
      </c>
      <c r="L42" s="131">
        <v>3426.3343626472638</v>
      </c>
      <c r="M42" s="131">
        <v>5170.7642830814593</v>
      </c>
      <c r="N42" s="130">
        <f t="shared" si="2"/>
        <v>1572.4631843848479</v>
      </c>
      <c r="O42" s="130">
        <f t="shared" si="1"/>
        <v>255.97155501033285</v>
      </c>
      <c r="P42" s="130">
        <f t="shared" si="1"/>
        <v>550.87341738873101</v>
      </c>
      <c r="Q42" s="130">
        <f t="shared" si="1"/>
        <v>1047.0262058633521</v>
      </c>
      <c r="R42" s="130">
        <f t="shared" si="1"/>
        <v>1744.4299204341955</v>
      </c>
    </row>
    <row r="43" spans="2:18" x14ac:dyDescent="0.25">
      <c r="B43" t="s">
        <v>114</v>
      </c>
      <c r="I43" s="131">
        <v>1405.9689269252542</v>
      </c>
      <c r="J43" s="131">
        <v>1477.8144227425494</v>
      </c>
      <c r="K43" s="131">
        <v>3041.5277245650509</v>
      </c>
      <c r="L43" s="131">
        <v>5492.9024603524695</v>
      </c>
      <c r="M43" s="131">
        <v>8227.7322580645159</v>
      </c>
      <c r="N43" s="130">
        <f t="shared" si="2"/>
        <v>1405.9689269252542</v>
      </c>
      <c r="O43" s="130">
        <f t="shared" si="1"/>
        <v>71.845495817295159</v>
      </c>
      <c r="P43" s="130">
        <f t="shared" si="1"/>
        <v>1563.7133018225015</v>
      </c>
      <c r="Q43" s="130">
        <f t="shared" si="1"/>
        <v>2451.3747357874186</v>
      </c>
      <c r="R43" s="130">
        <f t="shared" si="1"/>
        <v>2734.8297977120465</v>
      </c>
    </row>
    <row r="44" spans="2:18" x14ac:dyDescent="0.25">
      <c r="B44" t="s">
        <v>115</v>
      </c>
      <c r="I44" s="131">
        <v>1628.1325593716429</v>
      </c>
      <c r="J44" s="131">
        <v>1762.7742361543858</v>
      </c>
      <c r="K44" s="131">
        <v>2522.6194291350589</v>
      </c>
      <c r="L44" s="131">
        <v>3814.0085997036408</v>
      </c>
      <c r="M44" s="131">
        <v>5543.2822092501119</v>
      </c>
      <c r="N44" s="130">
        <f t="shared" si="2"/>
        <v>1628.1325593716429</v>
      </c>
      <c r="O44" s="130">
        <f t="shared" si="1"/>
        <v>134.64167678274293</v>
      </c>
      <c r="P44" s="130">
        <f t="shared" si="1"/>
        <v>759.84519298067312</v>
      </c>
      <c r="Q44" s="130">
        <f t="shared" si="1"/>
        <v>1291.3891705685819</v>
      </c>
      <c r="R44" s="130">
        <f t="shared" si="1"/>
        <v>1729.2736095464711</v>
      </c>
    </row>
    <row r="45" spans="2:18" x14ac:dyDescent="0.25">
      <c r="B45" t="s">
        <v>116</v>
      </c>
      <c r="I45" s="131">
        <v>1016.3817440594057</v>
      </c>
      <c r="J45" s="131">
        <v>1177.9427716754465</v>
      </c>
      <c r="K45" s="131">
        <v>2070.8658204950743</v>
      </c>
      <c r="L45" s="131">
        <v>3239.0113798419329</v>
      </c>
      <c r="M45" s="131">
        <v>4226.2399390396658</v>
      </c>
      <c r="N45" s="130">
        <f t="shared" si="2"/>
        <v>1016.3817440594057</v>
      </c>
      <c r="O45" s="130">
        <f t="shared" si="1"/>
        <v>161.56102761604075</v>
      </c>
      <c r="P45" s="130">
        <f t="shared" si="1"/>
        <v>892.92304881962787</v>
      </c>
      <c r="Q45" s="130">
        <f t="shared" si="1"/>
        <v>1168.1455593468586</v>
      </c>
      <c r="R45" s="130">
        <f t="shared" si="1"/>
        <v>987.22855919773292</v>
      </c>
    </row>
    <row r="46" spans="2:18" x14ac:dyDescent="0.25">
      <c r="B46" t="s">
        <v>117</v>
      </c>
      <c r="I46" s="131">
        <v>1177.1088860845775</v>
      </c>
      <c r="J46" s="131">
        <v>1177.1088860845775</v>
      </c>
      <c r="K46" s="131">
        <v>1177.1088860845775</v>
      </c>
      <c r="L46" s="131">
        <v>1177.1088860845775</v>
      </c>
      <c r="M46" s="131">
        <v>1177.1088860845775</v>
      </c>
      <c r="N46" s="130">
        <f>+I46</f>
        <v>1177.1088860845775</v>
      </c>
      <c r="O46" s="130">
        <f>+J46</f>
        <v>1177.1088860845775</v>
      </c>
      <c r="P46" s="130">
        <f>+K46</f>
        <v>1177.1088860845775</v>
      </c>
      <c r="Q46" s="130">
        <f>+L46</f>
        <v>1177.1088860845775</v>
      </c>
      <c r="R46" s="130">
        <f>+M46</f>
        <v>1177.1088860845775</v>
      </c>
    </row>
    <row r="47" spans="2:18" x14ac:dyDescent="0.25">
      <c r="B47" t="s">
        <v>118</v>
      </c>
      <c r="I47" s="131">
        <v>623.82180180180171</v>
      </c>
      <c r="J47" s="131">
        <v>904.7889305804166</v>
      </c>
      <c r="K47" s="131">
        <v>1185.7560593590315</v>
      </c>
      <c r="L47" s="131">
        <v>2603.6369138208465</v>
      </c>
      <c r="M47" s="131">
        <v>4021.517768282662</v>
      </c>
      <c r="N47" s="130">
        <f t="shared" si="2"/>
        <v>623.82180180180171</v>
      </c>
      <c r="O47" s="130">
        <f t="shared" si="1"/>
        <v>280.96712877861489</v>
      </c>
      <c r="P47" s="130">
        <f t="shared" si="1"/>
        <v>280.96712877861489</v>
      </c>
      <c r="Q47" s="130">
        <f t="shared" si="1"/>
        <v>1417.880854461815</v>
      </c>
      <c r="R47" s="130">
        <f t="shared" si="1"/>
        <v>1417.8808544618155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XYZ_DCF</vt:lpstr>
      <vt:lpstr>Public-Comps</vt:lpstr>
      <vt:lpstr>M&amp;A-Comps</vt:lpstr>
      <vt:lpstr>Valuation</vt:lpstr>
      <vt:lpstr>FF Chart</vt:lpstr>
      <vt:lpstr>EV</vt:lpstr>
      <vt:lpstr>'M&amp;A-Comps'!Print_Area</vt:lpstr>
      <vt:lpstr>'Public-Comps'!Print_Area</vt:lpstr>
      <vt:lpstr>Pub_Comps_Data</vt:lpstr>
      <vt:lpstr>Tax_Rate</vt:lpstr>
      <vt:lpstr>Terminal_Growth_Rate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SADRAQUE AUGUSTO OLIVEIRA DE MELO CARVAL</dc:creator>
  <cp:lastModifiedBy>SADRAQUE AUGUSTO OLIVEIRA DE MELO CARVAL</cp:lastModifiedBy>
  <dcterms:created xsi:type="dcterms:W3CDTF">2025-02-06T22:09:15Z</dcterms:created>
  <dcterms:modified xsi:type="dcterms:W3CDTF">2025-02-24T21:56:49Z</dcterms:modified>
</cp:coreProperties>
</file>