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\Downloads\"/>
    </mc:Choice>
  </mc:AlternateContent>
  <xr:revisionPtr revIDLastSave="0" documentId="8_{536FB850-D5AC-4755-B1AA-8EA0524847F6}" xr6:coauthVersionLast="47" xr6:coauthVersionMax="47" xr10:uidLastSave="{00000000-0000-0000-0000-000000000000}"/>
  <bookViews>
    <workbookView xWindow="-120" yWindow="-120" windowWidth="29040" windowHeight="15840" xr2:uid="{13180871-00B1-44F5-BB43-B722712321D4}"/>
  </bookViews>
  <sheets>
    <sheet name="DCF" sheetId="1" r:id="rId1"/>
    <sheet name="WACC" sheetId="5" r:id="rId2"/>
    <sheet name="NWC" sheetId="4" r:id="rId3"/>
    <sheet name="A1" sheetId="2" r:id="rId4"/>
    <sheet name="A2" sheetId="3" r:id="rId5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2" i="1" l="1"/>
  <c r="J53" i="1" s="1"/>
  <c r="J50" i="1"/>
  <c r="J49" i="1" s="1"/>
  <c r="N48" i="1"/>
  <c r="O48" i="1" s="1"/>
  <c r="L48" i="1"/>
  <c r="K48" i="1" s="1"/>
  <c r="E48" i="1"/>
  <c r="D48" i="1" s="1"/>
  <c r="C52" i="1"/>
  <c r="C53" i="1" s="1"/>
  <c r="O8" i="2"/>
  <c r="N8" i="2"/>
  <c r="M8" i="2"/>
  <c r="L8" i="2"/>
  <c r="K8" i="2"/>
  <c r="J8" i="2"/>
  <c r="I8" i="2"/>
  <c r="H8" i="2"/>
  <c r="G8" i="2"/>
  <c r="F8" i="2"/>
  <c r="O10" i="2"/>
  <c r="N10" i="2"/>
  <c r="M10" i="2"/>
  <c r="L10" i="2"/>
  <c r="K10" i="2"/>
  <c r="J10" i="2"/>
  <c r="I10" i="2"/>
  <c r="H10" i="2"/>
  <c r="G10" i="2"/>
  <c r="F10" i="2"/>
  <c r="E20" i="5"/>
  <c r="G48" i="1" l="1"/>
  <c r="H48" i="1" s="1"/>
  <c r="C50" i="1"/>
  <c r="C49" i="1" s="1"/>
  <c r="E23" i="5" l="1"/>
  <c r="F22" i="1"/>
  <c r="G22" i="1"/>
  <c r="H22" i="1"/>
  <c r="I22" i="1"/>
  <c r="E22" i="1"/>
  <c r="E24" i="1"/>
  <c r="H17" i="3"/>
  <c r="G17" i="3"/>
  <c r="H12" i="3"/>
  <c r="M29" i="4" s="1"/>
  <c r="G12" i="3"/>
  <c r="L29" i="4" s="1"/>
  <c r="F12" i="3"/>
  <c r="K29" i="4" s="1"/>
  <c r="H19" i="4"/>
  <c r="G19" i="4"/>
  <c r="F19" i="4"/>
  <c r="I7" i="3"/>
  <c r="N28" i="4" s="1"/>
  <c r="H7" i="3"/>
  <c r="M28" i="4" s="1"/>
  <c r="G7" i="3"/>
  <c r="L28" i="4" s="1"/>
  <c r="F7" i="3"/>
  <c r="K28" i="4" s="1"/>
  <c r="G8" i="4"/>
  <c r="G33" i="4" s="1"/>
  <c r="H8" i="4"/>
  <c r="H33" i="4" s="1"/>
  <c r="I8" i="4"/>
  <c r="J8" i="4"/>
  <c r="J33" i="4" s="1"/>
  <c r="F8" i="4"/>
  <c r="J34" i="1" l="1"/>
  <c r="E9" i="5"/>
  <c r="E8" i="5"/>
  <c r="E14" i="5"/>
  <c r="E15" i="5" s="1"/>
  <c r="E26" i="5"/>
  <c r="E27" i="1" s="1"/>
  <c r="N29" i="1" s="1"/>
  <c r="O34" i="1"/>
  <c r="I29" i="4"/>
  <c r="I33" i="4"/>
  <c r="F29" i="4"/>
  <c r="F33" i="4"/>
  <c r="J29" i="4"/>
  <c r="G29" i="4"/>
  <c r="H29" i="4"/>
  <c r="L29" i="1" l="1"/>
  <c r="M29" i="1"/>
  <c r="J19" i="4"/>
  <c r="I19" i="4"/>
  <c r="G14" i="4"/>
  <c r="G21" i="4" s="1"/>
  <c r="H14" i="4"/>
  <c r="I14" i="4"/>
  <c r="F14" i="4"/>
  <c r="F21" i="4" s="1"/>
  <c r="G24" i="4" s="1"/>
  <c r="F24" i="1" s="1"/>
  <c r="G6" i="4"/>
  <c r="H6" i="4" s="1"/>
  <c r="I6" i="4" s="1"/>
  <c r="J6" i="4" s="1"/>
  <c r="K6" i="4" s="1"/>
  <c r="L6" i="4" s="1"/>
  <c r="M6" i="4" s="1"/>
  <c r="N6" i="4" s="1"/>
  <c r="O6" i="4" s="1"/>
  <c r="I60" i="1"/>
  <c r="F60" i="1"/>
  <c r="G60" i="1"/>
  <c r="H60" i="1"/>
  <c r="E60" i="1"/>
  <c r="F59" i="1"/>
  <c r="G59" i="1"/>
  <c r="H59" i="1"/>
  <c r="I59" i="1"/>
  <c r="E59" i="1"/>
  <c r="F58" i="1"/>
  <c r="G58" i="1"/>
  <c r="E58" i="1"/>
  <c r="E57" i="1"/>
  <c r="F57" i="1"/>
  <c r="G57" i="1"/>
  <c r="H57" i="1"/>
  <c r="I57" i="1"/>
  <c r="F56" i="1"/>
  <c r="G56" i="1"/>
  <c r="H56" i="1"/>
  <c r="I56" i="1"/>
  <c r="E56" i="1"/>
  <c r="O28" i="3"/>
  <c r="N28" i="3"/>
  <c r="M28" i="3"/>
  <c r="L28" i="3"/>
  <c r="K28" i="3"/>
  <c r="J28" i="3"/>
  <c r="O34" i="4" s="1"/>
  <c r="I28" i="3"/>
  <c r="N34" i="4" s="1"/>
  <c r="H28" i="3"/>
  <c r="M34" i="4" s="1"/>
  <c r="G28" i="3"/>
  <c r="L34" i="4" s="1"/>
  <c r="F28" i="3"/>
  <c r="K34" i="4" s="1"/>
  <c r="J23" i="3"/>
  <c r="O33" i="4" s="1"/>
  <c r="I23" i="3"/>
  <c r="N33" i="4" s="1"/>
  <c r="H23" i="3"/>
  <c r="M33" i="4" s="1"/>
  <c r="G23" i="3"/>
  <c r="L33" i="4" s="1"/>
  <c r="F23" i="3"/>
  <c r="K33" i="4" s="1"/>
  <c r="I17" i="3"/>
  <c r="N30" i="4" s="1"/>
  <c r="M30" i="4"/>
  <c r="L30" i="4"/>
  <c r="F17" i="3"/>
  <c r="K30" i="4" s="1"/>
  <c r="O12" i="3"/>
  <c r="N12" i="3"/>
  <c r="M12" i="3"/>
  <c r="L12" i="3"/>
  <c r="K12" i="3"/>
  <c r="J12" i="3"/>
  <c r="O29" i="4" s="1"/>
  <c r="I12" i="3"/>
  <c r="N29" i="4" s="1"/>
  <c r="J7" i="3"/>
  <c r="O28" i="4" s="1"/>
  <c r="K7" i="3"/>
  <c r="L7" i="3"/>
  <c r="M7" i="3"/>
  <c r="N7" i="3"/>
  <c r="O7" i="3"/>
  <c r="O23" i="3"/>
  <c r="N23" i="3"/>
  <c r="M23" i="3"/>
  <c r="L23" i="3"/>
  <c r="K23" i="3"/>
  <c r="O17" i="3"/>
  <c r="N17" i="3"/>
  <c r="M17" i="3"/>
  <c r="L17" i="3"/>
  <c r="K17" i="3"/>
  <c r="J17" i="3"/>
  <c r="O30" i="4" s="1"/>
  <c r="G4" i="3"/>
  <c r="H4" i="3" s="1"/>
  <c r="I4" i="3" s="1"/>
  <c r="J4" i="3" s="1"/>
  <c r="K4" i="3" s="1"/>
  <c r="L4" i="3" s="1"/>
  <c r="M4" i="3" s="1"/>
  <c r="N4" i="3" s="1"/>
  <c r="O4" i="3" s="1"/>
  <c r="O28" i="2"/>
  <c r="N28" i="2"/>
  <c r="M28" i="2"/>
  <c r="L28" i="2"/>
  <c r="K28" i="2"/>
  <c r="J28" i="2"/>
  <c r="N60" i="1" s="1"/>
  <c r="I28" i="2"/>
  <c r="M60" i="1" s="1"/>
  <c r="H28" i="2"/>
  <c r="L60" i="1" s="1"/>
  <c r="G28" i="2"/>
  <c r="K60" i="1" s="1"/>
  <c r="F28" i="2"/>
  <c r="J60" i="1" s="1"/>
  <c r="O22" i="2"/>
  <c r="N22" i="2"/>
  <c r="M22" i="2"/>
  <c r="L22" i="2"/>
  <c r="K22" i="2"/>
  <c r="J22" i="2"/>
  <c r="N59" i="1" s="1"/>
  <c r="I22" i="2"/>
  <c r="M59" i="1" s="1"/>
  <c r="H22" i="2"/>
  <c r="L59" i="1" s="1"/>
  <c r="G22" i="2"/>
  <c r="K59" i="1" s="1"/>
  <c r="F22" i="2"/>
  <c r="J59" i="1" s="1"/>
  <c r="O17" i="2"/>
  <c r="N17" i="2"/>
  <c r="M17" i="2"/>
  <c r="L17" i="2"/>
  <c r="K17" i="2"/>
  <c r="J17" i="2"/>
  <c r="N58" i="1" s="1"/>
  <c r="I17" i="2"/>
  <c r="M58" i="1" s="1"/>
  <c r="H17" i="2"/>
  <c r="L58" i="1" s="1"/>
  <c r="G17" i="2"/>
  <c r="K58" i="1" s="1"/>
  <c r="F17" i="2"/>
  <c r="J58" i="1" s="1"/>
  <c r="O12" i="2"/>
  <c r="N12" i="2"/>
  <c r="M12" i="2"/>
  <c r="L12" i="2"/>
  <c r="K12" i="2"/>
  <c r="J12" i="2"/>
  <c r="N57" i="1" s="1"/>
  <c r="I12" i="2"/>
  <c r="M57" i="1" s="1"/>
  <c r="H12" i="2"/>
  <c r="L57" i="1" s="1"/>
  <c r="G12" i="2"/>
  <c r="K57" i="1" s="1"/>
  <c r="F12" i="2"/>
  <c r="J57" i="1" s="1"/>
  <c r="G4" i="2"/>
  <c r="H4" i="2" s="1"/>
  <c r="I4" i="2" s="1"/>
  <c r="J4" i="2" s="1"/>
  <c r="K4" i="2" s="1"/>
  <c r="L4" i="2" s="1"/>
  <c r="M4" i="2" s="1"/>
  <c r="N4" i="2" s="1"/>
  <c r="O4" i="2" s="1"/>
  <c r="G7" i="4"/>
  <c r="G34" i="4" s="1"/>
  <c r="H7" i="4"/>
  <c r="H34" i="4" s="1"/>
  <c r="I7" i="4"/>
  <c r="I34" i="4" s="1"/>
  <c r="J7" i="4"/>
  <c r="J34" i="4" s="1"/>
  <c r="F7" i="4"/>
  <c r="F34" i="4" s="1"/>
  <c r="H13" i="1"/>
  <c r="H58" i="1" s="1"/>
  <c r="I13" i="1"/>
  <c r="I58" i="1" s="1"/>
  <c r="E11" i="1"/>
  <c r="E14" i="1" s="1"/>
  <c r="E17" i="1" s="1"/>
  <c r="E18" i="1" s="1"/>
  <c r="F11" i="1"/>
  <c r="F14" i="1" s="1"/>
  <c r="F17" i="1" s="1"/>
  <c r="F18" i="1" s="1"/>
  <c r="G11" i="1"/>
  <c r="G14" i="1" s="1"/>
  <c r="G17" i="1" s="1"/>
  <c r="H11" i="1"/>
  <c r="I11" i="1"/>
  <c r="I12" i="1" s="1"/>
  <c r="I9" i="1"/>
  <c r="F9" i="1"/>
  <c r="G9" i="1"/>
  <c r="H9" i="1"/>
  <c r="E9" i="1"/>
  <c r="F7" i="1"/>
  <c r="G7" i="1" s="1"/>
  <c r="H7" i="1" s="1"/>
  <c r="I7" i="1" s="1"/>
  <c r="J7" i="1" s="1"/>
  <c r="G12" i="1" l="1"/>
  <c r="F12" i="1"/>
  <c r="K7" i="1"/>
  <c r="J28" i="1"/>
  <c r="J29" i="1" s="1"/>
  <c r="G18" i="1"/>
  <c r="G20" i="1"/>
  <c r="G61" i="1"/>
  <c r="F20" i="1"/>
  <c r="E20" i="1"/>
  <c r="E61" i="1"/>
  <c r="H14" i="1"/>
  <c r="H17" i="1" s="1"/>
  <c r="H61" i="1" s="1"/>
  <c r="I14" i="1"/>
  <c r="F61" i="1"/>
  <c r="F28" i="4"/>
  <c r="F30" i="4"/>
  <c r="G30" i="4"/>
  <c r="G28" i="4"/>
  <c r="I28" i="4"/>
  <c r="I30" i="4"/>
  <c r="H28" i="4"/>
  <c r="H30" i="4"/>
  <c r="J30" i="4"/>
  <c r="H21" i="4"/>
  <c r="I21" i="4"/>
  <c r="F22" i="4"/>
  <c r="F15" i="1"/>
  <c r="E15" i="1"/>
  <c r="H12" i="1"/>
  <c r="G15" i="1"/>
  <c r="E12" i="1"/>
  <c r="I17" i="1" l="1"/>
  <c r="O41" i="1"/>
  <c r="H22" i="4"/>
  <c r="I24" i="4"/>
  <c r="H24" i="1" s="1"/>
  <c r="I22" i="4"/>
  <c r="H24" i="4"/>
  <c r="G24" i="1" s="1"/>
  <c r="L7" i="1"/>
  <c r="K28" i="1"/>
  <c r="K29" i="1" s="1"/>
  <c r="I18" i="1"/>
  <c r="I15" i="1"/>
  <c r="H20" i="1"/>
  <c r="H15" i="1"/>
  <c r="H18" i="1"/>
  <c r="G22" i="4"/>
  <c r="I61" i="1" l="1"/>
  <c r="I20" i="1"/>
  <c r="M7" i="1"/>
  <c r="L28" i="1"/>
  <c r="N7" i="1" l="1"/>
  <c r="E39" i="1" s="1"/>
  <c r="M28" i="1"/>
  <c r="N28" i="1" l="1"/>
  <c r="J28" i="4" l="1"/>
  <c r="J14" i="4"/>
  <c r="J21" i="4" s="1"/>
  <c r="J24" i="4" s="1"/>
  <c r="I24" i="1" s="1"/>
  <c r="J22" i="4" l="1"/>
  <c r="F7" i="2" l="1"/>
  <c r="J56" i="1" s="1"/>
  <c r="J8" i="1" s="1"/>
  <c r="K7" i="4" s="1"/>
  <c r="K11" i="4" l="1"/>
  <c r="K13" i="4"/>
  <c r="K18" i="4"/>
  <c r="J23" i="1"/>
  <c r="J16" i="1"/>
  <c r="J22" i="1" s="1"/>
  <c r="J13" i="1"/>
  <c r="J10" i="1"/>
  <c r="K8" i="4" s="1"/>
  <c r="J9" i="1"/>
  <c r="K17" i="4" l="1"/>
  <c r="K19" i="4" s="1"/>
  <c r="K12" i="4"/>
  <c r="K14" i="4" s="1"/>
  <c r="J11" i="1"/>
  <c r="K21" i="4" l="1"/>
  <c r="K22" i="4" s="1"/>
  <c r="J62" i="1" s="1"/>
  <c r="J12" i="1"/>
  <c r="J14" i="1"/>
  <c r="K24" i="4" l="1"/>
  <c r="J24" i="1" s="1"/>
  <c r="J17" i="1"/>
  <c r="J15" i="1"/>
  <c r="J18" i="1" l="1"/>
  <c r="J19" i="1"/>
  <c r="J20" i="1" s="1"/>
  <c r="J26" i="1" s="1"/>
  <c r="J30" i="1" s="1"/>
  <c r="G7" i="2"/>
  <c r="K56" i="1" s="1"/>
  <c r="K8" i="1" s="1"/>
  <c r="H7" i="2"/>
  <c r="L56" i="1" s="1"/>
  <c r="I7" i="2"/>
  <c r="M56" i="1" s="1"/>
  <c r="J7" i="2"/>
  <c r="N56" i="1" s="1"/>
  <c r="K7" i="2"/>
  <c r="L7" i="2"/>
  <c r="M7" i="2"/>
  <c r="N7" i="2"/>
  <c r="O7" i="2"/>
  <c r="K16" i="1" l="1"/>
  <c r="K22" i="1" s="1"/>
  <c r="L7" i="4"/>
  <c r="K13" i="1"/>
  <c r="L8" i="1"/>
  <c r="K9" i="1"/>
  <c r="K10" i="1"/>
  <c r="L8" i="4" s="1"/>
  <c r="K23" i="1"/>
  <c r="L12" i="4" l="1"/>
  <c r="L17" i="4"/>
  <c r="L11" i="4"/>
  <c r="L13" i="4"/>
  <c r="L18" i="4"/>
  <c r="L13" i="1"/>
  <c r="L16" i="1"/>
  <c r="L22" i="1" s="1"/>
  <c r="M8" i="1"/>
  <c r="L9" i="1"/>
  <c r="L10" i="1"/>
  <c r="M8" i="4" s="1"/>
  <c r="M7" i="4"/>
  <c r="L23" i="1"/>
  <c r="K11" i="1"/>
  <c r="L11" i="1" l="1"/>
  <c r="L14" i="1" s="1"/>
  <c r="L14" i="4"/>
  <c r="N8" i="1"/>
  <c r="M9" i="1"/>
  <c r="M10" i="1"/>
  <c r="N8" i="4" s="1"/>
  <c r="M23" i="1"/>
  <c r="N7" i="4"/>
  <c r="M13" i="1"/>
  <c r="M16" i="1"/>
  <c r="M22" i="1" s="1"/>
  <c r="M11" i="4"/>
  <c r="M13" i="4"/>
  <c r="M18" i="4"/>
  <c r="K12" i="1"/>
  <c r="K14" i="1"/>
  <c r="L19" i="4"/>
  <c r="M12" i="4"/>
  <c r="M17" i="4"/>
  <c r="L12" i="1" l="1"/>
  <c r="L21" i="4"/>
  <c r="L24" i="4" s="1"/>
  <c r="K24" i="1" s="1"/>
  <c r="M14" i="4"/>
  <c r="M19" i="4"/>
  <c r="M11" i="1"/>
  <c r="M12" i="1" s="1"/>
  <c r="K15" i="1"/>
  <c r="K17" i="1"/>
  <c r="O7" i="4"/>
  <c r="O8" i="1"/>
  <c r="N9" i="1"/>
  <c r="N10" i="1"/>
  <c r="O8" i="4" s="1"/>
  <c r="N23" i="1"/>
  <c r="N13" i="1"/>
  <c r="N16" i="1"/>
  <c r="N22" i="1" s="1"/>
  <c r="N12" i="4"/>
  <c r="N17" i="4"/>
  <c r="L15" i="1"/>
  <c r="L17" i="1"/>
  <c r="N13" i="4"/>
  <c r="N18" i="4"/>
  <c r="N11" i="4"/>
  <c r="L22" i="4" l="1"/>
  <c r="K62" i="1" s="1"/>
  <c r="M21" i="4"/>
  <c r="M22" i="4" s="1"/>
  <c r="L62" i="1" s="1"/>
  <c r="N19" i="4"/>
  <c r="N14" i="4"/>
  <c r="M14" i="1"/>
  <c r="M15" i="1" s="1"/>
  <c r="N11" i="1"/>
  <c r="N14" i="1" s="1"/>
  <c r="O11" i="4"/>
  <c r="O13" i="4"/>
  <c r="O18" i="4"/>
  <c r="O12" i="4"/>
  <c r="O17" i="4"/>
  <c r="K18" i="1"/>
  <c r="K19" i="1"/>
  <c r="K20" i="1" s="1"/>
  <c r="K26" i="1" s="1"/>
  <c r="K30" i="1" s="1"/>
  <c r="L18" i="1"/>
  <c r="L19" i="1"/>
  <c r="L20" i="1" s="1"/>
  <c r="M24" i="4" l="1"/>
  <c r="L24" i="1" s="1"/>
  <c r="M17" i="1"/>
  <c r="M19" i="1" s="1"/>
  <c r="M20" i="1" s="1"/>
  <c r="N21" i="4"/>
  <c r="N24" i="4" s="1"/>
  <c r="M24" i="1" s="1"/>
  <c r="N12" i="1"/>
  <c r="L26" i="1"/>
  <c r="L30" i="1" s="1"/>
  <c r="O11" i="1"/>
  <c r="O19" i="4"/>
  <c r="O14" i="4"/>
  <c r="N15" i="1"/>
  <c r="O14" i="1"/>
  <c r="N17" i="1"/>
  <c r="E36" i="1"/>
  <c r="E38" i="1" s="1"/>
  <c r="M18" i="1" l="1"/>
  <c r="N22" i="4"/>
  <c r="M62" i="1" s="1"/>
  <c r="M26" i="1"/>
  <c r="M30" i="1" s="1"/>
  <c r="O21" i="4"/>
  <c r="O17" i="1"/>
  <c r="N18" i="1"/>
  <c r="N19" i="1"/>
  <c r="N20" i="1" s="1"/>
  <c r="O22" i="4" l="1"/>
  <c r="N62" i="1" s="1"/>
  <c r="O24" i="4"/>
  <c r="N24" i="1" s="1"/>
  <c r="N26" i="1" s="1"/>
  <c r="O33" i="1" s="1"/>
  <c r="O20" i="1"/>
  <c r="N30" i="1" l="1"/>
  <c r="E33" i="1" l="1"/>
  <c r="E40" i="1" l="1"/>
  <c r="O35" i="1"/>
  <c r="O37" i="1" l="1"/>
  <c r="J48" i="1" s="1"/>
  <c r="E43" i="1"/>
  <c r="E41" i="1" s="1"/>
  <c r="C48" i="1" l="1"/>
  <c r="J33" i="1"/>
  <c r="J39" i="1" s="1"/>
  <c r="J43" i="1" s="1"/>
  <c r="O40" i="1"/>
  <c r="O43" i="1" s="1"/>
</calcChain>
</file>

<file path=xl/sharedStrings.xml><?xml version="1.0" encoding="utf-8"?>
<sst xmlns="http://schemas.openxmlformats.org/spreadsheetml/2006/main" count="189" uniqueCount="117">
  <si>
    <t/>
  </si>
  <si>
    <t>WEG S/A</t>
  </si>
  <si>
    <t>Discounted Cash Flow Analysis</t>
  </si>
  <si>
    <t>($ in millions)</t>
  </si>
  <si>
    <t>Scenario</t>
  </si>
  <si>
    <t>Historical Period</t>
  </si>
  <si>
    <t>Projection Period</t>
  </si>
  <si>
    <t>Revenues</t>
  </si>
  <si>
    <t>% growth</t>
  </si>
  <si>
    <t>Cost of goods sold</t>
  </si>
  <si>
    <t>% margin</t>
  </si>
  <si>
    <t>Gross profit</t>
  </si>
  <si>
    <t>EBITDA</t>
  </si>
  <si>
    <t>EBIT</t>
  </si>
  <si>
    <t>Taxes</t>
  </si>
  <si>
    <t>EBIAT</t>
  </si>
  <si>
    <t>Depreciation &amp; amortization</t>
  </si>
  <si>
    <t>Unlevered free cash flow</t>
  </si>
  <si>
    <t>WACC</t>
  </si>
  <si>
    <t>Discount period</t>
  </si>
  <si>
    <t>Discount factor</t>
  </si>
  <si>
    <t>Present value of free cash flow</t>
  </si>
  <si>
    <t>SG&amp;A expense</t>
  </si>
  <si>
    <t>Working Capital Projections</t>
  </si>
  <si>
    <t>WEG</t>
  </si>
  <si>
    <t>Current Assets</t>
  </si>
  <si>
    <t>Accounts receivable</t>
  </si>
  <si>
    <t>Inventories</t>
  </si>
  <si>
    <t>Total current assets</t>
  </si>
  <si>
    <t>Current Liabilities</t>
  </si>
  <si>
    <t>Accounts payable</t>
  </si>
  <si>
    <t>Other current liabilities</t>
  </si>
  <si>
    <t>Total current liabilities</t>
  </si>
  <si>
    <t>Net working capital</t>
  </si>
  <si>
    <t>Increase / Decrease in NWC</t>
  </si>
  <si>
    <t>Assumptions</t>
  </si>
  <si>
    <t>Current assets</t>
  </si>
  <si>
    <t>Days sales outstanding</t>
  </si>
  <si>
    <t>Days inventory held</t>
  </si>
  <si>
    <t>Current liabilities</t>
  </si>
  <si>
    <t>Days payable outstanding</t>
  </si>
  <si>
    <t>Sales (% growth)</t>
  </si>
  <si>
    <t>SG&amp;A (% sales)</t>
  </si>
  <si>
    <t>Depreciation &amp; Amortization (% sales)</t>
  </si>
  <si>
    <t>Cash Flow Statement Assumptions</t>
  </si>
  <si>
    <t>Capital Expenditures (% of sales)</t>
  </si>
  <si>
    <t>Downside</t>
  </si>
  <si>
    <t>Base</t>
  </si>
  <si>
    <t>Upside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</si>
  <si>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</si>
  <si>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</si>
  <si>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</si>
  <si>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</si>
  <si>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</si>
  <si>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</si>
  <si>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</si>
  <si>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</si>
  <si>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</si>
  <si>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</si>
  <si>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Cost of Goods Sold (% revenue)</t>
  </si>
  <si>
    <t>Income statement assumptions</t>
  </si>
  <si>
    <t>x</t>
  </si>
  <si>
    <t>Days Sales Outstanding (DSO)</t>
  </si>
  <si>
    <t>Days Inventory Held (DIH)</t>
  </si>
  <si>
    <t>Prepaid and Other Current Assets (% of sales)</t>
  </si>
  <si>
    <t>Days Payable Outstanding (DPO)</t>
  </si>
  <si>
    <t>Other Current Liabilities (% of sales)</t>
  </si>
  <si>
    <t>COGS (% sales)</t>
  </si>
  <si>
    <t>Capital Expenditures (% sales)</t>
  </si>
  <si>
    <t>Tax Rate</t>
  </si>
  <si>
    <t>Working Capital (% sales)</t>
  </si>
  <si>
    <t>Other current assets</t>
  </si>
  <si>
    <t>Prepaids and other CA</t>
  </si>
  <si>
    <t>($ in millions, fiscal year ending december 31)</t>
  </si>
  <si>
    <t>Weighted Average Cost of Capital Analysis</t>
  </si>
  <si>
    <t>WACC calculation</t>
  </si>
  <si>
    <t>Debt-to-total capitalization</t>
  </si>
  <si>
    <t>Equity-to-total capitalization</t>
  </si>
  <si>
    <t>Kd</t>
  </si>
  <si>
    <t>Ke</t>
  </si>
  <si>
    <t>Beta</t>
  </si>
  <si>
    <t>Riskfree rate</t>
  </si>
  <si>
    <t>Market expected return</t>
  </si>
  <si>
    <t>Interest expense</t>
  </si>
  <si>
    <t>Capital Structure</t>
  </si>
  <si>
    <t>Market Cap</t>
  </si>
  <si>
    <t>Net Debt</t>
  </si>
  <si>
    <t>Corporate tax rate</t>
  </si>
  <si>
    <t>Terminal value</t>
  </si>
  <si>
    <t>Exit EV/EBITDA</t>
  </si>
  <si>
    <t>Exit Multiple</t>
  </si>
  <si>
    <t>Terminal year EBITDA</t>
  </si>
  <si>
    <t>Enterprise Value</t>
  </si>
  <si>
    <t>Present value of terminal value</t>
  </si>
  <si>
    <t>Implied Equity Value</t>
  </si>
  <si>
    <t>Enterprise value</t>
  </si>
  <si>
    <t>Cumulative present value of FCF</t>
  </si>
  <si>
    <t>Total debt</t>
  </si>
  <si>
    <t>Preferred stock</t>
  </si>
  <si>
    <t>Noncontrolling interest</t>
  </si>
  <si>
    <t>Cash and cash equivalents</t>
  </si>
  <si>
    <t>Fully diluted shares oustanding</t>
  </si>
  <si>
    <t>Implied share price</t>
  </si>
  <si>
    <t>% of revenues</t>
  </si>
  <si>
    <t>CAGR</t>
  </si>
  <si>
    <t>Implied Perpetuity Growth Rate</t>
  </si>
  <si>
    <t>Terminal year free cash flow</t>
  </si>
  <si>
    <t>Implied perpetuity growth rate</t>
  </si>
  <si>
    <t>Implied EV/EBITDA</t>
  </si>
  <si>
    <t>LTM EBITDA</t>
  </si>
  <si>
    <t>% of enterprise value</t>
  </si>
  <si>
    <t>('23 - '28)</t>
  </si>
  <si>
    <t>Assumptions - Income Statement and Cash Flow Statement</t>
  </si>
  <si>
    <t>Assumptions 2 - Balance Sheet</t>
  </si>
  <si>
    <t>(+) D&amp;A</t>
  </si>
  <si>
    <t>(-) Capital expenditures</t>
  </si>
  <si>
    <t>(-) Changes in NWC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</si>
</sst>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yyyy"/>
    <numFmt numFmtId="165" formatCode="0.0%"/>
    <numFmt numFmtId="166" formatCode="0.0"/>
    <numFmt numFmtId="167" formatCode="#,##0.0\x_);\(#,###.0\x0\)"/>
    <numFmt numFmtId="168" formatCode="&quot;$&quot;#,##0.00"/>
    <numFmt numFmtId="169" formatCode="&quot;$&quot;#,##0"/>
    <numFmt numFmtId="170" formatCode="#,##0_);\(#,##0\);&quot;-&quot;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i/>
      <sz val="10"/>
      <color rgb="FF0070C0"/>
      <name val="Arial"/>
      <family val="2"/>
    </font>
    <font>
      <sz val="5"/>
      <color theme="1"/>
      <name val="Arial"/>
      <family val="2"/>
    </font>
    <font>
      <b/>
      <sz val="10"/>
      <name val="MS Sans Serif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color theme="1"/>
      <name val="Arial"/>
      <family val="2"/>
    </font>
    <font>
      <i/>
      <sz val="10"/>
      <color theme="0"/>
      <name val="Arial"/>
      <family val="2"/>
    </font>
    <font>
      <sz val="10"/>
      <color theme="0"/>
      <name val="Arial"/>
      <family val="2"/>
    </font>
    <font>
      <i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2" borderId="1" applyNumberFormat="0" applyFont="0" applyAlignment="0" applyProtection="0"/>
    <xf numFmtId="0" fontId="8" fillId="0" borderId="0" applyNumberFormat="0" applyFill="0" applyBorder="0" applyAlignment="0" applyProtection="0"/>
  </cellStyleXfs>
  <cellXfs count="121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quotePrefix="1" applyFont="1"/>
    <xf numFmtId="0" fontId="4" fillId="3" borderId="0" xfId="0" applyFont="1" applyFill="1" applyAlignment="1">
      <alignment horizontal="centerContinuous"/>
    </xf>
    <xf numFmtId="0" fontId="4" fillId="0" borderId="3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2" xfId="0" applyFont="1" applyBorder="1"/>
    <xf numFmtId="9" fontId="3" fillId="0" borderId="0" xfId="1" applyFont="1"/>
    <xf numFmtId="37" fontId="3" fillId="0" borderId="0" xfId="0" applyNumberFormat="1" applyFont="1"/>
    <xf numFmtId="37" fontId="3" fillId="0" borderId="2" xfId="0" applyNumberFormat="1" applyFont="1" applyBorder="1"/>
    <xf numFmtId="37" fontId="4" fillId="0" borderId="0" xfId="0" applyNumberFormat="1" applyFont="1"/>
    <xf numFmtId="0" fontId="4" fillId="4" borderId="3" xfId="0" applyFont="1" applyFill="1" applyBorder="1" applyAlignment="1">
      <alignment horizontal="centerContinuous"/>
    </xf>
    <xf numFmtId="0" fontId="4" fillId="0" borderId="4" xfId="0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0" fontId="3" fillId="4" borderId="3" xfId="0" applyFont="1" applyFill="1" applyBorder="1" applyAlignment="1">
      <alignment horizontal="centerContinuous"/>
    </xf>
    <xf numFmtId="9" fontId="4" fillId="0" borderId="0" xfId="1" applyFont="1"/>
    <xf numFmtId="9" fontId="6" fillId="0" borderId="5" xfId="0" applyNumberFormat="1" applyFont="1" applyBorder="1"/>
    <xf numFmtId="9" fontId="6" fillId="0" borderId="6" xfId="0" applyNumberFormat="1" applyFont="1" applyBorder="1"/>
    <xf numFmtId="9" fontId="6" fillId="0" borderId="7" xfId="0" applyNumberFormat="1" applyFont="1" applyBorder="1"/>
    <xf numFmtId="0" fontId="7" fillId="0" borderId="0" xfId="0" applyFont="1"/>
    <xf numFmtId="0" fontId="10" fillId="0" borderId="0" xfId="3" applyFont="1" applyBorder="1"/>
    <xf numFmtId="165" fontId="9" fillId="0" borderId="0" xfId="1" applyNumberFormat="1" applyFont="1" applyFill="1" applyBorder="1"/>
    <xf numFmtId="0" fontId="11" fillId="0" borderId="0" xfId="3" applyFont="1" applyBorder="1"/>
    <xf numFmtId="0" fontId="9" fillId="0" borderId="2" xfId="3" applyFont="1" applyFill="1" applyBorder="1"/>
    <xf numFmtId="0" fontId="3" fillId="0" borderId="0" xfId="0" applyFont="1" applyAlignment="1">
      <alignment horizontal="right"/>
    </xf>
    <xf numFmtId="0" fontId="3" fillId="0" borderId="5" xfId="0" applyFont="1" applyBorder="1"/>
    <xf numFmtId="0" fontId="3" fillId="0" borderId="6" xfId="0" applyFont="1" applyBorder="1"/>
    <xf numFmtId="0" fontId="12" fillId="0" borderId="0" xfId="0" applyFont="1"/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vertical="top" indent="1"/>
    </xf>
    <xf numFmtId="0" fontId="4" fillId="0" borderId="0" xfId="0" applyFont="1" applyAlignment="1">
      <alignment horizontal="left" indent="1"/>
    </xf>
    <xf numFmtId="0" fontId="4" fillId="2" borderId="1" xfId="2" applyFont="1" applyAlignment="1">
      <alignment horizontal="center"/>
    </xf>
    <xf numFmtId="0" fontId="12" fillId="0" borderId="2" xfId="0" applyFont="1" applyBorder="1"/>
    <xf numFmtId="0" fontId="4" fillId="5" borderId="2" xfId="0" applyFont="1" applyFill="1" applyBorder="1" applyAlignment="1">
      <alignment horizontal="centerContinuous"/>
    </xf>
    <xf numFmtId="4" fontId="4" fillId="6" borderId="2" xfId="0" applyNumberFormat="1" applyFont="1" applyFill="1" applyBorder="1" applyAlignment="1">
      <alignment horizontal="centerContinuous"/>
    </xf>
    <xf numFmtId="4" fontId="3" fillId="6" borderId="2" xfId="0" applyNumberFormat="1" applyFont="1" applyFill="1" applyBorder="1" applyAlignment="1">
      <alignment horizontal="centerContinuous"/>
    </xf>
    <xf numFmtId="164" fontId="4" fillId="0" borderId="3" xfId="0" applyNumberFormat="1" applyFont="1" applyBorder="1" applyAlignment="1">
      <alignment horizontal="center"/>
    </xf>
    <xf numFmtId="37" fontId="4" fillId="0" borderId="4" xfId="0" applyNumberFormat="1" applyFont="1" applyBorder="1"/>
    <xf numFmtId="165" fontId="4" fillId="0" borderId="0" xfId="1" applyNumberFormat="1" applyFont="1"/>
    <xf numFmtId="0" fontId="3" fillId="3" borderId="2" xfId="0" applyFont="1" applyFill="1" applyBorder="1"/>
    <xf numFmtId="0" fontId="12" fillId="3" borderId="8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3" fillId="3" borderId="4" xfId="0" applyFont="1" applyFill="1" applyBorder="1"/>
    <xf numFmtId="0" fontId="3" fillId="3" borderId="9" xfId="0" applyFont="1" applyFill="1" applyBorder="1"/>
    <xf numFmtId="0" fontId="3" fillId="3" borderId="10" xfId="0" applyFont="1" applyFill="1" applyBorder="1"/>
    <xf numFmtId="0" fontId="3" fillId="3" borderId="0" xfId="0" applyFont="1" applyFill="1"/>
    <xf numFmtId="1" fontId="3" fillId="3" borderId="0" xfId="0" applyNumberFormat="1" applyFont="1" applyFill="1"/>
    <xf numFmtId="1" fontId="3" fillId="3" borderId="11" xfId="0" applyNumberFormat="1" applyFont="1" applyFill="1" applyBorder="1"/>
    <xf numFmtId="166" fontId="3" fillId="3" borderId="0" xfId="0" applyNumberFormat="1" applyFont="1" applyFill="1"/>
    <xf numFmtId="166" fontId="3" fillId="3" borderId="11" xfId="0" applyNumberFormat="1" applyFont="1" applyFill="1" applyBorder="1"/>
    <xf numFmtId="9" fontId="3" fillId="3" borderId="0" xfId="1" applyFont="1" applyFill="1" applyBorder="1"/>
    <xf numFmtId="9" fontId="3" fillId="3" borderId="11" xfId="1" applyFont="1" applyFill="1" applyBorder="1"/>
    <xf numFmtId="0" fontId="3" fillId="3" borderId="11" xfId="0" applyFont="1" applyFill="1" applyBorder="1"/>
    <xf numFmtId="0" fontId="12" fillId="3" borderId="12" xfId="0" applyFont="1" applyFill="1" applyBorder="1"/>
    <xf numFmtId="0" fontId="3" fillId="3" borderId="12" xfId="0" applyFont="1" applyFill="1" applyBorder="1"/>
    <xf numFmtId="9" fontId="3" fillId="3" borderId="2" xfId="1" applyFont="1" applyFill="1" applyBorder="1"/>
    <xf numFmtId="9" fontId="3" fillId="3" borderId="13" xfId="1" applyFont="1" applyFill="1" applyBorder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165" fontId="6" fillId="0" borderId="5" xfId="1" applyNumberFormat="1" applyFont="1" applyBorder="1"/>
    <xf numFmtId="165" fontId="6" fillId="0" borderId="6" xfId="1" applyNumberFormat="1" applyFont="1" applyBorder="1"/>
    <xf numFmtId="165" fontId="6" fillId="0" borderId="7" xfId="1" applyNumberFormat="1" applyFont="1" applyBorder="1"/>
    <xf numFmtId="9" fontId="6" fillId="0" borderId="5" xfId="1" applyFont="1" applyBorder="1"/>
    <xf numFmtId="9" fontId="6" fillId="0" borderId="6" xfId="1" applyFont="1" applyBorder="1"/>
    <xf numFmtId="9" fontId="6" fillId="0" borderId="7" xfId="1" applyFont="1" applyBorder="1"/>
    <xf numFmtId="0" fontId="3" fillId="0" borderId="0" xfId="0" applyFont="1" applyAlignment="1">
      <alignment wrapText="1"/>
    </xf>
    <xf numFmtId="0" fontId="14" fillId="0" borderId="0" xfId="0" applyFont="1"/>
    <xf numFmtId="9" fontId="3" fillId="0" borderId="0" xfId="0" applyNumberFormat="1" applyFont="1"/>
    <xf numFmtId="0" fontId="4" fillId="6" borderId="0" xfId="0" applyFont="1" applyFill="1"/>
    <xf numFmtId="0" fontId="3" fillId="6" borderId="0" xfId="0" applyFont="1" applyFill="1"/>
    <xf numFmtId="10" fontId="4" fillId="6" borderId="0" xfId="1" applyNumberFormat="1" applyFont="1" applyFill="1"/>
    <xf numFmtId="2" fontId="3" fillId="0" borderId="0" xfId="0" applyNumberFormat="1" applyFont="1"/>
    <xf numFmtId="166" fontId="3" fillId="0" borderId="0" xfId="0" applyNumberFormat="1" applyFont="1"/>
    <xf numFmtId="167" fontId="3" fillId="0" borderId="2" xfId="0" applyNumberFormat="1" applyFont="1" applyBorder="1"/>
    <xf numFmtId="0" fontId="4" fillId="0" borderId="0" xfId="0" applyFont="1" applyAlignment="1">
      <alignment horizontal="left" indent="2"/>
    </xf>
    <xf numFmtId="0" fontId="3" fillId="0" borderId="0" xfId="0" applyFont="1" applyAlignment="1">
      <alignment horizontal="left" indent="2"/>
    </xf>
    <xf numFmtId="0" fontId="4" fillId="0" borderId="2" xfId="0" applyFont="1" applyBorder="1"/>
    <xf numFmtId="0" fontId="5" fillId="7" borderId="0" xfId="0" applyFont="1" applyFill="1"/>
    <xf numFmtId="0" fontId="5" fillId="7" borderId="0" xfId="0" applyFont="1" applyFill="1" applyAlignment="1">
      <alignment horizontal="centerContinuous"/>
    </xf>
    <xf numFmtId="0" fontId="14" fillId="7" borderId="0" xfId="0" applyFont="1" applyFill="1"/>
    <xf numFmtId="37" fontId="5" fillId="7" borderId="0" xfId="0" applyNumberFormat="1" applyFont="1" applyFill="1"/>
    <xf numFmtId="2" fontId="3" fillId="0" borderId="2" xfId="0" applyNumberFormat="1" applyFont="1" applyBorder="1"/>
    <xf numFmtId="0" fontId="3" fillId="7" borderId="0" xfId="0" applyFont="1" applyFill="1" applyAlignment="1">
      <alignment horizontal="centerContinuous"/>
    </xf>
    <xf numFmtId="3" fontId="3" fillId="0" borderId="0" xfId="0" applyNumberFormat="1" applyFont="1"/>
    <xf numFmtId="168" fontId="4" fillId="3" borderId="14" xfId="0" applyNumberFormat="1" applyFont="1" applyFill="1" applyBorder="1"/>
    <xf numFmtId="169" fontId="4" fillId="3" borderId="14" xfId="0" applyNumberFormat="1" applyFont="1" applyFill="1" applyBorder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170" fontId="3" fillId="0" borderId="0" xfId="0" applyNumberFormat="1" applyFont="1"/>
    <xf numFmtId="170" fontId="3" fillId="0" borderId="2" xfId="0" applyNumberFormat="1" applyFont="1" applyBorder="1"/>
    <xf numFmtId="165" fontId="2" fillId="0" borderId="0" xfId="1" applyNumberFormat="1" applyFont="1"/>
    <xf numFmtId="0" fontId="4" fillId="0" borderId="2" xfId="0" applyFont="1" applyBorder="1" applyAlignment="1">
      <alignment horizontal="center"/>
    </xf>
    <xf numFmtId="165" fontId="15" fillId="0" borderId="0" xfId="1" applyNumberFormat="1" applyFont="1" applyAlignment="1" applyProtection="1">
      <alignment horizontal="center"/>
    </xf>
    <xf numFmtId="165" fontId="4" fillId="3" borderId="14" xfId="1" applyNumberFormat="1" applyFont="1" applyFill="1" applyBorder="1"/>
    <xf numFmtId="169" fontId="3" fillId="0" borderId="0" xfId="0" applyNumberFormat="1" applyFont="1"/>
    <xf numFmtId="9" fontId="2" fillId="0" borderId="0" xfId="1" applyFont="1"/>
    <xf numFmtId="167" fontId="4" fillId="3" borderId="14" xfId="0" applyNumberFormat="1" applyFont="1" applyFill="1" applyBorder="1"/>
    <xf numFmtId="0" fontId="4" fillId="0" borderId="0" xfId="0" applyFont="1" applyAlignment="1">
      <alignment horizontal="centerContinuous"/>
    </xf>
    <xf numFmtId="165" fontId="3" fillId="0" borderId="0" xfId="0" applyNumberFormat="1" applyFont="1"/>
    <xf numFmtId="169" fontId="14" fillId="0" borderId="0" xfId="0" applyNumberFormat="1" applyFont="1"/>
    <xf numFmtId="165" fontId="14" fillId="0" borderId="0" xfId="0" applyNumberFormat="1" applyFont="1"/>
    <xf numFmtId="165" fontId="4" fillId="0" borderId="11" xfId="0" applyNumberFormat="1" applyFont="1" applyBorder="1"/>
    <xf numFmtId="167" fontId="4" fillId="0" borderId="3" xfId="0" applyNumberFormat="1" applyFont="1" applyBorder="1" applyAlignment="1">
      <alignment horizontal="center"/>
    </xf>
    <xf numFmtId="165" fontId="3" fillId="0" borderId="0" xfId="1" applyNumberFormat="1" applyFont="1" applyAlignment="1">
      <alignment horizontal="center"/>
    </xf>
    <xf numFmtId="165" fontId="4" fillId="3" borderId="0" xfId="1" applyNumberFormat="1" applyFont="1" applyFill="1" applyAlignment="1">
      <alignment horizontal="center"/>
    </xf>
    <xf numFmtId="165" fontId="14" fillId="7" borderId="0" xfId="1" applyNumberFormat="1" applyFont="1" applyFill="1" applyAlignment="1">
      <alignment horizontal="center"/>
    </xf>
    <xf numFmtId="37" fontId="3" fillId="0" borderId="0" xfId="0" applyNumberFormat="1" applyFont="1" applyAlignment="1">
      <alignment horizontal="center"/>
    </xf>
    <xf numFmtId="37" fontId="14" fillId="7" borderId="0" xfId="0" applyNumberFormat="1" applyFont="1" applyFill="1" applyAlignment="1">
      <alignment horizontal="center"/>
    </xf>
    <xf numFmtId="37" fontId="4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left"/>
    </xf>
    <xf numFmtId="0" fontId="14" fillId="8" borderId="0" xfId="0" applyFont="1" applyFill="1"/>
    <xf numFmtId="0" fontId="5" fillId="8" borderId="0" xfId="0" applyFont="1" applyFill="1"/>
    <xf numFmtId="0" fontId="14" fillId="8" borderId="0" xfId="0" quotePrefix="1" applyFont="1" applyFill="1"/>
    <xf numFmtId="0" fontId="13" fillId="8" borderId="0" xfId="0" applyFont="1" applyFill="1"/>
    <xf numFmtId="0" fontId="4" fillId="0" borderId="0" xfId="0" applyFont="1" applyAlignment="1">
      <alignment horizontal="right" vertical="center" textRotation="90"/>
    </xf>
    <xf numFmtId="0" fontId="3" fillId="8" borderId="0" xfId="0" applyFont="1" applyFill="1"/>
    <xf numFmtId="0" fontId="13" fillId="8" borderId="2" xfId="0" applyFont="1" applyFill="1" applyBorder="1"/>
    <xf numFmtId="0" fontId="7" fillId="8" borderId="0" xfId="0" applyFont="1" applyFill="1"/>
  </cellXfs>
  <cellStyles count="4">
    <cellStyle name="_x000a_386grabber=M" xfId="3" xr:uid="{2BD67515-1EA4-4344-88DD-F915F981A951}"/>
    <cellStyle name="Normal" xfId="0" builtinId="0"/>
    <cellStyle name="Note" xfId="2" builtinId="10"/>
    <cellStyle name="Percent" xfId="1" builtinId="5"/>
  </cellStyles>
  <dxfs count="0"/>
  <tableStyles count="0" defaultTableStyle="TableStyleMedium2" defaultPivotStyle="PivotStyleLight16"/>
  <colors>
    <mruColors>
      <color rgb="FF0052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6E916-E6BD-4D0C-8E1E-2590E80829B2}">
  <dimension ref="A1:O62"/>
  <sheetViews>
    <sheetView showGridLines="0" tabSelected="1" zoomScaleNormal="100" workbookViewId="0">
      <selection activeCell="N14" sqref="N14"/>
    </sheetView>
  </sheetViews>
  <sheetFormatPr defaultColWidth="10.7109375" defaultRowHeight="12.75" x14ac:dyDescent="0.2"/>
  <cols>
    <col min="1" max="1" width="0.85546875" style="1" customWidth="1"/>
    <col min="2" max="16384" width="10.7109375" style="1"/>
  </cols>
  <sheetData>
    <row r="1" spans="1:15" x14ac:dyDescent="0.2">
      <c r="A1" s="113"/>
      <c r="B1" s="114" t="s">
        <v>1</v>
      </c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</row>
    <row r="2" spans="1:15" x14ac:dyDescent="0.2">
      <c r="A2" s="113"/>
      <c r="B2" s="114" t="s">
        <v>2</v>
      </c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</row>
    <row r="3" spans="1:15" x14ac:dyDescent="0.2">
      <c r="A3" s="115" t="s">
        <v>0</v>
      </c>
      <c r="B3" s="116" t="s">
        <v>3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</row>
    <row r="4" spans="1:15" x14ac:dyDescent="0.2">
      <c r="B4" s="1" t="s">
        <v>4</v>
      </c>
      <c r="C4" s="32" t="s">
        <v>47</v>
      </c>
    </row>
    <row r="6" spans="1:15" x14ac:dyDescent="0.2">
      <c r="E6" s="81" t="s">
        <v>5</v>
      </c>
      <c r="F6" s="81"/>
      <c r="G6" s="81"/>
      <c r="H6" s="81"/>
      <c r="I6" s="81"/>
      <c r="J6" s="4" t="s">
        <v>6</v>
      </c>
      <c r="K6" s="4"/>
      <c r="L6" s="4"/>
      <c r="M6" s="4"/>
      <c r="N6" s="4"/>
      <c r="O6" s="94" t="s">
        <v>104</v>
      </c>
    </row>
    <row r="7" spans="1:15" x14ac:dyDescent="0.2">
      <c r="E7" s="5">
        <v>2019</v>
      </c>
      <c r="F7" s="5">
        <f>E7+1</f>
        <v>2020</v>
      </c>
      <c r="G7" s="5">
        <f t="shared" ref="G7:N7" si="0">F7+1</f>
        <v>2021</v>
      </c>
      <c r="H7" s="5">
        <f t="shared" si="0"/>
        <v>2022</v>
      </c>
      <c r="I7" s="5">
        <f t="shared" si="0"/>
        <v>2023</v>
      </c>
      <c r="J7" s="5">
        <f t="shared" si="0"/>
        <v>2024</v>
      </c>
      <c r="K7" s="5">
        <f t="shared" si="0"/>
        <v>2025</v>
      </c>
      <c r="L7" s="5">
        <f t="shared" si="0"/>
        <v>2026</v>
      </c>
      <c r="M7" s="5">
        <f t="shared" si="0"/>
        <v>2027</v>
      </c>
      <c r="N7" s="5">
        <f t="shared" si="0"/>
        <v>2028</v>
      </c>
      <c r="O7" s="94" t="s">
        <v>111</v>
      </c>
    </row>
    <row r="8" spans="1:15" x14ac:dyDescent="0.2">
      <c r="B8" s="2" t="s">
        <v>7</v>
      </c>
      <c r="E8" s="9">
        <v>13347</v>
      </c>
      <c r="F8" s="9">
        <v>17470</v>
      </c>
      <c r="G8" s="9">
        <v>23563</v>
      </c>
      <c r="H8" s="9">
        <v>29905</v>
      </c>
      <c r="I8" s="9">
        <v>32504</v>
      </c>
      <c r="J8" s="9">
        <f>I8*(1+J56)</f>
        <v>35754.400000000001</v>
      </c>
      <c r="K8" s="9">
        <f>J8*(1+K56)</f>
        <v>39329.840000000004</v>
      </c>
      <c r="L8" s="9">
        <f>K8*(1+L56)</f>
        <v>42476.227200000008</v>
      </c>
      <c r="M8" s="9">
        <f>L8*(1+M56)</f>
        <v>45874.325376000015</v>
      </c>
      <c r="N8" s="9">
        <f>M8*(1+N56)</f>
        <v>49085.528152320017</v>
      </c>
      <c r="O8" s="95">
        <f>+IFERROR((N8/I8)^(1/($N$7-$I$7))-1, 0)</f>
        <v>8.5933752283981812E-2</v>
      </c>
    </row>
    <row r="9" spans="1:15" x14ac:dyDescent="0.2">
      <c r="C9" s="6" t="s">
        <v>8</v>
      </c>
      <c r="E9" s="93">
        <f>IFERROR((E8-D8)/D8,0)</f>
        <v>0</v>
      </c>
      <c r="F9" s="93">
        <f t="shared" ref="F9:H9" si="1">IFERROR((F8-E8)/E8,0)</f>
        <v>0.30890836892185508</v>
      </c>
      <c r="G9" s="93">
        <f t="shared" si="1"/>
        <v>0.3487693188322839</v>
      </c>
      <c r="H9" s="93">
        <f t="shared" si="1"/>
        <v>0.2691507872511989</v>
      </c>
      <c r="I9" s="93">
        <f>IFERROR((I8-H8)/H8,0)</f>
        <v>8.690854372178565E-2</v>
      </c>
      <c r="J9" s="93">
        <f>IFERROR((J8-I8)/I8,0)</f>
        <v>0.10000000000000005</v>
      </c>
      <c r="K9" s="93">
        <f>IFERROR((K8-J8)/J8,0)</f>
        <v>0.10000000000000006</v>
      </c>
      <c r="L9" s="93">
        <f>IFERROR((L8-K8)/K8,0)</f>
        <v>8.0000000000000113E-2</v>
      </c>
      <c r="M9" s="93">
        <f t="shared" ref="M9:N9" si="2">IFERROR((M8-L8)/L8,0)</f>
        <v>8.000000000000014E-2</v>
      </c>
      <c r="N9" s="93">
        <f t="shared" si="2"/>
        <v>7.0000000000000021E-2</v>
      </c>
    </row>
    <row r="10" spans="1:15" x14ac:dyDescent="0.2">
      <c r="B10" s="1" t="s">
        <v>9</v>
      </c>
      <c r="E10" s="10">
        <v>-9306</v>
      </c>
      <c r="F10" s="10">
        <v>-12013</v>
      </c>
      <c r="G10" s="10">
        <v>-16652</v>
      </c>
      <c r="H10" s="10">
        <v>-21310</v>
      </c>
      <c r="I10" s="10">
        <v>-21937</v>
      </c>
      <c r="J10" s="10">
        <f>J8*-J57</f>
        <v>-24312.992000000002</v>
      </c>
      <c r="K10" s="10">
        <f>K8*-K57</f>
        <v>-26744.291200000003</v>
      </c>
      <c r="L10" s="10">
        <f>L8*-L57</f>
        <v>-28883.834496000007</v>
      </c>
      <c r="M10" s="10">
        <f>M8*-M57</f>
        <v>-31194.541255680011</v>
      </c>
      <c r="N10" s="10">
        <f>N8*-N57</f>
        <v>-33378.159143577614</v>
      </c>
    </row>
    <row r="11" spans="1:15" x14ac:dyDescent="0.2">
      <c r="B11" s="2" t="s">
        <v>11</v>
      </c>
      <c r="E11" s="11">
        <f>+E8+E10</f>
        <v>4041</v>
      </c>
      <c r="F11" s="11">
        <f t="shared" ref="F11:N11" si="3">+F8+F10</f>
        <v>5457</v>
      </c>
      <c r="G11" s="11">
        <f t="shared" si="3"/>
        <v>6911</v>
      </c>
      <c r="H11" s="11">
        <f t="shared" si="3"/>
        <v>8595</v>
      </c>
      <c r="I11" s="11">
        <f t="shared" si="3"/>
        <v>10567</v>
      </c>
      <c r="J11" s="11">
        <f t="shared" si="3"/>
        <v>11441.407999999999</v>
      </c>
      <c r="K11" s="11">
        <f t="shared" si="3"/>
        <v>12585.5488</v>
      </c>
      <c r="L11" s="11">
        <f t="shared" si="3"/>
        <v>13592.392704000002</v>
      </c>
      <c r="M11" s="11">
        <f t="shared" si="3"/>
        <v>14679.784120320004</v>
      </c>
      <c r="N11" s="11">
        <f t="shared" si="3"/>
        <v>15707.369008742404</v>
      </c>
      <c r="O11" s="95">
        <f>+IFERROR((N11/I11)^(1/($N$7-$I$7))-1, 0)</f>
        <v>8.2506088845879733E-2</v>
      </c>
    </row>
    <row r="12" spans="1:15" x14ac:dyDescent="0.2">
      <c r="C12" s="6" t="s">
        <v>10</v>
      </c>
      <c r="E12" s="93">
        <f>E11/E$8-1</f>
        <v>-0.6972353337828725</v>
      </c>
      <c r="F12" s="93">
        <f t="shared" ref="F12:N12" si="4">F11/F$8-1</f>
        <v>-0.68763594733829425</v>
      </c>
      <c r="G12" s="93">
        <f t="shared" si="4"/>
        <v>-0.70670118405975468</v>
      </c>
      <c r="H12" s="93">
        <f t="shared" si="4"/>
        <v>-0.7125898679150644</v>
      </c>
      <c r="I12" s="93">
        <f t="shared" si="4"/>
        <v>-0.67490155057839041</v>
      </c>
      <c r="J12" s="93">
        <f t="shared" si="4"/>
        <v>-0.68</v>
      </c>
      <c r="K12" s="93">
        <f t="shared" si="4"/>
        <v>-0.67999999999999994</v>
      </c>
      <c r="L12" s="93">
        <f t="shared" si="4"/>
        <v>-0.68</v>
      </c>
      <c r="M12" s="93">
        <f t="shared" si="4"/>
        <v>-0.67999999999999994</v>
      </c>
      <c r="N12" s="93">
        <f t="shared" si="4"/>
        <v>-0.68</v>
      </c>
    </row>
    <row r="13" spans="1:15" x14ac:dyDescent="0.2">
      <c r="B13" s="1" t="s">
        <v>22</v>
      </c>
      <c r="E13" s="10">
        <v>-1809</v>
      </c>
      <c r="F13" s="10">
        <v>-2173</v>
      </c>
      <c r="G13" s="10">
        <v>-2620</v>
      </c>
      <c r="H13" s="10">
        <f>-3050+44</f>
        <v>-3006</v>
      </c>
      <c r="I13" s="10">
        <f>-3482+24</f>
        <v>-3458</v>
      </c>
      <c r="J13" s="10">
        <f>J8*-J58</f>
        <v>-3575.4400000000005</v>
      </c>
      <c r="K13" s="10">
        <f>K8*-K58</f>
        <v>-3932.9840000000004</v>
      </c>
      <c r="L13" s="10">
        <f>L8*-L58</f>
        <v>-4247.6227200000012</v>
      </c>
      <c r="M13" s="10">
        <f>M8*-M58</f>
        <v>-4587.4325376000015</v>
      </c>
      <c r="N13" s="10">
        <f>N8*-N58</f>
        <v>-4908.5528152320021</v>
      </c>
    </row>
    <row r="14" spans="1:15" x14ac:dyDescent="0.2">
      <c r="B14" s="2" t="s">
        <v>12</v>
      </c>
      <c r="E14" s="11">
        <f>E11+E13</f>
        <v>2232</v>
      </c>
      <c r="F14" s="11">
        <f>F11+F13</f>
        <v>3284</v>
      </c>
      <c r="G14" s="11">
        <f>G11+G13</f>
        <v>4291</v>
      </c>
      <c r="H14" s="11">
        <f>H11+H13</f>
        <v>5589</v>
      </c>
      <c r="I14" s="11">
        <f>I11+I13</f>
        <v>7109</v>
      </c>
      <c r="J14" s="11">
        <f t="shared" ref="J14:N14" si="5">J11+J13</f>
        <v>7865.9679999999989</v>
      </c>
      <c r="K14" s="11">
        <f t="shared" si="5"/>
        <v>8652.5648000000001</v>
      </c>
      <c r="L14" s="11">
        <f t="shared" si="5"/>
        <v>9344.7699840000005</v>
      </c>
      <c r="M14" s="11">
        <f t="shared" si="5"/>
        <v>10092.351582720003</v>
      </c>
      <c r="N14" s="11">
        <f t="shared" si="5"/>
        <v>10798.816193510402</v>
      </c>
      <c r="O14" s="95">
        <f>+IFERROR((N14/I14)^(1/($N$7-$I$7))-1, 0)</f>
        <v>8.721022194355843E-2</v>
      </c>
    </row>
    <row r="15" spans="1:15" x14ac:dyDescent="0.2">
      <c r="C15" s="6" t="s">
        <v>10</v>
      </c>
      <c r="E15" s="93">
        <f>E14/E$8-1</f>
        <v>-0.8327714093054619</v>
      </c>
      <c r="F15" s="93">
        <f t="shared" ref="F15:N15" si="6">F14/F$8-1</f>
        <v>-0.81202060675443621</v>
      </c>
      <c r="G15" s="93">
        <f>G14/G$8-1</f>
        <v>-0.81789245851546921</v>
      </c>
      <c r="H15" s="93">
        <f>H14/H$8-1</f>
        <v>-0.81310817589031936</v>
      </c>
      <c r="I15" s="93">
        <f>I14/I$8-1</f>
        <v>-0.78128845680531622</v>
      </c>
      <c r="J15" s="93">
        <f t="shared" si="6"/>
        <v>-0.78</v>
      </c>
      <c r="K15" s="93">
        <f t="shared" si="6"/>
        <v>-0.78</v>
      </c>
      <c r="L15" s="93">
        <f t="shared" si="6"/>
        <v>-0.78</v>
      </c>
      <c r="M15" s="93">
        <f t="shared" si="6"/>
        <v>-0.78</v>
      </c>
      <c r="N15" s="93">
        <f t="shared" si="6"/>
        <v>-0.78</v>
      </c>
    </row>
    <row r="16" spans="1:15" x14ac:dyDescent="0.2">
      <c r="B16" s="1" t="s">
        <v>16</v>
      </c>
      <c r="E16" s="10">
        <v>-396.78</v>
      </c>
      <c r="F16" s="10">
        <v>-451.36</v>
      </c>
      <c r="G16" s="10">
        <v>-520.17999999999995</v>
      </c>
      <c r="H16" s="10">
        <v>-565.55999999999995</v>
      </c>
      <c r="I16" s="10">
        <v>-628.04</v>
      </c>
      <c r="J16" s="10">
        <f>J8*-J59</f>
        <v>-715.08800000000008</v>
      </c>
      <c r="K16" s="10">
        <f>K8*-K59</f>
        <v>-786.59680000000014</v>
      </c>
      <c r="L16" s="10">
        <f>L8*-L59</f>
        <v>-849.52454400000022</v>
      </c>
      <c r="M16" s="10">
        <f>M8*-M59</f>
        <v>-917.48650752000037</v>
      </c>
      <c r="N16" s="10">
        <f>N8*-N59</f>
        <v>-981.71056304640035</v>
      </c>
    </row>
    <row r="17" spans="2:15" x14ac:dyDescent="0.2">
      <c r="B17" s="2" t="s">
        <v>13</v>
      </c>
      <c r="E17" s="11">
        <f>E14+E16</f>
        <v>1835.22</v>
      </c>
      <c r="F17" s="11">
        <f t="shared" ref="F17:I17" si="7">F14+F16</f>
        <v>2832.64</v>
      </c>
      <c r="G17" s="11">
        <f t="shared" si="7"/>
        <v>3770.82</v>
      </c>
      <c r="H17" s="11">
        <f t="shared" si="7"/>
        <v>5023.4400000000005</v>
      </c>
      <c r="I17" s="11">
        <f t="shared" si="7"/>
        <v>6480.96</v>
      </c>
      <c r="J17" s="11">
        <f t="shared" ref="J17" si="8">J14+J16</f>
        <v>7150.8799999999992</v>
      </c>
      <c r="K17" s="11">
        <f t="shared" ref="K17" si="9">K14+K16</f>
        <v>7865.9679999999998</v>
      </c>
      <c r="L17" s="11">
        <f t="shared" ref="L17" si="10">L14+L16</f>
        <v>8495.2454400000006</v>
      </c>
      <c r="M17" s="11">
        <f t="shared" ref="M17" si="11">M14+M16</f>
        <v>9174.865075200003</v>
      </c>
      <c r="N17" s="11">
        <f t="shared" ref="N17" si="12">N14+N16</f>
        <v>9817.1056304640006</v>
      </c>
      <c r="O17" s="95">
        <f>+IFERROR((N17/I17)^(1/($N$7-$I$7))-1, 0)</f>
        <v>8.659780798015615E-2</v>
      </c>
    </row>
    <row r="18" spans="2:15" x14ac:dyDescent="0.2">
      <c r="C18" s="6" t="s">
        <v>10</v>
      </c>
      <c r="E18" s="93">
        <f>E17/E$8-1</f>
        <v>-0.86249943807597207</v>
      </c>
      <c r="F18" s="93">
        <f t="shared" ref="F18:N18" si="13">F17/F$8-1</f>
        <v>-0.83785689753863768</v>
      </c>
      <c r="G18" s="93">
        <f t="shared" si="13"/>
        <v>-0.83996859483087893</v>
      </c>
      <c r="H18" s="93">
        <f t="shared" si="13"/>
        <v>-0.83202006353452596</v>
      </c>
      <c r="I18" s="93">
        <f t="shared" si="13"/>
        <v>-0.80061038641397986</v>
      </c>
      <c r="J18" s="93">
        <f t="shared" si="13"/>
        <v>-0.8</v>
      </c>
      <c r="K18" s="93">
        <f t="shared" si="13"/>
        <v>-0.8</v>
      </c>
      <c r="L18" s="93">
        <f t="shared" si="13"/>
        <v>-0.8</v>
      </c>
      <c r="M18" s="93">
        <f t="shared" si="13"/>
        <v>-0.8</v>
      </c>
      <c r="N18" s="93">
        <f t="shared" si="13"/>
        <v>-0.8</v>
      </c>
    </row>
    <row r="19" spans="2:15" x14ac:dyDescent="0.2">
      <c r="B19" s="1" t="s">
        <v>14</v>
      </c>
      <c r="E19" s="10">
        <v>-172</v>
      </c>
      <c r="F19" s="10">
        <v>-351</v>
      </c>
      <c r="G19" s="10">
        <v>-673</v>
      </c>
      <c r="H19" s="10">
        <v>-843</v>
      </c>
      <c r="I19" s="10">
        <v>-723</v>
      </c>
      <c r="J19" s="10">
        <f>J17*-J61</f>
        <v>-1072.6319999999998</v>
      </c>
      <c r="K19" s="10">
        <f>K17*-K61</f>
        <v>-1179.8951999999999</v>
      </c>
      <c r="L19" s="10">
        <f>L17*-L61</f>
        <v>-1274.286816</v>
      </c>
      <c r="M19" s="10">
        <f>M17*-M61</f>
        <v>-1376.2297612800005</v>
      </c>
      <c r="N19" s="10">
        <f>N17*-N61</f>
        <v>-1472.5658445696001</v>
      </c>
    </row>
    <row r="20" spans="2:15" x14ac:dyDescent="0.2">
      <c r="B20" s="2" t="s">
        <v>15</v>
      </c>
      <c r="E20" s="11">
        <f>E17+E19</f>
        <v>1663.22</v>
      </c>
      <c r="F20" s="11">
        <f t="shared" ref="F20:I20" si="14">F17+F19</f>
        <v>2481.64</v>
      </c>
      <c r="G20" s="11">
        <f t="shared" si="14"/>
        <v>3097.82</v>
      </c>
      <c r="H20" s="11">
        <f t="shared" si="14"/>
        <v>4180.4400000000005</v>
      </c>
      <c r="I20" s="11">
        <f t="shared" si="14"/>
        <v>5757.96</v>
      </c>
      <c r="J20" s="11">
        <f>J17+J19</f>
        <v>6078.2479999999996</v>
      </c>
      <c r="K20" s="11">
        <f>K17+K19</f>
        <v>6686.0727999999999</v>
      </c>
      <c r="L20" s="11">
        <f>L17+L19</f>
        <v>7220.9586240000008</v>
      </c>
      <c r="M20" s="11">
        <f>M17+M19</f>
        <v>7798.6353139200028</v>
      </c>
      <c r="N20" s="11">
        <f>N17+N19</f>
        <v>8344.5397858943998</v>
      </c>
      <c r="O20" s="95">
        <f>+IFERROR((N20/I20)^(1/($N$7-$I$7))-1, 0)</f>
        <v>7.7027392966185548E-2</v>
      </c>
    </row>
    <row r="22" spans="2:15" x14ac:dyDescent="0.2">
      <c r="B22" s="1" t="s">
        <v>114</v>
      </c>
      <c r="E22" s="9">
        <f>E16*-1</f>
        <v>396.78</v>
      </c>
      <c r="F22" s="9">
        <f t="shared" ref="F22:N22" si="15">F16*-1</f>
        <v>451.36</v>
      </c>
      <c r="G22" s="9">
        <f t="shared" si="15"/>
        <v>520.17999999999995</v>
      </c>
      <c r="H22" s="9">
        <f t="shared" si="15"/>
        <v>565.55999999999995</v>
      </c>
      <c r="I22" s="9">
        <f t="shared" si="15"/>
        <v>628.04</v>
      </c>
      <c r="J22" s="9">
        <f t="shared" si="15"/>
        <v>715.08800000000008</v>
      </c>
      <c r="K22" s="9">
        <f t="shared" si="15"/>
        <v>786.59680000000014</v>
      </c>
      <c r="L22" s="9">
        <f t="shared" si="15"/>
        <v>849.52454400000022</v>
      </c>
      <c r="M22" s="9">
        <f t="shared" si="15"/>
        <v>917.48650752000037</v>
      </c>
      <c r="N22" s="9">
        <f t="shared" si="15"/>
        <v>981.71056304640035</v>
      </c>
    </row>
    <row r="23" spans="2:15" x14ac:dyDescent="0.2">
      <c r="B23" s="1" t="s">
        <v>115</v>
      </c>
      <c r="E23" s="9">
        <v>-524</v>
      </c>
      <c r="F23" s="9">
        <v>-559</v>
      </c>
      <c r="G23" s="9">
        <v>-847</v>
      </c>
      <c r="H23" s="9">
        <v>-1174</v>
      </c>
      <c r="I23" s="9">
        <v>-1659</v>
      </c>
      <c r="J23" s="9">
        <f>J8*-J60</f>
        <v>-1787.7200000000003</v>
      </c>
      <c r="K23" s="9">
        <f>K8*-K60</f>
        <v>-1966.4920000000002</v>
      </c>
      <c r="L23" s="9">
        <f>L8*-L60</f>
        <v>-2123.8113600000006</v>
      </c>
      <c r="M23" s="9">
        <f>M8*-M60</f>
        <v>-2293.7162688000008</v>
      </c>
      <c r="N23" s="9">
        <f>N8*-N60</f>
        <v>-2454.2764076160011</v>
      </c>
    </row>
    <row r="24" spans="2:15" x14ac:dyDescent="0.2">
      <c r="B24" s="1" t="s">
        <v>116</v>
      </c>
      <c r="E24" s="9">
        <f>NWC!F24</f>
        <v>0</v>
      </c>
      <c r="F24" s="9">
        <f>NWC!G24</f>
        <v>-312</v>
      </c>
      <c r="G24" s="9">
        <f>NWC!H24</f>
        <v>-2610</v>
      </c>
      <c r="H24" s="9">
        <f>NWC!I24</f>
        <v>394</v>
      </c>
      <c r="I24" s="9">
        <f>NWC!J24</f>
        <v>1145</v>
      </c>
      <c r="J24" s="10">
        <f>NWC!K24</f>
        <v>-322.74593972602815</v>
      </c>
      <c r="K24" s="10">
        <f>NWC!L24</f>
        <v>-358.47459397260354</v>
      </c>
      <c r="L24" s="10">
        <f>NWC!M24</f>
        <v>-315.45764269589017</v>
      </c>
      <c r="M24" s="10">
        <f>NWC!N24</f>
        <v>-340.69425411156226</v>
      </c>
      <c r="N24" s="10">
        <f>NWC!O24</f>
        <v>-321.95607013542576</v>
      </c>
    </row>
    <row r="25" spans="2:15" ht="6" customHeight="1" x14ac:dyDescent="0.2"/>
    <row r="26" spans="2:15" x14ac:dyDescent="0.2">
      <c r="B26" s="2" t="s">
        <v>17</v>
      </c>
      <c r="E26" s="11"/>
      <c r="F26" s="11"/>
      <c r="G26" s="11"/>
      <c r="H26" s="11"/>
      <c r="I26" s="11"/>
      <c r="J26" s="11">
        <f>J20+SUM(J22:J24)</f>
        <v>4682.8700602739718</v>
      </c>
      <c r="K26" s="11">
        <f t="shared" ref="K26:N26" si="16">K20+SUM(K22:K24)</f>
        <v>5147.7030060273964</v>
      </c>
      <c r="L26" s="11">
        <f t="shared" si="16"/>
        <v>5631.2141653041108</v>
      </c>
      <c r="M26" s="11">
        <f t="shared" si="16"/>
        <v>6081.7112985284402</v>
      </c>
      <c r="N26" s="11">
        <f t="shared" si="16"/>
        <v>6550.0178711893732</v>
      </c>
    </row>
    <row r="27" spans="2:15" x14ac:dyDescent="0.2">
      <c r="B27" s="1" t="s">
        <v>18</v>
      </c>
      <c r="E27" s="101">
        <f>WACC!E26</f>
        <v>7.5391396382171516E-2</v>
      </c>
    </row>
    <row r="28" spans="2:15" x14ac:dyDescent="0.2">
      <c r="B28" s="1" t="s">
        <v>19</v>
      </c>
      <c r="J28" s="75">
        <f>J7-$I$7</f>
        <v>1</v>
      </c>
      <c r="K28" s="75">
        <f t="shared" ref="K28:N28" si="17">K7-$I$7</f>
        <v>2</v>
      </c>
      <c r="L28" s="75">
        <f t="shared" si="17"/>
        <v>3</v>
      </c>
      <c r="M28" s="75">
        <f t="shared" si="17"/>
        <v>4</v>
      </c>
      <c r="N28" s="75">
        <f t="shared" si="17"/>
        <v>5</v>
      </c>
    </row>
    <row r="29" spans="2:15" x14ac:dyDescent="0.2">
      <c r="B29" s="1" t="s">
        <v>20</v>
      </c>
      <c r="J29" s="74">
        <f>1/(1+$E$27)^J28</f>
        <v>0.92989399335367284</v>
      </c>
      <c r="K29" s="74">
        <f>1/(1+$E$27)^K28</f>
        <v>0.86470283887524069</v>
      </c>
      <c r="L29" s="74">
        <f>1/(1+$E$27)^L28</f>
        <v>0.8040819759059552</v>
      </c>
      <c r="M29" s="74">
        <f>1/(1+$E$27)^M28</f>
        <v>0.74771099955890041</v>
      </c>
      <c r="N29" s="74">
        <f>1/(1+$E$27)^N28</f>
        <v>0.69529196725429232</v>
      </c>
      <c r="O29" s="3" t="s">
        <v>0</v>
      </c>
    </row>
    <row r="30" spans="2:15" x14ac:dyDescent="0.2">
      <c r="B30" s="80" t="s">
        <v>21</v>
      </c>
      <c r="C30" s="82"/>
      <c r="D30" s="82"/>
      <c r="E30" s="83"/>
      <c r="F30" s="83"/>
      <c r="G30" s="83"/>
      <c r="H30" s="83"/>
      <c r="I30" s="83"/>
      <c r="J30" s="83">
        <f>J26*J29</f>
        <v>4354.5727407045179</v>
      </c>
      <c r="K30" s="83">
        <f t="shared" ref="K30:N30" si="18">K26*K29</f>
        <v>4451.2334029984995</v>
      </c>
      <c r="L30" s="83">
        <f t="shared" si="18"/>
        <v>4527.9578127873338</v>
      </c>
      <c r="M30" s="83">
        <f t="shared" si="18"/>
        <v>4547.3624340513579</v>
      </c>
      <c r="N30" s="83">
        <f t="shared" si="18"/>
        <v>4554.1748112100313</v>
      </c>
    </row>
    <row r="32" spans="2:15" x14ac:dyDescent="0.2">
      <c r="B32" s="81" t="s">
        <v>92</v>
      </c>
      <c r="C32" s="85"/>
      <c r="D32" s="85"/>
      <c r="E32" s="85"/>
      <c r="G32" s="81" t="s">
        <v>94</v>
      </c>
      <c r="H32" s="85"/>
      <c r="I32" s="85"/>
      <c r="J32" s="85"/>
      <c r="L32" s="81" t="s">
        <v>105</v>
      </c>
      <c r="M32" s="85"/>
      <c r="N32" s="85"/>
      <c r="O32" s="85"/>
    </row>
    <row r="33" spans="2:15" x14ac:dyDescent="0.2">
      <c r="B33" s="2" t="s">
        <v>96</v>
      </c>
      <c r="C33" s="2"/>
      <c r="D33" s="2"/>
      <c r="E33" s="11">
        <f>SUM(J30:N30)</f>
        <v>22435.301201751739</v>
      </c>
      <c r="G33" s="1" t="s">
        <v>95</v>
      </c>
      <c r="J33" s="91">
        <f>E43</f>
        <v>172601.90430581887</v>
      </c>
      <c r="L33" s="1" t="s">
        <v>106</v>
      </c>
      <c r="O33" s="9">
        <f>N26</f>
        <v>6550.0178711893732</v>
      </c>
    </row>
    <row r="34" spans="2:15" x14ac:dyDescent="0.2">
      <c r="G34" s="1" t="s">
        <v>97</v>
      </c>
      <c r="J34" s="91">
        <f>-WACC!E23</f>
        <v>-3392</v>
      </c>
      <c r="L34" s="1" t="s">
        <v>18</v>
      </c>
      <c r="O34" s="70">
        <f>E27</f>
        <v>7.5391396382171516E-2</v>
      </c>
    </row>
    <row r="35" spans="2:15" x14ac:dyDescent="0.2">
      <c r="B35" s="79" t="s">
        <v>88</v>
      </c>
      <c r="C35" s="7"/>
      <c r="D35" s="7"/>
      <c r="E35" s="7"/>
      <c r="G35" s="1" t="s">
        <v>98</v>
      </c>
      <c r="J35" s="91">
        <v>0</v>
      </c>
      <c r="L35" s="1" t="s">
        <v>88</v>
      </c>
      <c r="O35" s="9">
        <f>E38</f>
        <v>215976.32387020803</v>
      </c>
    </row>
    <row r="36" spans="2:15" ht="13.5" thickBot="1" x14ac:dyDescent="0.25">
      <c r="B36" s="1" t="s">
        <v>91</v>
      </c>
      <c r="E36" s="9">
        <f>N14</f>
        <v>10798.816193510402</v>
      </c>
      <c r="G36" s="1" t="s">
        <v>99</v>
      </c>
      <c r="J36" s="91">
        <v>0</v>
      </c>
    </row>
    <row r="37" spans="2:15" ht="13.5" thickBot="1" x14ac:dyDescent="0.25">
      <c r="B37" s="1" t="s">
        <v>89</v>
      </c>
      <c r="E37" s="76">
        <v>20</v>
      </c>
      <c r="G37" s="1" t="s">
        <v>100</v>
      </c>
      <c r="J37" s="92">
        <v>7081</v>
      </c>
      <c r="L37" s="2" t="s">
        <v>107</v>
      </c>
      <c r="O37" s="96">
        <f>(O33*((1+O34)/O35)-O34)</f>
        <v>-4.2777484178260022E-2</v>
      </c>
    </row>
    <row r="38" spans="2:15" ht="13.5" thickBot="1" x14ac:dyDescent="0.25">
      <c r="B38" s="31" t="s">
        <v>88</v>
      </c>
      <c r="C38" s="78"/>
      <c r="E38" s="11">
        <f>+E36*E37</f>
        <v>215976.32387020803</v>
      </c>
    </row>
    <row r="39" spans="2:15" ht="13.5" thickBot="1" x14ac:dyDescent="0.25">
      <c r="B39" s="1" t="s">
        <v>20</v>
      </c>
      <c r="E39" s="84">
        <f>1/((1+$E$27)^(N7-I7))</f>
        <v>0.69529196725429232</v>
      </c>
      <c r="G39" s="31" t="s">
        <v>94</v>
      </c>
      <c r="J39" s="88">
        <f>SUM(J33:J37)</f>
        <v>176290.90430581887</v>
      </c>
      <c r="L39" s="81" t="s">
        <v>108</v>
      </c>
      <c r="M39" s="85"/>
      <c r="N39" s="85"/>
      <c r="O39" s="85"/>
    </row>
    <row r="40" spans="2:15" x14ac:dyDescent="0.2">
      <c r="B40" s="31" t="s">
        <v>93</v>
      </c>
      <c r="E40" s="11">
        <f>E38*E39</f>
        <v>150166.60310406712</v>
      </c>
      <c r="L40" s="1" t="s">
        <v>95</v>
      </c>
      <c r="O40" s="97">
        <f>E43</f>
        <v>172601.90430581887</v>
      </c>
    </row>
    <row r="41" spans="2:15" x14ac:dyDescent="0.2">
      <c r="B41" s="89" t="s">
        <v>110</v>
      </c>
      <c r="E41" s="98">
        <f>IFERROR(E40/E43, 0)</f>
        <v>0.87001707025201469</v>
      </c>
      <c r="G41" s="1" t="s">
        <v>101</v>
      </c>
      <c r="J41" s="86">
        <v>4195.5</v>
      </c>
      <c r="L41" s="1" t="s">
        <v>109</v>
      </c>
      <c r="O41" s="9">
        <f>I14</f>
        <v>7109</v>
      </c>
    </row>
    <row r="42" spans="2:15" ht="13.5" thickBot="1" x14ac:dyDescent="0.25">
      <c r="B42" s="89"/>
    </row>
    <row r="43" spans="2:15" ht="13.5" thickBot="1" x14ac:dyDescent="0.25">
      <c r="B43" s="77" t="s">
        <v>95</v>
      </c>
      <c r="E43" s="88">
        <f>E33+E40</f>
        <v>172601.90430581887</v>
      </c>
      <c r="G43" s="2" t="s">
        <v>102</v>
      </c>
      <c r="J43" s="87">
        <f>J39/J41</f>
        <v>42.019045240333419</v>
      </c>
      <c r="L43" s="2" t="s">
        <v>108</v>
      </c>
      <c r="O43" s="99">
        <f>O40/O41</f>
        <v>24.279350725252339</v>
      </c>
    </row>
    <row r="44" spans="2:15" x14ac:dyDescent="0.2">
      <c r="H44" s="29"/>
    </row>
    <row r="46" spans="2:15" x14ac:dyDescent="0.2">
      <c r="C46" s="81" t="s">
        <v>92</v>
      </c>
      <c r="D46" s="85"/>
      <c r="E46" s="85"/>
      <c r="F46" s="85"/>
      <c r="G46" s="85"/>
      <c r="H46" s="85"/>
      <c r="J46" s="81" t="s">
        <v>105</v>
      </c>
      <c r="K46" s="85"/>
      <c r="L46" s="85"/>
      <c r="M46" s="85"/>
      <c r="N46" s="85"/>
      <c r="O46" s="85"/>
    </row>
    <row r="47" spans="2:15" x14ac:dyDescent="0.2">
      <c r="D47" s="100" t="s">
        <v>90</v>
      </c>
      <c r="E47" s="100"/>
      <c r="F47" s="100"/>
      <c r="G47" s="100"/>
      <c r="H47" s="100"/>
      <c r="K47" s="100" t="s">
        <v>90</v>
      </c>
      <c r="L47" s="100"/>
      <c r="M47" s="100"/>
      <c r="N47" s="100"/>
      <c r="O47" s="100"/>
    </row>
    <row r="48" spans="2:15" x14ac:dyDescent="0.2">
      <c r="C48" s="102">
        <f>+E43</f>
        <v>172601.90430581887</v>
      </c>
      <c r="D48" s="105">
        <f>E48-0.5</f>
        <v>19</v>
      </c>
      <c r="E48" s="105">
        <f>F48-0.5</f>
        <v>19.5</v>
      </c>
      <c r="F48" s="105">
        <v>20</v>
      </c>
      <c r="G48" s="105">
        <f>+F48+0.5</f>
        <v>20.5</v>
      </c>
      <c r="H48" s="105">
        <f>G48+0.5</f>
        <v>21</v>
      </c>
      <c r="J48" s="103">
        <f>O37</f>
        <v>-4.2777484178260022E-2</v>
      </c>
      <c r="K48" s="105">
        <f>L48-0.5</f>
        <v>19</v>
      </c>
      <c r="L48" s="105">
        <f>M48-0.5</f>
        <v>19.5</v>
      </c>
      <c r="M48" s="105">
        <v>20</v>
      </c>
      <c r="N48" s="105">
        <f>+M48+0.5</f>
        <v>20.5</v>
      </c>
      <c r="O48" s="105">
        <f>N48+0.5</f>
        <v>21</v>
      </c>
    </row>
    <row r="49" spans="2:15" x14ac:dyDescent="0.2">
      <c r="B49" s="117" t="s">
        <v>18</v>
      </c>
      <c r="C49" s="104">
        <f>C50-0.005</f>
        <v>6.5391396382171507E-2</v>
      </c>
      <c r="D49" s="109">
        <f t="dataTable" ref="D49:H53" dt2D="1" dtr="1" r1="E37" r2="E27"/>
        <v>172560.01304687679</v>
      </c>
      <c r="E49" s="109">
        <v>176493.70390936904</v>
      </c>
      <c r="F49" s="109">
        <v>180427.39477186126</v>
      </c>
      <c r="G49" s="109">
        <v>184361.08563435351</v>
      </c>
      <c r="H49" s="109">
        <v>188294.77649684573</v>
      </c>
      <c r="I49" s="117" t="s">
        <v>18</v>
      </c>
      <c r="J49" s="104">
        <f>J50-0.005</f>
        <v>6.5391396382171507E-2</v>
      </c>
      <c r="K49" s="106">
        <f t="dataTable" ref="K49:O53" dt2D="1" dtr="1" r1="E37" r2="E27" ca="1"/>
        <v>-3.1380199126035006E-2</v>
      </c>
      <c r="L49" s="106">
        <v>-3.2252281106961579E-2</v>
      </c>
      <c r="M49" s="106">
        <v>-3.308075898884183E-2</v>
      </c>
      <c r="N49" s="106">
        <v>-3.386882331550841E-2</v>
      </c>
      <c r="O49" s="106">
        <v>-3.4619360769476581E-2</v>
      </c>
    </row>
    <row r="50" spans="2:15" x14ac:dyDescent="0.2">
      <c r="B50" s="117"/>
      <c r="C50" s="104">
        <f>C51-0.005</f>
        <v>7.0391396382171512E-2</v>
      </c>
      <c r="D50" s="109">
        <v>168775.46828326213</v>
      </c>
      <c r="E50" s="110">
        <v>172618.13841917238</v>
      </c>
      <c r="F50" s="110">
        <v>176460.80855508259</v>
      </c>
      <c r="G50" s="110">
        <v>180303.47869099281</v>
      </c>
      <c r="H50" s="109">
        <v>184146.14882690302</v>
      </c>
      <c r="I50" s="117"/>
      <c r="J50" s="104">
        <f>J51-0.005</f>
        <v>7.0391396382171512E-2</v>
      </c>
      <c r="K50" s="106">
        <v>-3.6220580804676161E-2</v>
      </c>
      <c r="L50" s="108">
        <v>-3.7096755563073479E-2</v>
      </c>
      <c r="M50" s="108">
        <v>-3.7929121583550926E-2</v>
      </c>
      <c r="N50" s="108">
        <v>-3.8720884383517284E-2</v>
      </c>
      <c r="O50" s="106">
        <v>-3.9474944193009051E-2</v>
      </c>
    </row>
    <row r="51" spans="2:15" x14ac:dyDescent="0.2">
      <c r="B51" s="117"/>
      <c r="C51" s="104">
        <v>7.5391396382171516E-2</v>
      </c>
      <c r="D51" s="109">
        <v>165093.57415061552</v>
      </c>
      <c r="E51" s="110">
        <v>168847.73922821719</v>
      </c>
      <c r="F51" s="111">
        <v>172601.90430581887</v>
      </c>
      <c r="G51" s="110">
        <v>176356.06938342054</v>
      </c>
      <c r="H51" s="109">
        <v>180110.23446102222</v>
      </c>
      <c r="I51" s="117"/>
      <c r="J51" s="104">
        <v>7.5391396382171516E-2</v>
      </c>
      <c r="K51" s="106">
        <v>-4.1060962483317316E-2</v>
      </c>
      <c r="L51" s="108">
        <v>-4.1941230019185372E-2</v>
      </c>
      <c r="M51" s="107">
        <v>-4.2777484178260022E-2</v>
      </c>
      <c r="N51" s="108">
        <v>-4.3572945451526159E-2</v>
      </c>
      <c r="O51" s="106">
        <v>-4.4330527616541521E-2</v>
      </c>
    </row>
    <row r="52" spans="2:15" x14ac:dyDescent="0.2">
      <c r="B52" s="117"/>
      <c r="C52" s="104">
        <f>C51+0.005</f>
        <v>8.0391396382171521E-2</v>
      </c>
      <c r="D52" s="109">
        <v>161511.06743285502</v>
      </c>
      <c r="E52" s="110">
        <v>165179.16237567944</v>
      </c>
      <c r="F52" s="110">
        <v>168847.25731850381</v>
      </c>
      <c r="G52" s="110">
        <v>172515.35226132823</v>
      </c>
      <c r="H52" s="109">
        <v>176183.44720415262</v>
      </c>
      <c r="I52" s="117"/>
      <c r="J52" s="104">
        <f>J51+0.005</f>
        <v>8.0391396382171521E-2</v>
      </c>
      <c r="K52" s="106">
        <v>-4.5901344161958464E-2</v>
      </c>
      <c r="L52" s="108">
        <v>-4.6785704475297264E-2</v>
      </c>
      <c r="M52" s="108">
        <v>-4.7625846772969119E-2</v>
      </c>
      <c r="N52" s="108">
        <v>-4.8425006519535033E-2</v>
      </c>
      <c r="O52" s="106">
        <v>-4.9186111040073997E-2</v>
      </c>
    </row>
    <row r="53" spans="2:15" x14ac:dyDescent="0.2">
      <c r="B53" s="117"/>
      <c r="C53" s="104">
        <f>C52+0.005</f>
        <v>8.5391396382171525E-2</v>
      </c>
      <c r="D53" s="109">
        <v>158024.80337330612</v>
      </c>
      <c r="E53" s="109">
        <v>161609.18530848026</v>
      </c>
      <c r="F53" s="109">
        <v>165193.56724365437</v>
      </c>
      <c r="G53" s="109">
        <v>168777.94917882851</v>
      </c>
      <c r="H53" s="109">
        <v>172362.33111400265</v>
      </c>
      <c r="I53" s="117"/>
      <c r="J53" s="104">
        <f>J52+0.005</f>
        <v>8.5391396382171525E-2</v>
      </c>
      <c r="K53" s="106">
        <v>-5.0741725840599619E-2</v>
      </c>
      <c r="L53" s="106">
        <v>-5.1630178931409164E-2</v>
      </c>
      <c r="M53" s="106">
        <v>-5.2474209367678215E-2</v>
      </c>
      <c r="N53" s="106">
        <v>-5.3277067587543914E-2</v>
      </c>
      <c r="O53" s="106">
        <v>-5.4041694463606474E-2</v>
      </c>
    </row>
    <row r="54" spans="2:15" x14ac:dyDescent="0.2">
      <c r="C54" s="70"/>
    </row>
    <row r="55" spans="2:15" x14ac:dyDescent="0.2">
      <c r="B55" s="28" t="s">
        <v>35</v>
      </c>
    </row>
    <row r="56" spans="2:15" x14ac:dyDescent="0.2">
      <c r="B56" s="26" t="s">
        <v>41</v>
      </c>
      <c r="C56" s="27"/>
      <c r="D56" s="27"/>
      <c r="E56" s="18">
        <f>IFERROR((E8-D8)/D8, 0)</f>
        <v>0</v>
      </c>
      <c r="F56" s="18">
        <f t="shared" ref="F56:I56" si="19">IFERROR((F8-E8)/E8, 0)</f>
        <v>0.30890836892185508</v>
      </c>
      <c r="G56" s="18">
        <f t="shared" si="19"/>
        <v>0.3487693188322839</v>
      </c>
      <c r="H56" s="18">
        <f t="shared" si="19"/>
        <v>0.2691507872511989</v>
      </c>
      <c r="I56" s="18">
        <f t="shared" si="19"/>
        <v>8.690854372178565E-2</v>
      </c>
      <c r="J56" s="18">
        <f>'A1'!F7</f>
        <v>0.1</v>
      </c>
      <c r="K56" s="18">
        <f>'A1'!G7</f>
        <v>0.1</v>
      </c>
      <c r="L56" s="18">
        <f>'A1'!H7</f>
        <v>0.08</v>
      </c>
      <c r="M56" s="18">
        <f>'A1'!I7</f>
        <v>0.08</v>
      </c>
      <c r="N56" s="19">
        <f>'A1'!J7</f>
        <v>7.0000000000000007E-2</v>
      </c>
    </row>
    <row r="57" spans="2:15" x14ac:dyDescent="0.2">
      <c r="B57" s="26" t="s">
        <v>67</v>
      </c>
      <c r="C57" s="27"/>
      <c r="D57" s="27"/>
      <c r="E57" s="18">
        <f>IFERROR(-E10/E8, 0)</f>
        <v>0.6972353337828725</v>
      </c>
      <c r="F57" s="18">
        <f t="shared" ref="F57:I57" si="20">IFERROR(-F10/F8, 0)</f>
        <v>0.68763594733829425</v>
      </c>
      <c r="G57" s="18">
        <f t="shared" si="20"/>
        <v>0.70670118405975468</v>
      </c>
      <c r="H57" s="18">
        <f t="shared" si="20"/>
        <v>0.7125898679150644</v>
      </c>
      <c r="I57" s="18">
        <f t="shared" si="20"/>
        <v>0.6749015505783903</v>
      </c>
      <c r="J57" s="18">
        <f>'A1'!F12</f>
        <v>0.68</v>
      </c>
      <c r="K57" s="18">
        <f>'A1'!G12</f>
        <v>0.68</v>
      </c>
      <c r="L57" s="18">
        <f>'A1'!H12</f>
        <v>0.68</v>
      </c>
      <c r="M57" s="18">
        <f>'A1'!I12</f>
        <v>0.68</v>
      </c>
      <c r="N57" s="19">
        <f>'A1'!J12</f>
        <v>0.68</v>
      </c>
    </row>
    <row r="58" spans="2:15" x14ac:dyDescent="0.2">
      <c r="B58" s="26" t="s">
        <v>42</v>
      </c>
      <c r="C58" s="27"/>
      <c r="D58" s="27"/>
      <c r="E58" s="18">
        <f>IFERROR(-E13/E8, 0)</f>
        <v>0.13553607552258934</v>
      </c>
      <c r="F58" s="18">
        <f t="shared" ref="F58:I58" si="21">IFERROR(-F13/F8, 0)</f>
        <v>0.12438465941614196</v>
      </c>
      <c r="G58" s="18">
        <f t="shared" si="21"/>
        <v>0.11119127445571447</v>
      </c>
      <c r="H58" s="18">
        <f t="shared" si="21"/>
        <v>0.10051830797525498</v>
      </c>
      <c r="I58" s="18">
        <f t="shared" si="21"/>
        <v>0.10638690622692591</v>
      </c>
      <c r="J58" s="18">
        <f>'A1'!F17</f>
        <v>0.1</v>
      </c>
      <c r="K58" s="18">
        <f>'A1'!G17</f>
        <v>0.1</v>
      </c>
      <c r="L58" s="18">
        <f>'A1'!H17</f>
        <v>0.1</v>
      </c>
      <c r="M58" s="18">
        <f>'A1'!I17</f>
        <v>0.1</v>
      </c>
      <c r="N58" s="19">
        <f>'A1'!J17</f>
        <v>0.1</v>
      </c>
    </row>
    <row r="59" spans="2:15" x14ac:dyDescent="0.2">
      <c r="B59" s="26" t="s">
        <v>43</v>
      </c>
      <c r="C59" s="27"/>
      <c r="D59" s="27"/>
      <c r="E59" s="18">
        <f>IFERROR(-E16/E8, 0)</f>
        <v>2.9728028770510225E-2</v>
      </c>
      <c r="F59" s="18">
        <f t="shared" ref="F59:I59" si="22">IFERROR(-F16/F8, 0)</f>
        <v>2.583629078420149E-2</v>
      </c>
      <c r="G59" s="18">
        <f t="shared" si="22"/>
        <v>2.207613631540975E-2</v>
      </c>
      <c r="H59" s="18">
        <f t="shared" si="22"/>
        <v>1.8911887644206652E-2</v>
      </c>
      <c r="I59" s="18">
        <f t="shared" si="22"/>
        <v>1.9321929608663548E-2</v>
      </c>
      <c r="J59" s="18">
        <f>'A1'!F22</f>
        <v>0.02</v>
      </c>
      <c r="K59" s="18">
        <f>'A1'!G22</f>
        <v>0.02</v>
      </c>
      <c r="L59" s="18">
        <f>'A1'!H22</f>
        <v>0.02</v>
      </c>
      <c r="M59" s="18">
        <f>'A1'!I22</f>
        <v>0.02</v>
      </c>
      <c r="N59" s="19">
        <f>'A1'!J22</f>
        <v>0.02</v>
      </c>
    </row>
    <row r="60" spans="2:15" x14ac:dyDescent="0.2">
      <c r="B60" s="26" t="s">
        <v>68</v>
      </c>
      <c r="C60" s="27"/>
      <c r="D60" s="27"/>
      <c r="E60" s="18">
        <f>IFERROR(-E23/E8, 0)</f>
        <v>3.9259758747284032E-2</v>
      </c>
      <c r="F60" s="18">
        <f t="shared" ref="F60:H60" si="23">IFERROR(-F23/F8, 0)</f>
        <v>3.1997710360618201E-2</v>
      </c>
      <c r="G60" s="18">
        <f t="shared" si="23"/>
        <v>3.594618681831685E-2</v>
      </c>
      <c r="H60" s="18">
        <f t="shared" si="23"/>
        <v>3.9257649222538035E-2</v>
      </c>
      <c r="I60" s="18">
        <f>IFERROR(-I23/I8, 0)</f>
        <v>5.1039872015751907E-2</v>
      </c>
      <c r="J60" s="18">
        <f>'A1'!F28</f>
        <v>0.05</v>
      </c>
      <c r="K60" s="18">
        <f>'A1'!G28</f>
        <v>0.05</v>
      </c>
      <c r="L60" s="18">
        <f>'A1'!H28</f>
        <v>0.05</v>
      </c>
      <c r="M60" s="18">
        <f>'A1'!I28</f>
        <v>0.05</v>
      </c>
      <c r="N60" s="19">
        <f>'A1'!J28</f>
        <v>0.05</v>
      </c>
    </row>
    <row r="61" spans="2:15" x14ac:dyDescent="0.2">
      <c r="B61" s="26" t="s">
        <v>69</v>
      </c>
      <c r="C61" s="27"/>
      <c r="D61" s="27"/>
      <c r="E61" s="18">
        <f>IFERROR(-E19/E17, 0)</f>
        <v>9.3721733634114707E-2</v>
      </c>
      <c r="F61" s="18">
        <f t="shared" ref="F61:H61" si="24">IFERROR(-F19/F17, 0)</f>
        <v>0.12391267510167195</v>
      </c>
      <c r="G61" s="18">
        <f t="shared" si="24"/>
        <v>0.17847576919608996</v>
      </c>
      <c r="H61" s="18">
        <f t="shared" si="24"/>
        <v>0.16781329129043043</v>
      </c>
      <c r="I61" s="18">
        <f>IFERROR(-I19/I17, 0)</f>
        <v>0.11155754703006962</v>
      </c>
      <c r="J61" s="18">
        <v>0.15</v>
      </c>
      <c r="K61" s="18">
        <v>0.15</v>
      </c>
      <c r="L61" s="18">
        <v>0.15</v>
      </c>
      <c r="M61" s="18">
        <v>0.15</v>
      </c>
      <c r="N61" s="19">
        <v>0.15</v>
      </c>
    </row>
    <row r="62" spans="2:15" x14ac:dyDescent="0.2">
      <c r="B62" s="26" t="s">
        <v>70</v>
      </c>
      <c r="C62" s="27"/>
      <c r="D62" s="27"/>
      <c r="E62" s="18"/>
      <c r="F62" s="18"/>
      <c r="G62" s="18"/>
      <c r="H62" s="18"/>
      <c r="I62" s="18"/>
      <c r="J62" s="18">
        <f>NWC!K22</f>
        <v>0.10026027397260276</v>
      </c>
      <c r="K62" s="18">
        <f>NWC!L22</f>
        <v>0.10026027397260277</v>
      </c>
      <c r="L62" s="18">
        <f>NWC!M22</f>
        <v>0.10026027397260275</v>
      </c>
      <c r="M62" s="18">
        <f>NWC!N22</f>
        <v>0.10026027397260275</v>
      </c>
      <c r="N62" s="19">
        <f>NWC!O22</f>
        <v>0.10026027397260275</v>
      </c>
    </row>
  </sheetData>
  <mergeCells count="2">
    <mergeCell ref="B49:B53"/>
    <mergeCell ref="I49:I5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291F44-61A4-4192-8E5E-5F0C21B28F00}">
          <x14:formula1>
            <xm:f>'A1'!$B$8:$B$10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B1BFF-E69B-4B55-A106-CBFED79427FB}">
  <dimension ref="A1:O33"/>
  <sheetViews>
    <sheetView showGridLines="0" workbookViewId="0">
      <selection activeCell="O1" sqref="O1:O3"/>
    </sheetView>
  </sheetViews>
  <sheetFormatPr defaultRowHeight="12.75" x14ac:dyDescent="0.2"/>
  <cols>
    <col min="1" max="1" width="0.85546875" style="1" customWidth="1"/>
    <col min="2" max="4" width="9.140625" style="1"/>
    <col min="5" max="5" width="10" style="1" bestFit="1" customWidth="1"/>
    <col min="6" max="16384" width="9.140625" style="1"/>
  </cols>
  <sheetData>
    <row r="1" spans="1:15" s="69" customFormat="1" x14ac:dyDescent="0.2">
      <c r="A1" s="113"/>
      <c r="B1" s="114" t="s">
        <v>24</v>
      </c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</row>
    <row r="2" spans="1:15" s="69" customFormat="1" x14ac:dyDescent="0.2">
      <c r="A2" s="113"/>
      <c r="B2" s="114" t="s">
        <v>74</v>
      </c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</row>
    <row r="3" spans="1:15" s="69" customFormat="1" x14ac:dyDescent="0.2">
      <c r="A3" s="113"/>
      <c r="B3" s="116" t="s">
        <v>3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</row>
    <row r="6" spans="1:15" x14ac:dyDescent="0.2">
      <c r="B6" s="114" t="s">
        <v>75</v>
      </c>
      <c r="C6" s="118"/>
      <c r="D6" s="118"/>
      <c r="E6" s="118"/>
    </row>
    <row r="7" spans="1:15" x14ac:dyDescent="0.2">
      <c r="B7" s="28" t="s">
        <v>84</v>
      </c>
    </row>
    <row r="8" spans="1:15" x14ac:dyDescent="0.2">
      <c r="B8" s="1" t="s">
        <v>76</v>
      </c>
      <c r="E8" s="8">
        <f>E23/(E23+E22)</f>
        <v>1.5086887484377155E-2</v>
      </c>
    </row>
    <row r="9" spans="1:15" x14ac:dyDescent="0.2">
      <c r="B9" s="1" t="s">
        <v>77</v>
      </c>
      <c r="E9" s="8">
        <f>E22/(E22+E23)</f>
        <v>0.98491311251562286</v>
      </c>
    </row>
    <row r="12" spans="1:15" x14ac:dyDescent="0.2">
      <c r="B12" s="1" t="s">
        <v>83</v>
      </c>
      <c r="E12" s="1">
        <v>398</v>
      </c>
    </row>
    <row r="13" spans="1:15" x14ac:dyDescent="0.2">
      <c r="B13" s="1" t="s">
        <v>87</v>
      </c>
      <c r="E13" s="8">
        <v>0.34</v>
      </c>
    </row>
    <row r="14" spans="1:15" x14ac:dyDescent="0.2">
      <c r="B14" s="1" t="s">
        <v>86</v>
      </c>
      <c r="E14" s="9">
        <f>E23</f>
        <v>3392</v>
      </c>
    </row>
    <row r="15" spans="1:15" x14ac:dyDescent="0.2">
      <c r="B15" s="2" t="s">
        <v>78</v>
      </c>
      <c r="E15" s="16">
        <f>(E12/E14)*(1-E13)</f>
        <v>7.7441037735849039E-2</v>
      </c>
    </row>
    <row r="17" spans="2:5" x14ac:dyDescent="0.2">
      <c r="B17" s="1" t="s">
        <v>80</v>
      </c>
      <c r="E17" s="1">
        <v>0.6</v>
      </c>
    </row>
    <row r="18" spans="2:5" x14ac:dyDescent="0.2">
      <c r="B18" s="1" t="s">
        <v>81</v>
      </c>
      <c r="E18" s="8">
        <v>3.8399999999999997E-2</v>
      </c>
    </row>
    <row r="19" spans="2:5" x14ac:dyDescent="0.2">
      <c r="B19" s="1" t="s">
        <v>82</v>
      </c>
      <c r="E19" s="8">
        <v>0.1</v>
      </c>
    </row>
    <row r="20" spans="2:5" x14ac:dyDescent="0.2">
      <c r="B20" s="2" t="s">
        <v>79</v>
      </c>
      <c r="E20" s="16">
        <f>E18+E17*(E19-E18)</f>
        <v>7.536000000000001E-2</v>
      </c>
    </row>
    <row r="22" spans="2:5" x14ac:dyDescent="0.2">
      <c r="B22" s="1" t="s">
        <v>85</v>
      </c>
      <c r="E22" s="9">
        <v>221439</v>
      </c>
    </row>
    <row r="23" spans="2:5" x14ac:dyDescent="0.2">
      <c r="B23" s="1" t="s">
        <v>86</v>
      </c>
      <c r="E23" s="9">
        <f>1149+2243</f>
        <v>3392</v>
      </c>
    </row>
    <row r="26" spans="2:5" x14ac:dyDescent="0.2">
      <c r="B26" s="71" t="s">
        <v>18</v>
      </c>
      <c r="C26" s="72"/>
      <c r="D26" s="72"/>
      <c r="E26" s="73">
        <f>E20*(E22/(E22+E23))+E15*(E23/(E22+E23))</f>
        <v>7.5391396382171516E-2</v>
      </c>
    </row>
    <row r="33" spans="1:1" x14ac:dyDescent="0.2">
      <c r="A33" s="6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464F2-F6D7-42CA-A9B9-0FE007664E4B}">
  <dimension ref="A1:O34"/>
  <sheetViews>
    <sheetView showGridLines="0" workbookViewId="0">
      <selection activeCell="C13" sqref="C13"/>
    </sheetView>
  </sheetViews>
  <sheetFormatPr defaultRowHeight="12.75" x14ac:dyDescent="0.2"/>
  <cols>
    <col min="1" max="1" width="0.85546875" style="1" customWidth="1"/>
    <col min="2" max="16384" width="9.140625" style="1"/>
  </cols>
  <sheetData>
    <row r="1" spans="1:15" x14ac:dyDescent="0.2">
      <c r="A1" s="118"/>
      <c r="B1" s="114" t="s">
        <v>24</v>
      </c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</row>
    <row r="2" spans="1:15" x14ac:dyDescent="0.2">
      <c r="A2" s="118"/>
      <c r="B2" s="114" t="s">
        <v>23</v>
      </c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</row>
    <row r="3" spans="1:15" x14ac:dyDescent="0.2">
      <c r="A3" s="118"/>
      <c r="B3" s="119" t="s">
        <v>73</v>
      </c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</row>
    <row r="5" spans="1:15" x14ac:dyDescent="0.2">
      <c r="F5" s="34" t="s">
        <v>5</v>
      </c>
      <c r="G5" s="34"/>
      <c r="H5" s="34"/>
      <c r="I5" s="34"/>
      <c r="J5" s="34"/>
      <c r="K5" s="35" t="s">
        <v>6</v>
      </c>
      <c r="L5" s="36"/>
      <c r="M5" s="36"/>
      <c r="N5" s="36"/>
      <c r="O5" s="36"/>
    </row>
    <row r="6" spans="1:15" x14ac:dyDescent="0.2">
      <c r="F6" s="37">
        <v>43830</v>
      </c>
      <c r="G6" s="37">
        <f>EOMONTH(F6,12)</f>
        <v>44196</v>
      </c>
      <c r="H6" s="37">
        <f t="shared" ref="H6:O6" si="0">EOMONTH(G6,12)</f>
        <v>44561</v>
      </c>
      <c r="I6" s="37">
        <f t="shared" si="0"/>
        <v>44926</v>
      </c>
      <c r="J6" s="37">
        <f t="shared" si="0"/>
        <v>45291</v>
      </c>
      <c r="K6" s="37">
        <f t="shared" si="0"/>
        <v>45657</v>
      </c>
      <c r="L6" s="37">
        <f t="shared" si="0"/>
        <v>46022</v>
      </c>
      <c r="M6" s="37">
        <f t="shared" si="0"/>
        <v>46387</v>
      </c>
      <c r="N6" s="37">
        <f t="shared" si="0"/>
        <v>46752</v>
      </c>
      <c r="O6" s="37">
        <f t="shared" si="0"/>
        <v>47118</v>
      </c>
    </row>
    <row r="7" spans="1:15" x14ac:dyDescent="0.2">
      <c r="B7" s="1" t="s">
        <v>7</v>
      </c>
      <c r="F7" s="9">
        <f>DCF!E8</f>
        <v>13347</v>
      </c>
      <c r="G7" s="9">
        <f>DCF!F8</f>
        <v>17470</v>
      </c>
      <c r="H7" s="9">
        <f>DCF!G8</f>
        <v>23563</v>
      </c>
      <c r="I7" s="9">
        <f>DCF!H8</f>
        <v>29905</v>
      </c>
      <c r="J7" s="9">
        <f>DCF!I8</f>
        <v>32504</v>
      </c>
      <c r="K7" s="9">
        <f>DCF!J8</f>
        <v>35754.400000000001</v>
      </c>
      <c r="L7" s="9">
        <f>DCF!K8</f>
        <v>39329.840000000004</v>
      </c>
      <c r="M7" s="9">
        <f>DCF!L8</f>
        <v>42476.227200000008</v>
      </c>
      <c r="N7" s="9">
        <f>DCF!M8</f>
        <v>45874.325376000015</v>
      </c>
      <c r="O7" s="9">
        <f>DCF!N8</f>
        <v>49085.528152320017</v>
      </c>
    </row>
    <row r="8" spans="1:15" x14ac:dyDescent="0.2">
      <c r="B8" s="1" t="s">
        <v>9</v>
      </c>
      <c r="F8" s="9">
        <f>-DCF!E10</f>
        <v>9306</v>
      </c>
      <c r="G8" s="9">
        <f>-DCF!F10</f>
        <v>12013</v>
      </c>
      <c r="H8" s="9">
        <f>-DCF!G10</f>
        <v>16652</v>
      </c>
      <c r="I8" s="9">
        <f>-DCF!H10</f>
        <v>21310</v>
      </c>
      <c r="J8" s="9">
        <f>-DCF!I10</f>
        <v>21937</v>
      </c>
      <c r="K8" s="9">
        <f>-DCF!J10</f>
        <v>24312.992000000002</v>
      </c>
      <c r="L8" s="9">
        <f>-DCF!K10</f>
        <v>26744.291200000003</v>
      </c>
      <c r="M8" s="9">
        <f>-DCF!L10</f>
        <v>28883.834496000007</v>
      </c>
      <c r="N8" s="9">
        <f>-DCF!M10</f>
        <v>31194.541255680011</v>
      </c>
      <c r="O8" s="9">
        <f>-DCF!N10</f>
        <v>33378.159143577614</v>
      </c>
    </row>
    <row r="10" spans="1:15" x14ac:dyDescent="0.2">
      <c r="B10" s="33" t="s">
        <v>25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x14ac:dyDescent="0.2">
      <c r="B11" s="1" t="s">
        <v>26</v>
      </c>
      <c r="F11" s="9">
        <v>3142</v>
      </c>
      <c r="G11" s="9">
        <v>3757</v>
      </c>
      <c r="H11" s="9">
        <v>5208</v>
      </c>
      <c r="I11" s="9">
        <v>6272</v>
      </c>
      <c r="J11" s="9">
        <v>6612</v>
      </c>
      <c r="K11" s="9">
        <f t="shared" ref="K11:O12" si="1">K7/365*K28</f>
        <v>7248.8372602739728</v>
      </c>
      <c r="L11" s="9">
        <f t="shared" si="1"/>
        <v>7973.7209863013704</v>
      </c>
      <c r="M11" s="9">
        <f t="shared" si="1"/>
        <v>8611.6186652054803</v>
      </c>
      <c r="N11" s="9">
        <f t="shared" si="1"/>
        <v>9300.5481584219215</v>
      </c>
      <c r="O11" s="9">
        <f t="shared" si="1"/>
        <v>9951.5865295114563</v>
      </c>
    </row>
    <row r="12" spans="1:15" x14ac:dyDescent="0.2">
      <c r="B12" s="1" t="s">
        <v>27</v>
      </c>
      <c r="F12" s="9">
        <v>2817</v>
      </c>
      <c r="G12" s="9">
        <v>3738</v>
      </c>
      <c r="H12" s="9">
        <v>6497</v>
      </c>
      <c r="I12" s="9">
        <v>7644</v>
      </c>
      <c r="J12" s="9">
        <v>7116</v>
      </c>
      <c r="K12" s="9">
        <f t="shared" si="1"/>
        <v>7860.0905643835613</v>
      </c>
      <c r="L12" s="9">
        <f t="shared" si="1"/>
        <v>8646.0996208219203</v>
      </c>
      <c r="M12" s="9">
        <f t="shared" si="1"/>
        <v>9337.7875904876746</v>
      </c>
      <c r="N12" s="9">
        <f t="shared" si="1"/>
        <v>10084.810597726688</v>
      </c>
      <c r="O12" s="9">
        <f t="shared" si="1"/>
        <v>10790.747339567557</v>
      </c>
    </row>
    <row r="13" spans="1:15" x14ac:dyDescent="0.2">
      <c r="B13" s="7" t="s">
        <v>71</v>
      </c>
      <c r="C13" s="7"/>
      <c r="D13" s="7"/>
      <c r="E13" s="7"/>
      <c r="F13" s="10">
        <v>412</v>
      </c>
      <c r="G13" s="10">
        <v>577</v>
      </c>
      <c r="H13" s="10">
        <v>1024</v>
      </c>
      <c r="I13" s="10">
        <v>754</v>
      </c>
      <c r="J13" s="10">
        <v>753</v>
      </c>
      <c r="K13" s="10">
        <f>K7*K30</f>
        <v>822.35120000000006</v>
      </c>
      <c r="L13" s="10">
        <f>L7*L30</f>
        <v>904.58632000000011</v>
      </c>
      <c r="M13" s="10">
        <f>M7*M30</f>
        <v>976.95322560000022</v>
      </c>
      <c r="N13" s="10">
        <f>N7*N30</f>
        <v>1055.1094836480004</v>
      </c>
      <c r="O13" s="10">
        <f>O7*O30</f>
        <v>1128.9671475033604</v>
      </c>
    </row>
    <row r="14" spans="1:15" x14ac:dyDescent="0.2">
      <c r="B14" s="2" t="s">
        <v>28</v>
      </c>
      <c r="C14" s="2"/>
      <c r="D14" s="2"/>
      <c r="E14" s="2"/>
      <c r="F14" s="38">
        <f t="shared" ref="F14:O14" si="2">SUM(F11:F13)</f>
        <v>6371</v>
      </c>
      <c r="G14" s="38">
        <f t="shared" si="2"/>
        <v>8072</v>
      </c>
      <c r="H14" s="38">
        <f t="shared" si="2"/>
        <v>12729</v>
      </c>
      <c r="I14" s="38">
        <f t="shared" si="2"/>
        <v>14670</v>
      </c>
      <c r="J14" s="38">
        <f t="shared" si="2"/>
        <v>14481</v>
      </c>
      <c r="K14" s="38">
        <f t="shared" si="2"/>
        <v>15931.279024657535</v>
      </c>
      <c r="L14" s="38">
        <f t="shared" si="2"/>
        <v>17524.406927123291</v>
      </c>
      <c r="M14" s="38">
        <f t="shared" si="2"/>
        <v>18926.359481293155</v>
      </c>
      <c r="N14" s="38">
        <f t="shared" si="2"/>
        <v>20440.46823979661</v>
      </c>
      <c r="O14" s="38">
        <f t="shared" si="2"/>
        <v>21871.301016582373</v>
      </c>
    </row>
    <row r="16" spans="1:15" x14ac:dyDescent="0.2">
      <c r="B16" s="33" t="s">
        <v>29</v>
      </c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</row>
    <row r="17" spans="2:15" x14ac:dyDescent="0.2">
      <c r="B17" s="1" t="s">
        <v>30</v>
      </c>
      <c r="F17" s="9">
        <v>1858</v>
      </c>
      <c r="G17" s="9">
        <v>2066</v>
      </c>
      <c r="H17" s="9">
        <v>3375</v>
      </c>
      <c r="I17" s="9">
        <v>4717</v>
      </c>
      <c r="J17" s="9">
        <v>4671</v>
      </c>
      <c r="K17" s="9">
        <f>K8/365*K33</f>
        <v>5195.6530849315068</v>
      </c>
      <c r="L17" s="9">
        <f>L8/365*L33</f>
        <v>5715.2183934246586</v>
      </c>
      <c r="M17" s="9">
        <f>M8/365*M33</f>
        <v>6172.4358648986317</v>
      </c>
      <c r="N17" s="9">
        <f>N8/365*N33</f>
        <v>6666.2307340905227</v>
      </c>
      <c r="O17" s="9">
        <f>O8/365*O33</f>
        <v>7132.8668854768603</v>
      </c>
    </row>
    <row r="18" spans="2:15" x14ac:dyDescent="0.2">
      <c r="B18" s="1" t="s">
        <v>31</v>
      </c>
      <c r="F18" s="9">
        <v>2634</v>
      </c>
      <c r="G18" s="9">
        <v>3815</v>
      </c>
      <c r="H18" s="9">
        <v>4553</v>
      </c>
      <c r="I18" s="9">
        <v>5546</v>
      </c>
      <c r="J18" s="9">
        <v>6548</v>
      </c>
      <c r="K18" s="9">
        <f>K7*K34</f>
        <v>7150.880000000001</v>
      </c>
      <c r="L18" s="9">
        <f>L7*L34</f>
        <v>7865.9680000000008</v>
      </c>
      <c r="M18" s="9">
        <f>M7*M34</f>
        <v>8495.2454400000024</v>
      </c>
      <c r="N18" s="9">
        <f>N7*N34</f>
        <v>9174.865075200003</v>
      </c>
      <c r="O18" s="9">
        <f>O7*O34</f>
        <v>9817.1056304640042</v>
      </c>
    </row>
    <row r="19" spans="2:15" x14ac:dyDescent="0.2">
      <c r="B19" s="2" t="s">
        <v>32</v>
      </c>
      <c r="C19" s="2"/>
      <c r="D19" s="2"/>
      <c r="E19" s="2"/>
      <c r="F19" s="38">
        <f t="shared" ref="F19:O19" si="3">SUM(F17:F18)</f>
        <v>4492</v>
      </c>
      <c r="G19" s="38">
        <f t="shared" si="3"/>
        <v>5881</v>
      </c>
      <c r="H19" s="38">
        <f t="shared" si="3"/>
        <v>7928</v>
      </c>
      <c r="I19" s="38">
        <f t="shared" si="3"/>
        <v>10263</v>
      </c>
      <c r="J19" s="38">
        <f t="shared" si="3"/>
        <v>11219</v>
      </c>
      <c r="K19" s="38">
        <f t="shared" si="3"/>
        <v>12346.533084931507</v>
      </c>
      <c r="L19" s="38">
        <f t="shared" si="3"/>
        <v>13581.186393424659</v>
      </c>
      <c r="M19" s="38">
        <f t="shared" si="3"/>
        <v>14667.681304898633</v>
      </c>
      <c r="N19" s="38">
        <f t="shared" si="3"/>
        <v>15841.095809290526</v>
      </c>
      <c r="O19" s="38">
        <f t="shared" si="3"/>
        <v>16949.972515940863</v>
      </c>
    </row>
    <row r="21" spans="2:15" x14ac:dyDescent="0.2">
      <c r="B21" s="2" t="s">
        <v>33</v>
      </c>
      <c r="F21" s="11">
        <f t="shared" ref="F21:O21" si="4">SUM(F14,-F19)</f>
        <v>1879</v>
      </c>
      <c r="G21" s="11">
        <f t="shared" si="4"/>
        <v>2191</v>
      </c>
      <c r="H21" s="11">
        <f t="shared" si="4"/>
        <v>4801</v>
      </c>
      <c r="I21" s="11">
        <f t="shared" si="4"/>
        <v>4407</v>
      </c>
      <c r="J21" s="11">
        <f t="shared" si="4"/>
        <v>3262</v>
      </c>
      <c r="K21" s="11">
        <f t="shared" si="4"/>
        <v>3584.7459397260282</v>
      </c>
      <c r="L21" s="11">
        <f t="shared" si="4"/>
        <v>3943.2205336986317</v>
      </c>
      <c r="M21" s="11">
        <f t="shared" si="4"/>
        <v>4258.6781763945219</v>
      </c>
      <c r="N21" s="11">
        <f t="shared" si="4"/>
        <v>4599.3724305060841</v>
      </c>
      <c r="O21" s="11">
        <f t="shared" si="4"/>
        <v>4921.3285006415099</v>
      </c>
    </row>
    <row r="22" spans="2:15" x14ac:dyDescent="0.2">
      <c r="B22" s="90" t="s">
        <v>103</v>
      </c>
      <c r="F22" s="8">
        <f t="shared" ref="F22:O22" si="5">F21/F7</f>
        <v>0.1407806997827227</v>
      </c>
      <c r="G22" s="8">
        <f t="shared" si="5"/>
        <v>0.12541499713795076</v>
      </c>
      <c r="H22" s="8">
        <f t="shared" si="5"/>
        <v>0.20375164452743708</v>
      </c>
      <c r="I22" s="8">
        <f t="shared" si="5"/>
        <v>0.14736666109346264</v>
      </c>
      <c r="J22" s="8">
        <f t="shared" si="5"/>
        <v>0.10035687915333498</v>
      </c>
      <c r="K22" s="8">
        <f t="shared" si="5"/>
        <v>0.10026027397260276</v>
      </c>
      <c r="L22" s="8">
        <f t="shared" si="5"/>
        <v>0.10026027397260277</v>
      </c>
      <c r="M22" s="8">
        <f t="shared" si="5"/>
        <v>0.10026027397260275</v>
      </c>
      <c r="N22" s="8">
        <f t="shared" si="5"/>
        <v>0.10026027397260275</v>
      </c>
      <c r="O22" s="8">
        <f t="shared" si="5"/>
        <v>0.10026027397260275</v>
      </c>
    </row>
    <row r="24" spans="2:15" x14ac:dyDescent="0.2">
      <c r="B24" s="2" t="s">
        <v>34</v>
      </c>
      <c r="F24" s="11"/>
      <c r="G24" s="11">
        <f>IFERROR(+F21-G21,0)</f>
        <v>-312</v>
      </c>
      <c r="H24" s="11">
        <f t="shared" ref="H24:O24" si="6">IFERROR(+G21-H21,0)</f>
        <v>-2610</v>
      </c>
      <c r="I24" s="11">
        <f t="shared" si="6"/>
        <v>394</v>
      </c>
      <c r="J24" s="11">
        <f t="shared" si="6"/>
        <v>1145</v>
      </c>
      <c r="K24" s="11">
        <f t="shared" si="6"/>
        <v>-322.74593972602815</v>
      </c>
      <c r="L24" s="11">
        <f t="shared" si="6"/>
        <v>-358.47459397260354</v>
      </c>
      <c r="M24" s="11">
        <f t="shared" si="6"/>
        <v>-315.45764269589017</v>
      </c>
      <c r="N24" s="11">
        <f t="shared" si="6"/>
        <v>-340.69425411156226</v>
      </c>
      <c r="O24" s="11">
        <f t="shared" si="6"/>
        <v>-321.95607013542576</v>
      </c>
    </row>
    <row r="26" spans="2:15" x14ac:dyDescent="0.2">
      <c r="B26" s="28" t="s">
        <v>35</v>
      </c>
    </row>
    <row r="27" spans="2:15" x14ac:dyDescent="0.2">
      <c r="B27" s="41" t="s">
        <v>36</v>
      </c>
      <c r="C27" s="42"/>
      <c r="D27" s="42"/>
      <c r="E27" s="42"/>
      <c r="F27" s="43"/>
      <c r="G27" s="44"/>
      <c r="H27" s="44"/>
      <c r="I27" s="44"/>
      <c r="J27" s="44"/>
      <c r="K27" s="44"/>
      <c r="L27" s="44"/>
      <c r="M27" s="44"/>
      <c r="N27" s="44"/>
      <c r="O27" s="45"/>
    </row>
    <row r="28" spans="2:15" ht="12" customHeight="1" x14ac:dyDescent="0.2">
      <c r="B28" s="46" t="s">
        <v>37</v>
      </c>
      <c r="C28" s="47"/>
      <c r="D28" s="47"/>
      <c r="E28" s="47"/>
      <c r="F28" s="48">
        <f t="shared" ref="F28:J29" si="7">IFERROR(F11/F7*365, 0)</f>
        <v>85.924177717839214</v>
      </c>
      <c r="G28" s="48">
        <f t="shared" si="7"/>
        <v>78.494848311390953</v>
      </c>
      <c r="H28" s="48">
        <f t="shared" si="7"/>
        <v>80.673937953571283</v>
      </c>
      <c r="I28" s="48">
        <f t="shared" si="7"/>
        <v>76.55174719946497</v>
      </c>
      <c r="J28" s="48">
        <f t="shared" si="7"/>
        <v>74.248707851341379</v>
      </c>
      <c r="K28" s="48">
        <f>'A2'!F7</f>
        <v>74</v>
      </c>
      <c r="L28" s="48">
        <f>'A2'!G7</f>
        <v>74</v>
      </c>
      <c r="M28" s="48">
        <f>'A2'!H7</f>
        <v>74</v>
      </c>
      <c r="N28" s="48">
        <f>'A2'!I7</f>
        <v>74</v>
      </c>
      <c r="O28" s="49">
        <f>'A2'!J7</f>
        <v>74</v>
      </c>
    </row>
    <row r="29" spans="2:15" x14ac:dyDescent="0.2">
      <c r="B29" s="46" t="s">
        <v>38</v>
      </c>
      <c r="C29" s="47"/>
      <c r="D29" s="47"/>
      <c r="E29" s="47"/>
      <c r="F29" s="50">
        <f t="shared" si="7"/>
        <v>110.48839458413926</v>
      </c>
      <c r="G29" s="50">
        <f t="shared" si="7"/>
        <v>113.5744610005827</v>
      </c>
      <c r="H29" s="50">
        <f t="shared" si="7"/>
        <v>142.4096204660101</v>
      </c>
      <c r="I29" s="50">
        <f t="shared" si="7"/>
        <v>130.9272641952135</v>
      </c>
      <c r="J29" s="50">
        <f t="shared" si="7"/>
        <v>118.39996353193234</v>
      </c>
      <c r="K29" s="50">
        <f>'A2'!F12</f>
        <v>118</v>
      </c>
      <c r="L29" s="50">
        <f>'A2'!G12</f>
        <v>118</v>
      </c>
      <c r="M29" s="50">
        <f>'A2'!H12</f>
        <v>118</v>
      </c>
      <c r="N29" s="50">
        <f>'A2'!I12</f>
        <v>118</v>
      </c>
      <c r="O29" s="51">
        <f>'A2'!J12</f>
        <v>118</v>
      </c>
    </row>
    <row r="30" spans="2:15" x14ac:dyDescent="0.2">
      <c r="B30" s="46" t="s">
        <v>72</v>
      </c>
      <c r="C30" s="47"/>
      <c r="D30" s="47"/>
      <c r="E30" s="47"/>
      <c r="F30" s="52">
        <f>IFERROR(F13/F7, 0)</f>
        <v>3.0868359931070653E-2</v>
      </c>
      <c r="G30" s="52">
        <f>IFERROR(G13/G7, 0)</f>
        <v>3.3028048082427021E-2</v>
      </c>
      <c r="H30" s="52">
        <f>IFERROR(H13/H7, 0)</f>
        <v>4.3457963756737258E-2</v>
      </c>
      <c r="I30" s="52">
        <f>IFERROR(I13/I7, 0)</f>
        <v>2.5213175054338739E-2</v>
      </c>
      <c r="J30" s="52">
        <f>IFERROR(J13/J7, 0)</f>
        <v>2.3166379522520306E-2</v>
      </c>
      <c r="K30" s="52">
        <f>'A2'!F17</f>
        <v>2.3E-2</v>
      </c>
      <c r="L30" s="52">
        <f>'A2'!G17</f>
        <v>2.3E-2</v>
      </c>
      <c r="M30" s="52">
        <f>'A2'!H17</f>
        <v>2.3E-2</v>
      </c>
      <c r="N30" s="52">
        <f>'A2'!I17</f>
        <v>2.3E-2</v>
      </c>
      <c r="O30" s="53">
        <f>'A2'!J17</f>
        <v>2.3E-2</v>
      </c>
    </row>
    <row r="31" spans="2:15" x14ac:dyDescent="0.2">
      <c r="B31" s="46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54"/>
    </row>
    <row r="32" spans="2:15" x14ac:dyDescent="0.2">
      <c r="B32" s="55" t="s">
        <v>39</v>
      </c>
      <c r="C32" s="40"/>
      <c r="D32" s="40"/>
      <c r="E32" s="40"/>
      <c r="F32" s="47"/>
      <c r="G32" s="47"/>
      <c r="H32" s="47"/>
      <c r="I32" s="47"/>
      <c r="J32" s="47"/>
      <c r="K32" s="47"/>
      <c r="L32" s="47"/>
      <c r="M32" s="47"/>
      <c r="N32" s="47"/>
      <c r="O32" s="54"/>
    </row>
    <row r="33" spans="2:15" x14ac:dyDescent="0.2">
      <c r="B33" s="46" t="s">
        <v>40</v>
      </c>
      <c r="C33" s="47"/>
      <c r="D33" s="47"/>
      <c r="E33" s="47"/>
      <c r="F33" s="48">
        <f>IFERROR(F17/F8*365, 0)</f>
        <v>72.874489576617236</v>
      </c>
      <c r="G33" s="48">
        <f>IFERROR(G17/G8*365, 0)</f>
        <v>62.772829434778991</v>
      </c>
      <c r="H33" s="48">
        <f>IFERROR(H17/H8*365, 0)</f>
        <v>73.977600288253655</v>
      </c>
      <c r="I33" s="48">
        <f>IFERROR(I17/I8*365, 0)</f>
        <v>80.793289535429381</v>
      </c>
      <c r="J33" s="48">
        <f>IFERROR(J17/J8*365, 0)</f>
        <v>77.718694443178194</v>
      </c>
      <c r="K33" s="48">
        <f>'A2'!F23</f>
        <v>78</v>
      </c>
      <c r="L33" s="48">
        <f>'A2'!G23</f>
        <v>78</v>
      </c>
      <c r="M33" s="48">
        <f>'A2'!H23</f>
        <v>78</v>
      </c>
      <c r="N33" s="48">
        <f>'A2'!I23</f>
        <v>78</v>
      </c>
      <c r="O33" s="49">
        <f>'A2'!J23</f>
        <v>78</v>
      </c>
    </row>
    <row r="34" spans="2:15" x14ac:dyDescent="0.2">
      <c r="B34" s="56" t="s">
        <v>31</v>
      </c>
      <c r="C34" s="40"/>
      <c r="D34" s="40"/>
      <c r="E34" s="40"/>
      <c r="F34" s="57">
        <f>IFERROR(F18/F7, 0)</f>
        <v>0.19734771858844685</v>
      </c>
      <c r="G34" s="57">
        <f>IFERROR(G18/G7, 0)</f>
        <v>0.21837435603892386</v>
      </c>
      <c r="H34" s="57">
        <f>IFERROR(H18/H7, 0)</f>
        <v>0.19322666893010229</v>
      </c>
      <c r="I34" s="57">
        <f>IFERROR(I18/I7, 0)</f>
        <v>0.18545393746865071</v>
      </c>
      <c r="J34" s="57">
        <f>IFERROR(J18/J7, 0)</f>
        <v>0.20145212896874232</v>
      </c>
      <c r="K34" s="57">
        <f>'A2'!F28</f>
        <v>0.2</v>
      </c>
      <c r="L34" s="57">
        <f>'A2'!G28</f>
        <v>0.2</v>
      </c>
      <c r="M34" s="57">
        <f>'A2'!H28</f>
        <v>0.2</v>
      </c>
      <c r="N34" s="57">
        <f>'A2'!I28</f>
        <v>0.2</v>
      </c>
      <c r="O34" s="58">
        <f>'A2'!J28</f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7A93F-6BE0-43CA-856C-BB5F67455925}">
  <dimension ref="A1:O31"/>
  <sheetViews>
    <sheetView showGridLines="0" workbookViewId="0">
      <selection activeCell="E21" sqref="E21"/>
    </sheetView>
  </sheetViews>
  <sheetFormatPr defaultRowHeight="12.75" x14ac:dyDescent="0.2"/>
  <cols>
    <col min="1" max="1" width="0.85546875" style="1" customWidth="1"/>
    <col min="2" max="16384" width="9.140625" style="1"/>
  </cols>
  <sheetData>
    <row r="1" spans="1:15" x14ac:dyDescent="0.2">
      <c r="A1" s="120"/>
      <c r="B1" s="114" t="s">
        <v>112</v>
      </c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</row>
    <row r="2" spans="1:15" x14ac:dyDescent="0.2">
      <c r="A2" s="20"/>
      <c r="F2" s="12" t="s">
        <v>6</v>
      </c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2">
      <c r="A3" s="20"/>
      <c r="F3" s="13" t="s">
        <v>49</v>
      </c>
      <c r="G3" s="13" t="s">
        <v>50</v>
      </c>
      <c r="H3" s="13" t="s">
        <v>51</v>
      </c>
      <c r="I3" s="13" t="s">
        <v>52</v>
      </c>
      <c r="J3" s="13" t="s">
        <v>53</v>
      </c>
      <c r="K3" s="13" t="s">
        <v>54</v>
      </c>
      <c r="L3" s="13" t="s">
        <v>55</v>
      </c>
      <c r="M3" s="13" t="s">
        <v>56</v>
      </c>
      <c r="N3" s="13" t="s">
        <v>57</v>
      </c>
      <c r="O3" s="13" t="s">
        <v>58</v>
      </c>
    </row>
    <row r="4" spans="1:15" x14ac:dyDescent="0.2">
      <c r="A4" s="20"/>
      <c r="F4" s="14">
        <v>45657</v>
      </c>
      <c r="G4" s="14">
        <f>EOMONTH(F4,12)</f>
        <v>46022</v>
      </c>
      <c r="H4" s="14">
        <f t="shared" ref="H4:O4" si="0">EOMONTH(G4,12)</f>
        <v>46387</v>
      </c>
      <c r="I4" s="14">
        <f t="shared" si="0"/>
        <v>46752</v>
      </c>
      <c r="J4" s="14">
        <f t="shared" si="0"/>
        <v>47118</v>
      </c>
      <c r="K4" s="14">
        <f t="shared" si="0"/>
        <v>47483</v>
      </c>
      <c r="L4" s="14">
        <f t="shared" si="0"/>
        <v>47848</v>
      </c>
      <c r="M4" s="14">
        <f t="shared" si="0"/>
        <v>48213</v>
      </c>
      <c r="N4" s="14">
        <f t="shared" si="0"/>
        <v>48579</v>
      </c>
      <c r="O4" s="14">
        <f t="shared" si="0"/>
        <v>48944</v>
      </c>
    </row>
    <row r="5" spans="1:15" x14ac:dyDescent="0.2">
      <c r="A5" s="20"/>
    </row>
    <row r="6" spans="1:15" x14ac:dyDescent="0.2">
      <c r="A6" s="20" t="s">
        <v>61</v>
      </c>
      <c r="B6" s="2" t="s">
        <v>60</v>
      </c>
    </row>
    <row r="7" spans="1:15" x14ac:dyDescent="0.2">
      <c r="A7" s="20"/>
      <c r="B7" s="31" t="s">
        <v>41</v>
      </c>
      <c r="F7" s="16">
        <f>_xlfn.XLOOKUP(DCF!$C$4,'A1'!$B8:$B10,'A1'!F8:F10)</f>
        <v>0.1</v>
      </c>
      <c r="G7" s="16">
        <f>_xlfn.XLOOKUP(DCF!$C$4,'A1'!$B8:$B10,'A1'!G8:G10)</f>
        <v>0.1</v>
      </c>
      <c r="H7" s="16">
        <f>_xlfn.XLOOKUP(DCF!$C$4,'A1'!$B8:$B10,'A1'!H8:H10)</f>
        <v>0.08</v>
      </c>
      <c r="I7" s="16">
        <f>_xlfn.XLOOKUP(DCF!$C$4,'A1'!$B8:$B10,'A1'!I8:I10)</f>
        <v>0.08</v>
      </c>
      <c r="J7" s="16">
        <f>_xlfn.XLOOKUP(DCF!$C$4,'A1'!$B8:$B10,'A1'!J8:J10)</f>
        <v>7.0000000000000007E-2</v>
      </c>
      <c r="K7" s="16">
        <f>_xlfn.XLOOKUP(DCF!$C$4,'A1'!$B8:$B10,'A1'!K8:K10)</f>
        <v>7.0000000000000007E-2</v>
      </c>
      <c r="L7" s="16">
        <f>_xlfn.XLOOKUP(DCF!$C$4,'A1'!$B8:$B10,'A1'!L8:L10)</f>
        <v>0.06</v>
      </c>
      <c r="M7" s="16">
        <f>_xlfn.XLOOKUP(DCF!$C$4,'A1'!$B8:$B10,'A1'!M8:M10)</f>
        <v>0.06</v>
      </c>
      <c r="N7" s="16">
        <f>_xlfn.XLOOKUP(DCF!$C$4,'A1'!$B8:$B10,'A1'!N8:N10)</f>
        <v>0.05</v>
      </c>
      <c r="O7" s="16">
        <f>_xlfn.XLOOKUP(DCF!$C$4,'A1'!$B8:$B10,'A1'!O8:O10)</f>
        <v>0.05</v>
      </c>
    </row>
    <row r="8" spans="1:15" x14ac:dyDescent="0.2">
      <c r="A8" s="20"/>
      <c r="B8" s="29" t="s">
        <v>46</v>
      </c>
      <c r="F8" s="17">
        <f>F9-0.04</f>
        <v>6.0000000000000005E-2</v>
      </c>
      <c r="G8" s="18">
        <f t="shared" ref="G8:O8" si="1">G9-0.04</f>
        <v>6.0000000000000005E-2</v>
      </c>
      <c r="H8" s="18">
        <f t="shared" si="1"/>
        <v>0.04</v>
      </c>
      <c r="I8" s="18">
        <f t="shared" si="1"/>
        <v>0.04</v>
      </c>
      <c r="J8" s="18">
        <f t="shared" si="1"/>
        <v>3.0000000000000006E-2</v>
      </c>
      <c r="K8" s="18">
        <f t="shared" si="1"/>
        <v>3.0000000000000006E-2</v>
      </c>
      <c r="L8" s="18">
        <f t="shared" si="1"/>
        <v>1.9999999999999997E-2</v>
      </c>
      <c r="M8" s="18">
        <f t="shared" si="1"/>
        <v>1.9999999999999997E-2</v>
      </c>
      <c r="N8" s="18">
        <f t="shared" si="1"/>
        <v>1.0000000000000002E-2</v>
      </c>
      <c r="O8" s="19">
        <f t="shared" si="1"/>
        <v>1.0000000000000002E-2</v>
      </c>
    </row>
    <row r="9" spans="1:15" x14ac:dyDescent="0.2">
      <c r="A9" s="20"/>
      <c r="B9" s="30" t="s">
        <v>47</v>
      </c>
      <c r="F9" s="17">
        <v>0.1</v>
      </c>
      <c r="G9" s="18">
        <v>0.1</v>
      </c>
      <c r="H9" s="18">
        <v>0.08</v>
      </c>
      <c r="I9" s="18">
        <v>0.08</v>
      </c>
      <c r="J9" s="18">
        <v>7.0000000000000007E-2</v>
      </c>
      <c r="K9" s="18">
        <v>7.0000000000000007E-2</v>
      </c>
      <c r="L9" s="18">
        <v>0.06</v>
      </c>
      <c r="M9" s="18">
        <v>0.06</v>
      </c>
      <c r="N9" s="18">
        <v>0.05</v>
      </c>
      <c r="O9" s="19">
        <v>0.05</v>
      </c>
    </row>
    <row r="10" spans="1:15" x14ac:dyDescent="0.2">
      <c r="A10" s="20"/>
      <c r="B10" s="30" t="s">
        <v>48</v>
      </c>
      <c r="F10" s="17">
        <f>F9+0.04</f>
        <v>0.14000000000000001</v>
      </c>
      <c r="G10" s="18">
        <f t="shared" ref="G10:O10" si="2">G9+0.04</f>
        <v>0.14000000000000001</v>
      </c>
      <c r="H10" s="18">
        <f t="shared" si="2"/>
        <v>0.12</v>
      </c>
      <c r="I10" s="18">
        <f t="shared" si="2"/>
        <v>0.12</v>
      </c>
      <c r="J10" s="18">
        <f t="shared" si="2"/>
        <v>0.11000000000000001</v>
      </c>
      <c r="K10" s="18">
        <f t="shared" si="2"/>
        <v>0.11000000000000001</v>
      </c>
      <c r="L10" s="18">
        <f t="shared" si="2"/>
        <v>0.1</v>
      </c>
      <c r="M10" s="18">
        <f t="shared" si="2"/>
        <v>0.1</v>
      </c>
      <c r="N10" s="18">
        <f t="shared" si="2"/>
        <v>0.09</v>
      </c>
      <c r="O10" s="19">
        <f t="shared" si="2"/>
        <v>0.09</v>
      </c>
    </row>
    <row r="11" spans="1:15" x14ac:dyDescent="0.2">
      <c r="A11" s="20"/>
    </row>
    <row r="12" spans="1:15" x14ac:dyDescent="0.2">
      <c r="A12" s="20"/>
      <c r="B12" s="2" t="s">
        <v>59</v>
      </c>
      <c r="F12" s="16">
        <f>_xlfn.XLOOKUP(DCF!$C$4,'A1'!$B13:$B15,'A1'!F13:F15)</f>
        <v>0.68</v>
      </c>
      <c r="G12" s="16">
        <f>_xlfn.XLOOKUP(DCF!$C$4,'A1'!$B13:$B15,'A1'!G13:G15)</f>
        <v>0.68</v>
      </c>
      <c r="H12" s="16">
        <f>_xlfn.XLOOKUP(DCF!$C$4,'A1'!$B13:$B15,'A1'!H13:H15)</f>
        <v>0.68</v>
      </c>
      <c r="I12" s="16">
        <f>_xlfn.XLOOKUP(DCF!$C$4,'A1'!$B13:$B15,'A1'!I13:I15)</f>
        <v>0.68</v>
      </c>
      <c r="J12" s="16">
        <f>_xlfn.XLOOKUP(DCF!$C$4,'A1'!$B13:$B15,'A1'!J13:J15)</f>
        <v>0.68</v>
      </c>
      <c r="K12" s="16">
        <f>_xlfn.XLOOKUP(DCF!$C$4,'A1'!$B13:$B15,'A1'!K13:K15)</f>
        <v>0.68</v>
      </c>
      <c r="L12" s="16">
        <f>_xlfn.XLOOKUP(DCF!$C$4,'A1'!$B13:$B15,'A1'!L13:L15)</f>
        <v>0.68</v>
      </c>
      <c r="M12" s="16">
        <f>_xlfn.XLOOKUP(DCF!$C$4,'A1'!$B13:$B15,'A1'!M13:M15)</f>
        <v>0.68</v>
      </c>
      <c r="N12" s="16">
        <f>_xlfn.XLOOKUP(DCF!$C$4,'A1'!$B13:$B15,'A1'!N13:N15)</f>
        <v>0.68</v>
      </c>
      <c r="O12" s="16">
        <f>_xlfn.XLOOKUP(DCF!$C$4,'A1'!$B13:$B15,'A1'!O13:O15)</f>
        <v>0.68</v>
      </c>
    </row>
    <row r="13" spans="1:15" x14ac:dyDescent="0.2">
      <c r="A13" s="20"/>
      <c r="B13" s="29" t="s">
        <v>46</v>
      </c>
      <c r="F13" s="17">
        <v>0.69</v>
      </c>
      <c r="G13" s="18">
        <v>0.69</v>
      </c>
      <c r="H13" s="18">
        <v>0.69</v>
      </c>
      <c r="I13" s="18">
        <v>0.69</v>
      </c>
      <c r="J13" s="18">
        <v>0.69</v>
      </c>
      <c r="K13" s="18">
        <v>0.69</v>
      </c>
      <c r="L13" s="18">
        <v>0.69</v>
      </c>
      <c r="M13" s="18">
        <v>0.69</v>
      </c>
      <c r="N13" s="18">
        <v>0.69</v>
      </c>
      <c r="O13" s="19">
        <v>0.69</v>
      </c>
    </row>
    <row r="14" spans="1:15" x14ac:dyDescent="0.2">
      <c r="A14" s="20"/>
      <c r="B14" s="30" t="s">
        <v>47</v>
      </c>
      <c r="F14" s="17">
        <v>0.68</v>
      </c>
      <c r="G14" s="18">
        <v>0.68</v>
      </c>
      <c r="H14" s="18">
        <v>0.68</v>
      </c>
      <c r="I14" s="18">
        <v>0.68</v>
      </c>
      <c r="J14" s="18">
        <v>0.68</v>
      </c>
      <c r="K14" s="18">
        <v>0.68</v>
      </c>
      <c r="L14" s="18">
        <v>0.68</v>
      </c>
      <c r="M14" s="18">
        <v>0.68</v>
      </c>
      <c r="N14" s="18">
        <v>0.68</v>
      </c>
      <c r="O14" s="19">
        <v>0.68</v>
      </c>
    </row>
    <row r="15" spans="1:15" x14ac:dyDescent="0.2">
      <c r="A15" s="20"/>
      <c r="B15" s="30" t="s">
        <v>48</v>
      </c>
      <c r="F15" s="17">
        <v>0.67</v>
      </c>
      <c r="G15" s="18">
        <v>0.67</v>
      </c>
      <c r="H15" s="18">
        <v>0.67</v>
      </c>
      <c r="I15" s="18">
        <v>0.67</v>
      </c>
      <c r="J15" s="18">
        <v>0.67</v>
      </c>
      <c r="K15" s="18">
        <v>0.67</v>
      </c>
      <c r="L15" s="18">
        <v>0.67</v>
      </c>
      <c r="M15" s="18">
        <v>0.67</v>
      </c>
      <c r="N15" s="18">
        <v>0.67</v>
      </c>
      <c r="O15" s="19">
        <v>0.67</v>
      </c>
    </row>
    <row r="16" spans="1:15" x14ac:dyDescent="0.2">
      <c r="A16" s="20"/>
    </row>
    <row r="17" spans="1:15" x14ac:dyDescent="0.2">
      <c r="A17" s="20"/>
      <c r="B17" s="2" t="s">
        <v>42</v>
      </c>
      <c r="F17" s="16">
        <f>_xlfn.XLOOKUP(DCF!$C$4,'A1'!$B18:$B20,'A1'!F18:F20)</f>
        <v>0.1</v>
      </c>
      <c r="G17" s="16">
        <f>_xlfn.XLOOKUP(DCF!$C$4,'A1'!$B18:$B20,'A1'!G18:G20)</f>
        <v>0.1</v>
      </c>
      <c r="H17" s="16">
        <f>_xlfn.XLOOKUP(DCF!$C$4,'A1'!$B18:$B20,'A1'!H18:H20)</f>
        <v>0.1</v>
      </c>
      <c r="I17" s="16">
        <f>_xlfn.XLOOKUP(DCF!$C$4,'A1'!$B18:$B20,'A1'!I18:I20)</f>
        <v>0.1</v>
      </c>
      <c r="J17" s="16">
        <f>_xlfn.XLOOKUP(DCF!$C$4,'A1'!$B18:$B20,'A1'!J18:J20)</f>
        <v>0.1</v>
      </c>
      <c r="K17" s="16">
        <f>_xlfn.XLOOKUP(DCF!$C$4,'A1'!$B18:$B20,'A1'!K18:K20)</f>
        <v>0.1</v>
      </c>
      <c r="L17" s="16">
        <f>_xlfn.XLOOKUP(DCF!$C$4,'A1'!$B18:$B20,'A1'!L18:L20)</f>
        <v>0.1</v>
      </c>
      <c r="M17" s="16">
        <f>_xlfn.XLOOKUP(DCF!$C$4,'A1'!$B18:$B20,'A1'!M18:M20)</f>
        <v>0.1</v>
      </c>
      <c r="N17" s="16">
        <f>_xlfn.XLOOKUP(DCF!$C$4,'A1'!$B18:$B20,'A1'!N18:N20)</f>
        <v>0.1</v>
      </c>
      <c r="O17" s="16">
        <f>_xlfn.XLOOKUP(DCF!$C$4,'A1'!$B18:$B20,'A1'!O18:O20)</f>
        <v>0.1</v>
      </c>
    </row>
    <row r="18" spans="1:15" x14ac:dyDescent="0.2">
      <c r="A18" s="20"/>
      <c r="B18" s="29" t="s">
        <v>46</v>
      </c>
      <c r="F18" s="17">
        <v>0.11</v>
      </c>
      <c r="G18" s="18">
        <v>0.11</v>
      </c>
      <c r="H18" s="18">
        <v>0.11</v>
      </c>
      <c r="I18" s="18">
        <v>0.11</v>
      </c>
      <c r="J18" s="18">
        <v>0.11</v>
      </c>
      <c r="K18" s="18">
        <v>0.11</v>
      </c>
      <c r="L18" s="18">
        <v>0.11</v>
      </c>
      <c r="M18" s="18">
        <v>0.11</v>
      </c>
      <c r="N18" s="18">
        <v>0.11</v>
      </c>
      <c r="O18" s="19">
        <v>0.11</v>
      </c>
    </row>
    <row r="19" spans="1:15" x14ac:dyDescent="0.2">
      <c r="A19" s="20"/>
      <c r="B19" s="30" t="s">
        <v>47</v>
      </c>
      <c r="F19" s="17">
        <v>0.1</v>
      </c>
      <c r="G19" s="18">
        <v>0.1</v>
      </c>
      <c r="H19" s="18">
        <v>0.1</v>
      </c>
      <c r="I19" s="18">
        <v>0.1</v>
      </c>
      <c r="J19" s="18">
        <v>0.1</v>
      </c>
      <c r="K19" s="18">
        <v>0.1</v>
      </c>
      <c r="L19" s="18">
        <v>0.1</v>
      </c>
      <c r="M19" s="18">
        <v>0.1</v>
      </c>
      <c r="N19" s="18">
        <v>0.1</v>
      </c>
      <c r="O19" s="19">
        <v>0.1</v>
      </c>
    </row>
    <row r="20" spans="1:15" x14ac:dyDescent="0.2">
      <c r="A20" s="20"/>
      <c r="B20" s="30" t="s">
        <v>48</v>
      </c>
      <c r="F20" s="17">
        <v>0.09</v>
      </c>
      <c r="G20" s="18">
        <v>0.09</v>
      </c>
      <c r="H20" s="18">
        <v>0.09</v>
      </c>
      <c r="I20" s="18">
        <v>0.09</v>
      </c>
      <c r="J20" s="18">
        <v>0.09</v>
      </c>
      <c r="K20" s="18">
        <v>0.09</v>
      </c>
      <c r="L20" s="18">
        <v>0.09</v>
      </c>
      <c r="M20" s="18">
        <v>0.09</v>
      </c>
      <c r="N20" s="18">
        <v>0.09</v>
      </c>
      <c r="O20" s="19">
        <v>0.09</v>
      </c>
    </row>
    <row r="21" spans="1:15" x14ac:dyDescent="0.2">
      <c r="A21" s="20"/>
    </row>
    <row r="22" spans="1:15" x14ac:dyDescent="0.2">
      <c r="A22" s="20"/>
      <c r="B22" s="2" t="s">
        <v>43</v>
      </c>
      <c r="F22" s="16">
        <f>_xlfn.XLOOKUP(DCF!$C$4,'A1'!$B23:$B25,'A1'!F23:F25)</f>
        <v>0.02</v>
      </c>
      <c r="G22" s="16">
        <f>_xlfn.XLOOKUP(DCF!$C$4,'A1'!$B23:$B25,'A1'!G23:G25)</f>
        <v>0.02</v>
      </c>
      <c r="H22" s="16">
        <f>_xlfn.XLOOKUP(DCF!$C$4,'A1'!$B23:$B25,'A1'!H23:H25)</f>
        <v>0.02</v>
      </c>
      <c r="I22" s="16">
        <f>_xlfn.XLOOKUP(DCF!$C$4,'A1'!$B23:$B25,'A1'!I23:I25)</f>
        <v>0.02</v>
      </c>
      <c r="J22" s="16">
        <f>_xlfn.XLOOKUP(DCF!$C$4,'A1'!$B23:$B25,'A1'!J23:J25)</f>
        <v>0.02</v>
      </c>
      <c r="K22" s="16">
        <f>_xlfn.XLOOKUP(DCF!$C$4,'A1'!$B23:$B25,'A1'!K23:K25)</f>
        <v>0.02</v>
      </c>
      <c r="L22" s="16">
        <f>_xlfn.XLOOKUP(DCF!$C$4,'A1'!$B23:$B25,'A1'!L23:L25)</f>
        <v>0.02</v>
      </c>
      <c r="M22" s="16">
        <f>_xlfn.XLOOKUP(DCF!$C$4,'A1'!$B23:$B25,'A1'!M23:M25)</f>
        <v>0.02</v>
      </c>
      <c r="N22" s="16">
        <f>_xlfn.XLOOKUP(DCF!$C$4,'A1'!$B23:$B25,'A1'!N23:N25)</f>
        <v>0.02</v>
      </c>
      <c r="O22" s="16">
        <f>_xlfn.XLOOKUP(DCF!$C$4,'A1'!$B23:$B25,'A1'!O23:O25)</f>
        <v>0.02</v>
      </c>
    </row>
    <row r="23" spans="1:15" x14ac:dyDescent="0.2">
      <c r="A23" s="20"/>
      <c r="B23" s="29" t="s">
        <v>46</v>
      </c>
      <c r="F23" s="17">
        <v>0.02</v>
      </c>
      <c r="G23" s="18">
        <v>0.02</v>
      </c>
      <c r="H23" s="18">
        <v>0.02</v>
      </c>
      <c r="I23" s="18">
        <v>0.02</v>
      </c>
      <c r="J23" s="18">
        <v>0.02</v>
      </c>
      <c r="K23" s="18">
        <v>0.02</v>
      </c>
      <c r="L23" s="18">
        <v>0.02</v>
      </c>
      <c r="M23" s="18">
        <v>0.02</v>
      </c>
      <c r="N23" s="18">
        <v>0.02</v>
      </c>
      <c r="O23" s="19">
        <v>0.02</v>
      </c>
    </row>
    <row r="24" spans="1:15" x14ac:dyDescent="0.2">
      <c r="A24" s="20"/>
      <c r="B24" s="30" t="s">
        <v>47</v>
      </c>
      <c r="F24" s="17">
        <v>0.02</v>
      </c>
      <c r="G24" s="18">
        <v>0.02</v>
      </c>
      <c r="H24" s="18">
        <v>0.02</v>
      </c>
      <c r="I24" s="18">
        <v>0.02</v>
      </c>
      <c r="J24" s="18">
        <v>0.02</v>
      </c>
      <c r="K24" s="18">
        <v>0.02</v>
      </c>
      <c r="L24" s="18">
        <v>0.02</v>
      </c>
      <c r="M24" s="18">
        <v>0.02</v>
      </c>
      <c r="N24" s="18">
        <v>0.02</v>
      </c>
      <c r="O24" s="19">
        <v>0.02</v>
      </c>
    </row>
    <row r="25" spans="1:15" x14ac:dyDescent="0.2">
      <c r="A25" s="20"/>
      <c r="B25" s="30" t="s">
        <v>48</v>
      </c>
      <c r="F25" s="17">
        <v>0.02</v>
      </c>
      <c r="G25" s="18">
        <v>0.02</v>
      </c>
      <c r="H25" s="18">
        <v>0.02</v>
      </c>
      <c r="I25" s="18">
        <v>0.02</v>
      </c>
      <c r="J25" s="18">
        <v>0.02</v>
      </c>
      <c r="K25" s="18">
        <v>0.02</v>
      </c>
      <c r="L25" s="18">
        <v>0.02</v>
      </c>
      <c r="M25" s="18">
        <v>0.02</v>
      </c>
      <c r="N25" s="18">
        <v>0.02</v>
      </c>
      <c r="O25" s="19">
        <v>0.02</v>
      </c>
    </row>
    <row r="26" spans="1:15" x14ac:dyDescent="0.2">
      <c r="A26" s="20"/>
    </row>
    <row r="27" spans="1:15" x14ac:dyDescent="0.2">
      <c r="A27" s="20" t="s">
        <v>61</v>
      </c>
      <c r="B27" s="2" t="s">
        <v>44</v>
      </c>
    </row>
    <row r="28" spans="1:15" x14ac:dyDescent="0.2">
      <c r="A28" s="20"/>
      <c r="B28" s="31" t="s">
        <v>45</v>
      </c>
      <c r="F28" s="16">
        <f>_xlfn.XLOOKUP(DCF!$C$4,'A1'!$B29:$B31,'A1'!F29:F31)</f>
        <v>0.05</v>
      </c>
      <c r="G28" s="16">
        <f>_xlfn.XLOOKUP(DCF!$C$4,'A1'!$B29:$B31,'A1'!G29:G31)</f>
        <v>0.05</v>
      </c>
      <c r="H28" s="16">
        <f>_xlfn.XLOOKUP(DCF!$C$4,'A1'!$B29:$B31,'A1'!H29:H31)</f>
        <v>0.05</v>
      </c>
      <c r="I28" s="16">
        <f>_xlfn.XLOOKUP(DCF!$C$4,'A1'!$B29:$B31,'A1'!I29:I31)</f>
        <v>0.05</v>
      </c>
      <c r="J28" s="16">
        <f>_xlfn.XLOOKUP(DCF!$C$4,'A1'!$B29:$B31,'A1'!J29:J31)</f>
        <v>0.05</v>
      </c>
      <c r="K28" s="16">
        <f>_xlfn.XLOOKUP(DCF!$C$4,'A1'!$B29:$B31,'A1'!K29:K31)</f>
        <v>0.05</v>
      </c>
      <c r="L28" s="16">
        <f>_xlfn.XLOOKUP(DCF!$C$4,'A1'!$B29:$B31,'A1'!L29:L31)</f>
        <v>0.05</v>
      </c>
      <c r="M28" s="16">
        <f>_xlfn.XLOOKUP(DCF!$C$4,'A1'!$B29:$B31,'A1'!M29:M31)</f>
        <v>0.05</v>
      </c>
      <c r="N28" s="16">
        <f>_xlfn.XLOOKUP(DCF!$C$4,'A1'!$B29:$B31,'A1'!N29:N31)</f>
        <v>0.05</v>
      </c>
      <c r="O28" s="16">
        <f>_xlfn.XLOOKUP(DCF!$C$4,'A1'!$B29:$B31,'A1'!O29:O31)</f>
        <v>0.05</v>
      </c>
    </row>
    <row r="29" spans="1:15" x14ac:dyDescent="0.2">
      <c r="A29" s="20"/>
      <c r="B29" s="29" t="s">
        <v>46</v>
      </c>
      <c r="F29" s="17">
        <v>0.05</v>
      </c>
      <c r="G29" s="18">
        <v>0.05</v>
      </c>
      <c r="H29" s="18">
        <v>0.05</v>
      </c>
      <c r="I29" s="18">
        <v>0.05</v>
      </c>
      <c r="J29" s="18">
        <v>0.05</v>
      </c>
      <c r="K29" s="18">
        <v>0.05</v>
      </c>
      <c r="L29" s="18">
        <v>0.05</v>
      </c>
      <c r="M29" s="18">
        <v>0.05</v>
      </c>
      <c r="N29" s="18">
        <v>0.05</v>
      </c>
      <c r="O29" s="19">
        <v>0.05</v>
      </c>
    </row>
    <row r="30" spans="1:15" x14ac:dyDescent="0.2">
      <c r="A30" s="20"/>
      <c r="B30" s="30" t="s">
        <v>47</v>
      </c>
      <c r="F30" s="17">
        <v>0.05</v>
      </c>
      <c r="G30" s="18">
        <v>0.05</v>
      </c>
      <c r="H30" s="18">
        <v>0.05</v>
      </c>
      <c r="I30" s="18">
        <v>0.05</v>
      </c>
      <c r="J30" s="18">
        <v>0.05</v>
      </c>
      <c r="K30" s="18">
        <v>0.05</v>
      </c>
      <c r="L30" s="18">
        <v>0.05</v>
      </c>
      <c r="M30" s="18">
        <v>0.05</v>
      </c>
      <c r="N30" s="18">
        <v>0.05</v>
      </c>
      <c r="O30" s="19">
        <v>0.05</v>
      </c>
    </row>
    <row r="31" spans="1:15" x14ac:dyDescent="0.2">
      <c r="A31" s="20"/>
      <c r="B31" s="30" t="s">
        <v>48</v>
      </c>
      <c r="F31" s="17">
        <v>0.04</v>
      </c>
      <c r="G31" s="18">
        <v>0.04</v>
      </c>
      <c r="H31" s="18">
        <v>0.04</v>
      </c>
      <c r="I31" s="18">
        <v>0.04</v>
      </c>
      <c r="J31" s="18">
        <v>0.04</v>
      </c>
      <c r="K31" s="18">
        <v>0.04</v>
      </c>
      <c r="L31" s="18">
        <v>0.04</v>
      </c>
      <c r="M31" s="18">
        <v>0.04</v>
      </c>
      <c r="N31" s="18">
        <v>0.04</v>
      </c>
      <c r="O31" s="19">
        <v>0.04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1ABD8-47EE-4B93-893C-7844276FA26B}">
  <dimension ref="A1:O31"/>
  <sheetViews>
    <sheetView showGridLines="0" workbookViewId="0">
      <selection activeCell="D11" sqref="D11"/>
    </sheetView>
  </sheetViews>
  <sheetFormatPr defaultRowHeight="12.75" x14ac:dyDescent="0.2"/>
  <cols>
    <col min="1" max="1" width="0.85546875" style="1" customWidth="1"/>
    <col min="2" max="16384" width="9.140625" style="1"/>
  </cols>
  <sheetData>
    <row r="1" spans="1:15" x14ac:dyDescent="0.2">
      <c r="A1" s="118"/>
      <c r="B1" s="114" t="s">
        <v>113</v>
      </c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</row>
    <row r="2" spans="1:15" x14ac:dyDescent="0.2">
      <c r="F2" s="12" t="s">
        <v>6</v>
      </c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2">
      <c r="F3" s="13" t="s">
        <v>49</v>
      </c>
      <c r="G3" s="13" t="s">
        <v>50</v>
      </c>
      <c r="H3" s="13" t="s">
        <v>51</v>
      </c>
      <c r="I3" s="13" t="s">
        <v>52</v>
      </c>
      <c r="J3" s="13" t="s">
        <v>53</v>
      </c>
      <c r="K3" s="13" t="s">
        <v>54</v>
      </c>
      <c r="L3" s="13" t="s">
        <v>55</v>
      </c>
      <c r="M3" s="13" t="s">
        <v>56</v>
      </c>
      <c r="N3" s="13" t="s">
        <v>57</v>
      </c>
      <c r="O3" s="13" t="s">
        <v>58</v>
      </c>
    </row>
    <row r="4" spans="1:15" x14ac:dyDescent="0.2">
      <c r="F4" s="14">
        <v>45657</v>
      </c>
      <c r="G4" s="14">
        <f>EOMONTH(F4,12)</f>
        <v>46022</v>
      </c>
      <c r="H4" s="14">
        <f t="shared" ref="H4:O4" si="0">EOMONTH(G4,12)</f>
        <v>46387</v>
      </c>
      <c r="I4" s="14">
        <f t="shared" si="0"/>
        <v>46752</v>
      </c>
      <c r="J4" s="14">
        <f t="shared" si="0"/>
        <v>47118</v>
      </c>
      <c r="K4" s="14">
        <f t="shared" si="0"/>
        <v>47483</v>
      </c>
      <c r="L4" s="14">
        <f t="shared" si="0"/>
        <v>47848</v>
      </c>
      <c r="M4" s="14">
        <f t="shared" si="0"/>
        <v>48213</v>
      </c>
      <c r="N4" s="14">
        <f t="shared" si="0"/>
        <v>48579</v>
      </c>
      <c r="O4" s="14">
        <f t="shared" si="0"/>
        <v>48944</v>
      </c>
    </row>
    <row r="6" spans="1:15" x14ac:dyDescent="0.2">
      <c r="B6" s="24" t="s">
        <v>25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x14ac:dyDescent="0.2">
      <c r="B7" s="21" t="s">
        <v>62</v>
      </c>
      <c r="F7" s="2">
        <f>_xlfn.XLOOKUP(DCF!$C$4,'A2'!$B8:$B10,'A2'!F8:F10)</f>
        <v>74</v>
      </c>
      <c r="G7" s="2">
        <f>_xlfn.XLOOKUP(DCF!$C$4,'A2'!$B8:$B10,'A2'!G8:G10)</f>
        <v>74</v>
      </c>
      <c r="H7" s="2">
        <f>_xlfn.XLOOKUP(DCF!$C$4,'A2'!$B8:$B10,'A2'!H8:H10)</f>
        <v>74</v>
      </c>
      <c r="I7" s="2">
        <f>_xlfn.XLOOKUP(DCF!$C$4,'A2'!$B8:$B10,'A2'!I8:I10)</f>
        <v>74</v>
      </c>
      <c r="J7" s="2">
        <f>_xlfn.XLOOKUP(DCF!$C$4,'A2'!$B8:$B10,'A2'!J8:J10)</f>
        <v>74</v>
      </c>
      <c r="K7" s="2">
        <f>_xlfn.XLOOKUP(DCF!$C$4,'A2'!$B8:$B10,'A2'!K8:K10)</f>
        <v>74</v>
      </c>
      <c r="L7" s="2">
        <f>_xlfn.XLOOKUP(DCF!$C$4,'A2'!$B8:$B10,'A2'!L8:L10)</f>
        <v>74</v>
      </c>
      <c r="M7" s="2">
        <f>_xlfn.XLOOKUP(DCF!$C$4,'A2'!$B8:$B10,'A2'!M8:M10)</f>
        <v>74</v>
      </c>
      <c r="N7" s="2">
        <f>_xlfn.XLOOKUP(DCF!$C$4,'A2'!$B8:$B10,'A2'!N8:N10)</f>
        <v>74</v>
      </c>
      <c r="O7" s="2">
        <f>_xlfn.XLOOKUP(DCF!$C$4,'A2'!$B8:$B10,'A2'!O8:O10)</f>
        <v>74</v>
      </c>
    </row>
    <row r="8" spans="1:15" x14ac:dyDescent="0.2">
      <c r="B8" s="112" t="s">
        <v>46</v>
      </c>
      <c r="C8" s="25"/>
      <c r="D8" s="25"/>
      <c r="E8" s="25"/>
      <c r="F8" s="59">
        <v>76</v>
      </c>
      <c r="G8" s="60">
        <v>76</v>
      </c>
      <c r="H8" s="60">
        <v>76</v>
      </c>
      <c r="I8" s="60">
        <v>76</v>
      </c>
      <c r="J8" s="60">
        <v>76</v>
      </c>
      <c r="K8" s="60">
        <v>76</v>
      </c>
      <c r="L8" s="60">
        <v>76</v>
      </c>
      <c r="M8" s="60">
        <v>76</v>
      </c>
      <c r="N8" s="60">
        <v>76</v>
      </c>
      <c r="O8" s="61">
        <v>76</v>
      </c>
    </row>
    <row r="9" spans="1:15" x14ac:dyDescent="0.2">
      <c r="B9" s="112" t="s">
        <v>47</v>
      </c>
      <c r="C9" s="25"/>
      <c r="D9" s="25"/>
      <c r="E9" s="25"/>
      <c r="F9" s="59">
        <v>74</v>
      </c>
      <c r="G9" s="60">
        <v>74</v>
      </c>
      <c r="H9" s="60">
        <v>74</v>
      </c>
      <c r="I9" s="60">
        <v>74</v>
      </c>
      <c r="J9" s="60">
        <v>74</v>
      </c>
      <c r="K9" s="60">
        <v>74</v>
      </c>
      <c r="L9" s="60">
        <v>74</v>
      </c>
      <c r="M9" s="60">
        <v>74</v>
      </c>
      <c r="N9" s="60">
        <v>74</v>
      </c>
      <c r="O9" s="61">
        <v>74</v>
      </c>
    </row>
    <row r="10" spans="1:15" x14ac:dyDescent="0.2">
      <c r="B10" s="112" t="s">
        <v>48</v>
      </c>
      <c r="C10" s="25"/>
      <c r="D10" s="25"/>
      <c r="E10" s="25"/>
      <c r="F10" s="59">
        <v>72</v>
      </c>
      <c r="G10" s="60">
        <v>72</v>
      </c>
      <c r="H10" s="60">
        <v>72</v>
      </c>
      <c r="I10" s="60">
        <v>72</v>
      </c>
      <c r="J10" s="60">
        <v>72</v>
      </c>
      <c r="K10" s="60">
        <v>72</v>
      </c>
      <c r="L10" s="60">
        <v>72</v>
      </c>
      <c r="M10" s="60">
        <v>72</v>
      </c>
      <c r="N10" s="60">
        <v>72</v>
      </c>
      <c r="O10" s="61">
        <v>72</v>
      </c>
    </row>
    <row r="12" spans="1:15" x14ac:dyDescent="0.2">
      <c r="B12" s="21" t="s">
        <v>63</v>
      </c>
      <c r="F12" s="2">
        <f>_xlfn.XLOOKUP(DCF!$C$4,'A2'!$B13:$B15,'A2'!F13:F15)</f>
        <v>118</v>
      </c>
      <c r="G12" s="2">
        <f>_xlfn.XLOOKUP(DCF!$C$4,'A2'!$B13:$B15,'A2'!G13:G15)</f>
        <v>118</v>
      </c>
      <c r="H12" s="2">
        <f>_xlfn.XLOOKUP(DCF!$C$4,'A2'!$B13:$B15,'A2'!H13:H15)</f>
        <v>118</v>
      </c>
      <c r="I12" s="2">
        <f>_xlfn.XLOOKUP(DCF!$C$4,'A2'!$B13:$B15,'A2'!I13:I15)</f>
        <v>118</v>
      </c>
      <c r="J12" s="2">
        <f>_xlfn.XLOOKUP(DCF!$C$4,'A2'!$B13:$B15,'A2'!J13:J15)</f>
        <v>118</v>
      </c>
      <c r="K12" s="2">
        <f>_xlfn.XLOOKUP(DCF!$C$4,'A2'!$B13:$B15,'A2'!K13:K15)</f>
        <v>118</v>
      </c>
      <c r="L12" s="2">
        <f>_xlfn.XLOOKUP(DCF!$C$4,'A2'!$B13:$B15,'A2'!L13:L15)</f>
        <v>118</v>
      </c>
      <c r="M12" s="2">
        <f>_xlfn.XLOOKUP(DCF!$C$4,'A2'!$B13:$B15,'A2'!M13:M15)</f>
        <v>118</v>
      </c>
      <c r="N12" s="2">
        <f>_xlfn.XLOOKUP(DCF!$C$4,'A2'!$B13:$B15,'A2'!N13:N15)</f>
        <v>118</v>
      </c>
      <c r="O12" s="2">
        <f>_xlfn.XLOOKUP(DCF!$C$4,'A2'!$B13:$B15,'A2'!O13:O15)</f>
        <v>118</v>
      </c>
    </row>
    <row r="13" spans="1:15" x14ac:dyDescent="0.2">
      <c r="B13" s="112" t="s">
        <v>46</v>
      </c>
      <c r="C13" s="25"/>
      <c r="D13" s="25"/>
      <c r="E13" s="25"/>
      <c r="F13" s="59">
        <v>122</v>
      </c>
      <c r="G13" s="60">
        <v>122</v>
      </c>
      <c r="H13" s="60">
        <v>122</v>
      </c>
      <c r="I13" s="60">
        <v>122</v>
      </c>
      <c r="J13" s="60">
        <v>122</v>
      </c>
      <c r="K13" s="60">
        <v>122</v>
      </c>
      <c r="L13" s="60">
        <v>122</v>
      </c>
      <c r="M13" s="60">
        <v>122</v>
      </c>
      <c r="N13" s="60">
        <v>122</v>
      </c>
      <c r="O13" s="61">
        <v>122</v>
      </c>
    </row>
    <row r="14" spans="1:15" x14ac:dyDescent="0.2">
      <c r="B14" s="112" t="s">
        <v>47</v>
      </c>
      <c r="C14" s="25"/>
      <c r="D14" s="25"/>
      <c r="E14" s="25"/>
      <c r="F14" s="59">
        <v>118</v>
      </c>
      <c r="G14" s="60">
        <v>118</v>
      </c>
      <c r="H14" s="60">
        <v>118</v>
      </c>
      <c r="I14" s="60">
        <v>118</v>
      </c>
      <c r="J14" s="60">
        <v>118</v>
      </c>
      <c r="K14" s="60">
        <v>118</v>
      </c>
      <c r="L14" s="60">
        <v>118</v>
      </c>
      <c r="M14" s="60">
        <v>118</v>
      </c>
      <c r="N14" s="60">
        <v>118</v>
      </c>
      <c r="O14" s="61">
        <v>118</v>
      </c>
    </row>
    <row r="15" spans="1:15" x14ac:dyDescent="0.2">
      <c r="B15" s="112" t="s">
        <v>48</v>
      </c>
      <c r="C15" s="25"/>
      <c r="D15" s="25"/>
      <c r="E15" s="25"/>
      <c r="F15" s="59">
        <v>114</v>
      </c>
      <c r="G15" s="60">
        <v>114</v>
      </c>
      <c r="H15" s="60">
        <v>114</v>
      </c>
      <c r="I15" s="60">
        <v>114</v>
      </c>
      <c r="J15" s="60">
        <v>114</v>
      </c>
      <c r="K15" s="60">
        <v>114</v>
      </c>
      <c r="L15" s="60">
        <v>114</v>
      </c>
      <c r="M15" s="60">
        <v>114</v>
      </c>
      <c r="N15" s="60">
        <v>114</v>
      </c>
      <c r="O15" s="61">
        <v>114</v>
      </c>
    </row>
    <row r="17" spans="2:15" x14ac:dyDescent="0.2">
      <c r="B17" s="21" t="s">
        <v>64</v>
      </c>
      <c r="F17" s="39">
        <f>_xlfn.XLOOKUP(DCF!$C$4,'A2'!$B18:$B20,'A2'!F18:F20)</f>
        <v>2.3E-2</v>
      </c>
      <c r="G17" s="39">
        <f>_xlfn.XLOOKUP(DCF!$C$4,'A2'!$B18:$B20,'A2'!G18:G20)</f>
        <v>2.3E-2</v>
      </c>
      <c r="H17" s="39">
        <f>_xlfn.XLOOKUP(DCF!$C$4,'A2'!$B18:$B20,'A2'!H18:H20)</f>
        <v>2.3E-2</v>
      </c>
      <c r="I17" s="39">
        <f>_xlfn.XLOOKUP(DCF!$C$4,'A2'!$B18:$B20,'A2'!I18:I20)</f>
        <v>2.3E-2</v>
      </c>
      <c r="J17" s="39">
        <f>_xlfn.XLOOKUP(DCF!$C$4,'A2'!$B18:$B20,'A2'!J18:J20)</f>
        <v>2.3E-2</v>
      </c>
      <c r="K17" s="39">
        <f>_xlfn.XLOOKUP(DCF!$C$4,'A2'!$B18:$B20,'A2'!K18:K20)</f>
        <v>2.3E-2</v>
      </c>
      <c r="L17" s="39">
        <f>_xlfn.XLOOKUP(DCF!$C$4,'A2'!$B18:$B20,'A2'!L18:L20)</f>
        <v>2.3E-2</v>
      </c>
      <c r="M17" s="39">
        <f>_xlfn.XLOOKUP(DCF!$C$4,'A2'!$B18:$B20,'A2'!M18:M20)</f>
        <v>2.3E-2</v>
      </c>
      <c r="N17" s="39">
        <f>_xlfn.XLOOKUP(DCF!$C$4,'A2'!$B18:$B20,'A2'!N18:N20)</f>
        <v>2.3E-2</v>
      </c>
      <c r="O17" s="39">
        <f>_xlfn.XLOOKUP(DCF!$C$4,'A2'!$B18:$B20,'A2'!O18:O20)</f>
        <v>2.3E-2</v>
      </c>
    </row>
    <row r="18" spans="2:15" x14ac:dyDescent="0.2">
      <c r="B18" s="112" t="s">
        <v>46</v>
      </c>
      <c r="C18" s="25"/>
      <c r="D18" s="25"/>
      <c r="E18" s="25"/>
      <c r="F18" s="62">
        <v>2.3E-2</v>
      </c>
      <c r="G18" s="63">
        <v>2.3E-2</v>
      </c>
      <c r="H18" s="63">
        <v>2.3E-2</v>
      </c>
      <c r="I18" s="63">
        <v>2.3E-2</v>
      </c>
      <c r="J18" s="63">
        <v>2.3E-2</v>
      </c>
      <c r="K18" s="63">
        <v>2.3E-2</v>
      </c>
      <c r="L18" s="63">
        <v>2.3E-2</v>
      </c>
      <c r="M18" s="63">
        <v>2.3E-2</v>
      </c>
      <c r="N18" s="63">
        <v>2.3E-2</v>
      </c>
      <c r="O18" s="64">
        <v>2.3E-2</v>
      </c>
    </row>
    <row r="19" spans="2:15" x14ac:dyDescent="0.2">
      <c r="B19" s="112" t="s">
        <v>47</v>
      </c>
      <c r="C19" s="25"/>
      <c r="D19" s="25"/>
      <c r="E19" s="25"/>
      <c r="F19" s="62">
        <v>2.3E-2</v>
      </c>
      <c r="G19" s="63">
        <v>2.3E-2</v>
      </c>
      <c r="H19" s="63">
        <v>2.3E-2</v>
      </c>
      <c r="I19" s="63">
        <v>2.3E-2</v>
      </c>
      <c r="J19" s="63">
        <v>2.3E-2</v>
      </c>
      <c r="K19" s="63">
        <v>2.3E-2</v>
      </c>
      <c r="L19" s="63">
        <v>2.3E-2</v>
      </c>
      <c r="M19" s="63">
        <v>2.3E-2</v>
      </c>
      <c r="N19" s="63">
        <v>2.3E-2</v>
      </c>
      <c r="O19" s="64">
        <v>2.3E-2</v>
      </c>
    </row>
    <row r="20" spans="2:15" x14ac:dyDescent="0.2">
      <c r="B20" s="112" t="s">
        <v>48</v>
      </c>
      <c r="C20" s="25"/>
      <c r="D20" s="25"/>
      <c r="E20" s="25"/>
      <c r="F20" s="62">
        <v>2.3E-2</v>
      </c>
      <c r="G20" s="63">
        <v>2.3E-2</v>
      </c>
      <c r="H20" s="63">
        <v>2.3E-2</v>
      </c>
      <c r="I20" s="63">
        <v>2.3E-2</v>
      </c>
      <c r="J20" s="63">
        <v>2.3E-2</v>
      </c>
      <c r="K20" s="63">
        <v>2.3E-2</v>
      </c>
      <c r="L20" s="63">
        <v>2.3E-2</v>
      </c>
      <c r="M20" s="63">
        <v>2.3E-2</v>
      </c>
      <c r="N20" s="63">
        <v>2.3E-2</v>
      </c>
      <c r="O20" s="64">
        <v>2.3E-2</v>
      </c>
    </row>
    <row r="22" spans="2:15" x14ac:dyDescent="0.2">
      <c r="B22" s="22" t="s">
        <v>29</v>
      </c>
    </row>
    <row r="23" spans="2:15" x14ac:dyDescent="0.2">
      <c r="B23" s="21" t="s">
        <v>65</v>
      </c>
      <c r="F23" s="2">
        <f>_xlfn.XLOOKUP(DCF!$C$4,'A2'!$B24:$B26,'A2'!F24:F26)</f>
        <v>78</v>
      </c>
      <c r="G23" s="2">
        <f>_xlfn.XLOOKUP(DCF!$C$4,'A2'!$B24:$B26,'A2'!G24:G26)</f>
        <v>78</v>
      </c>
      <c r="H23" s="2">
        <f>_xlfn.XLOOKUP(DCF!$C$4,'A2'!$B24:$B26,'A2'!H24:H26)</f>
        <v>78</v>
      </c>
      <c r="I23" s="2">
        <f>_xlfn.XLOOKUP(DCF!$C$4,'A2'!$B24:$B26,'A2'!I24:I26)</f>
        <v>78</v>
      </c>
      <c r="J23" s="2">
        <f>_xlfn.XLOOKUP(DCF!$C$4,'A2'!$B24:$B26,'A2'!J24:J26)</f>
        <v>78</v>
      </c>
      <c r="K23" s="2">
        <f>_xlfn.XLOOKUP(DCF!$C$4,'A2'!$B24:$B26,'A2'!K24:K26)</f>
        <v>78</v>
      </c>
      <c r="L23" s="2">
        <f>_xlfn.XLOOKUP(DCF!$C$4,'A2'!$B24:$B26,'A2'!L24:L26)</f>
        <v>78</v>
      </c>
      <c r="M23" s="2">
        <f>_xlfn.XLOOKUP(DCF!$C$4,'A2'!$B24:$B26,'A2'!M24:M26)</f>
        <v>78</v>
      </c>
      <c r="N23" s="2">
        <f>_xlfn.XLOOKUP(DCF!$C$4,'A2'!$B24:$B26,'A2'!N24:N26)</f>
        <v>78</v>
      </c>
      <c r="O23" s="2">
        <f>_xlfn.XLOOKUP(DCF!$C$4,'A2'!$B24:$B26,'A2'!O24:O26)</f>
        <v>78</v>
      </c>
    </row>
    <row r="24" spans="2:15" x14ac:dyDescent="0.2">
      <c r="B24" s="112" t="s">
        <v>46</v>
      </c>
      <c r="C24" s="25"/>
      <c r="D24" s="25"/>
      <c r="E24" s="25"/>
      <c r="F24" s="59">
        <v>80</v>
      </c>
      <c r="G24" s="60">
        <v>80</v>
      </c>
      <c r="H24" s="60">
        <v>80</v>
      </c>
      <c r="I24" s="60">
        <v>80</v>
      </c>
      <c r="J24" s="60">
        <v>80</v>
      </c>
      <c r="K24" s="60">
        <v>80</v>
      </c>
      <c r="L24" s="60">
        <v>80</v>
      </c>
      <c r="M24" s="60">
        <v>80</v>
      </c>
      <c r="N24" s="60">
        <v>80</v>
      </c>
      <c r="O24" s="61">
        <v>80</v>
      </c>
    </row>
    <row r="25" spans="2:15" x14ac:dyDescent="0.2">
      <c r="B25" s="112" t="s">
        <v>47</v>
      </c>
      <c r="C25" s="25"/>
      <c r="D25" s="25"/>
      <c r="E25" s="25"/>
      <c r="F25" s="59">
        <v>78</v>
      </c>
      <c r="G25" s="60">
        <v>78</v>
      </c>
      <c r="H25" s="60">
        <v>78</v>
      </c>
      <c r="I25" s="60">
        <v>78</v>
      </c>
      <c r="J25" s="60">
        <v>78</v>
      </c>
      <c r="K25" s="60">
        <v>78</v>
      </c>
      <c r="L25" s="60">
        <v>78</v>
      </c>
      <c r="M25" s="60">
        <v>78</v>
      </c>
      <c r="N25" s="60">
        <v>78</v>
      </c>
      <c r="O25" s="61">
        <v>78</v>
      </c>
    </row>
    <row r="26" spans="2:15" x14ac:dyDescent="0.2">
      <c r="B26" s="112" t="s">
        <v>48</v>
      </c>
      <c r="C26" s="25"/>
      <c r="D26" s="25"/>
      <c r="E26" s="25"/>
      <c r="F26" s="59">
        <v>76</v>
      </c>
      <c r="G26" s="60">
        <v>76</v>
      </c>
      <c r="H26" s="60">
        <v>76</v>
      </c>
      <c r="I26" s="60">
        <v>76</v>
      </c>
      <c r="J26" s="60">
        <v>76</v>
      </c>
      <c r="K26" s="60">
        <v>76</v>
      </c>
      <c r="L26" s="60">
        <v>76</v>
      </c>
      <c r="M26" s="60">
        <v>76</v>
      </c>
      <c r="N26" s="60">
        <v>76</v>
      </c>
      <c r="O26" s="61">
        <v>76</v>
      </c>
    </row>
    <row r="28" spans="2:15" x14ac:dyDescent="0.2">
      <c r="B28" s="23" t="s">
        <v>66</v>
      </c>
      <c r="F28" s="16">
        <f>_xlfn.XLOOKUP(DCF!$C$4,'A2'!$B29:$B31,'A2'!F29:F31)</f>
        <v>0.2</v>
      </c>
      <c r="G28" s="16">
        <f>_xlfn.XLOOKUP(DCF!$C$4,'A2'!$B29:$B31,'A2'!G29:G31)</f>
        <v>0.2</v>
      </c>
      <c r="H28" s="16">
        <f>_xlfn.XLOOKUP(DCF!$C$4,'A2'!$B29:$B31,'A2'!H29:H31)</f>
        <v>0.2</v>
      </c>
      <c r="I28" s="16">
        <f>_xlfn.XLOOKUP(DCF!$C$4,'A2'!$B29:$B31,'A2'!I29:I31)</f>
        <v>0.2</v>
      </c>
      <c r="J28" s="16">
        <f>_xlfn.XLOOKUP(DCF!$C$4,'A2'!$B29:$B31,'A2'!J29:J31)</f>
        <v>0.2</v>
      </c>
      <c r="K28" s="16">
        <f>_xlfn.XLOOKUP(DCF!$C$4,'A2'!$B29:$B31,'A2'!K29:K31)</f>
        <v>0.2</v>
      </c>
      <c r="L28" s="16">
        <f>_xlfn.XLOOKUP(DCF!$C$4,'A2'!$B29:$B31,'A2'!L29:L31)</f>
        <v>0.2</v>
      </c>
      <c r="M28" s="16">
        <f>_xlfn.XLOOKUP(DCF!$C$4,'A2'!$B29:$B31,'A2'!M29:M31)</f>
        <v>0.2</v>
      </c>
      <c r="N28" s="16">
        <f>_xlfn.XLOOKUP(DCF!$C$4,'A2'!$B29:$B31,'A2'!N29:N31)</f>
        <v>0.2</v>
      </c>
      <c r="O28" s="16">
        <f>_xlfn.XLOOKUP(DCF!$C$4,'A2'!$B29:$B31,'A2'!O29:O31)</f>
        <v>0.2</v>
      </c>
    </row>
    <row r="29" spans="2:15" x14ac:dyDescent="0.2">
      <c r="B29" s="112" t="s">
        <v>46</v>
      </c>
      <c r="C29" s="25"/>
      <c r="D29" s="25"/>
      <c r="E29" s="25"/>
      <c r="F29" s="65">
        <v>0.22</v>
      </c>
      <c r="G29" s="66">
        <v>0.22</v>
      </c>
      <c r="H29" s="66">
        <v>0.22</v>
      </c>
      <c r="I29" s="66">
        <v>0.22</v>
      </c>
      <c r="J29" s="66">
        <v>0.22</v>
      </c>
      <c r="K29" s="66">
        <v>0.22</v>
      </c>
      <c r="L29" s="66">
        <v>0.22</v>
      </c>
      <c r="M29" s="66">
        <v>0.22</v>
      </c>
      <c r="N29" s="66">
        <v>0.22</v>
      </c>
      <c r="O29" s="67">
        <v>0.22</v>
      </c>
    </row>
    <row r="30" spans="2:15" x14ac:dyDescent="0.2">
      <c r="B30" s="112" t="s">
        <v>47</v>
      </c>
      <c r="C30" s="25"/>
      <c r="D30" s="25"/>
      <c r="E30" s="25"/>
      <c r="F30" s="65">
        <v>0.2</v>
      </c>
      <c r="G30" s="66">
        <v>0.2</v>
      </c>
      <c r="H30" s="66">
        <v>0.2</v>
      </c>
      <c r="I30" s="66">
        <v>0.2</v>
      </c>
      <c r="J30" s="66">
        <v>0.2</v>
      </c>
      <c r="K30" s="66">
        <v>0.2</v>
      </c>
      <c r="L30" s="66">
        <v>0.2</v>
      </c>
      <c r="M30" s="66">
        <v>0.2</v>
      </c>
      <c r="N30" s="66">
        <v>0.2</v>
      </c>
      <c r="O30" s="67">
        <v>0.2</v>
      </c>
    </row>
    <row r="31" spans="2:15" x14ac:dyDescent="0.2">
      <c r="B31" s="112" t="s">
        <v>48</v>
      </c>
      <c r="C31" s="25"/>
      <c r="D31" s="25"/>
      <c r="E31" s="25"/>
      <c r="F31" s="65">
        <v>0.18</v>
      </c>
      <c r="G31" s="66">
        <v>0.18</v>
      </c>
      <c r="H31" s="66">
        <v>0.18</v>
      </c>
      <c r="I31" s="66">
        <v>0.18</v>
      </c>
      <c r="J31" s="66">
        <v>0.18</v>
      </c>
      <c r="K31" s="66">
        <v>0.18</v>
      </c>
      <c r="L31" s="66">
        <v>0.18</v>
      </c>
      <c r="M31" s="66">
        <v>0.18</v>
      </c>
      <c r="N31" s="66">
        <v>0.18</v>
      </c>
      <c r="O31" s="67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DCF</vt:lpstr>
      <vt:lpstr>WACC</vt:lpstr>
      <vt:lpstr>NWC</vt:lpstr>
      <vt:lpstr>A1</vt:lpstr>
      <vt:lpstr>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SADRAQUE AUGUSTO OLIVEIRA DE MELO CARVAL</dc:creator>
  <cp:lastModifiedBy>SADRAQUE AUGUSTO OLIVEIRA DE MELO CARVAL</cp:lastModifiedBy>
  <dcterms:created xsi:type="dcterms:W3CDTF">2024-09-01T14:07:48Z</dcterms:created>
  <dcterms:modified xsi:type="dcterms:W3CDTF">2024-10-22T19:31:47Z</dcterms:modified>
</cp:coreProperties>
</file>