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13_ncr:1_{9F5FC981-54C7-465D-909A-0DD5CE0FCA84}" xr6:coauthVersionLast="47" xr6:coauthVersionMax="47" xr10:uidLastSave="{00000000-0000-0000-0000-000000000000}"/>
  <bookViews>
    <workbookView xWindow="-120" yWindow="-120" windowWidth="29040" windowHeight="15840" xr2:uid="{A9930CAF-64B4-49D3-8692-6A2473BA935E}"/>
  </bookViews>
  <sheets>
    <sheet name="DCF" sheetId="1" r:id="rId1"/>
    <sheet name="WCP" sheetId="2" r:id="rId2"/>
    <sheet name="WACC" sheetId="5" r:id="rId3"/>
    <sheet name="A1" sheetId="3" r:id="rId4"/>
    <sheet name="A2" sheetId="7" r:id="rId5"/>
    <sheet name="Charts" sheetId="8" r:id="rId6"/>
  </sheets>
  <definedNames>
    <definedName name="_xlchart.v1.0" hidden="1">Charts!$B$2:$B$7</definedName>
    <definedName name="_xlchart.v1.1" hidden="1">Charts!$C$2:$C$7</definedName>
    <definedName name="EV">DCF!$E$44</definedName>
    <definedName name="TV">DCF!$E$39</definedName>
    <definedName name="WACC">DCF!$E$28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C50" i="1" s="1"/>
  <c r="E25" i="5"/>
  <c r="C5" i="8"/>
  <c r="E13" i="5"/>
  <c r="E17" i="5"/>
  <c r="E12" i="5"/>
  <c r="O10" i="3"/>
  <c r="N10" i="3"/>
  <c r="M10" i="3"/>
  <c r="L10" i="3"/>
  <c r="K10" i="3"/>
  <c r="J10" i="3"/>
  <c r="I10" i="3"/>
  <c r="H10" i="3"/>
  <c r="G10" i="3"/>
  <c r="F10" i="3"/>
  <c r="G8" i="3"/>
  <c r="O8" i="3"/>
  <c r="N8" i="3"/>
  <c r="M8" i="3"/>
  <c r="L8" i="3"/>
  <c r="K8" i="3"/>
  <c r="J8" i="3"/>
  <c r="I8" i="3"/>
  <c r="H8" i="3"/>
  <c r="F8" i="3"/>
  <c r="C53" i="1" l="1"/>
  <c r="C54" i="1" s="1"/>
  <c r="J35" i="1"/>
  <c r="C6" i="8" s="1"/>
  <c r="E23" i="5"/>
  <c r="E18" i="5"/>
  <c r="H12" i="1"/>
  <c r="G12" i="1"/>
  <c r="F12" i="1"/>
  <c r="E12" i="1"/>
  <c r="G18" i="7" l="1"/>
  <c r="H18" i="7"/>
  <c r="I18" i="7"/>
  <c r="J18" i="7"/>
  <c r="K18" i="7"/>
  <c r="L18" i="7"/>
  <c r="M18" i="7"/>
  <c r="N18" i="7"/>
  <c r="O18" i="7"/>
  <c r="F18" i="7"/>
  <c r="F23" i="7"/>
  <c r="E28" i="1" l="1"/>
  <c r="E40" i="1" s="1"/>
  <c r="K30" i="1" l="1"/>
  <c r="J30" i="1"/>
  <c r="M30" i="1"/>
  <c r="N30" i="1"/>
  <c r="L30" i="1"/>
  <c r="J34" i="2" l="1"/>
  <c r="F61" i="1"/>
  <c r="G61" i="1"/>
  <c r="H61" i="1"/>
  <c r="I61" i="1"/>
  <c r="E61" i="1"/>
  <c r="F60" i="1"/>
  <c r="G60" i="1"/>
  <c r="H60" i="1"/>
  <c r="I60" i="1"/>
  <c r="E60" i="1"/>
  <c r="F59" i="1"/>
  <c r="G59" i="1"/>
  <c r="H59" i="1"/>
  <c r="I59" i="1"/>
  <c r="E59" i="1"/>
  <c r="F58" i="1"/>
  <c r="G58" i="1"/>
  <c r="H58" i="1"/>
  <c r="I58" i="1"/>
  <c r="E58" i="1"/>
  <c r="I57" i="1"/>
  <c r="H57" i="1"/>
  <c r="G57" i="1"/>
  <c r="F57" i="1"/>
  <c r="E57" i="1"/>
  <c r="H23" i="7"/>
  <c r="L34" i="2" s="1"/>
  <c r="G23" i="7"/>
  <c r="K34" i="2" s="1"/>
  <c r="O23" i="7"/>
  <c r="N23" i="7"/>
  <c r="M23" i="7"/>
  <c r="L23" i="7"/>
  <c r="K23" i="7"/>
  <c r="J23" i="7"/>
  <c r="N34" i="2" s="1"/>
  <c r="I23" i="7"/>
  <c r="M34" i="2" s="1"/>
  <c r="O32" i="7"/>
  <c r="N32" i="7"/>
  <c r="M32" i="7"/>
  <c r="L32" i="7"/>
  <c r="K32" i="7"/>
  <c r="J32" i="7"/>
  <c r="I32" i="7"/>
  <c r="H32" i="7"/>
  <c r="G32" i="7"/>
  <c r="O30" i="7"/>
  <c r="N30" i="7"/>
  <c r="M30" i="7"/>
  <c r="L30" i="7"/>
  <c r="K30" i="7"/>
  <c r="J30" i="7"/>
  <c r="I30" i="7"/>
  <c r="H30" i="7"/>
  <c r="G30" i="7"/>
  <c r="F32" i="7"/>
  <c r="F30" i="7"/>
  <c r="O26" i="7"/>
  <c r="N26" i="7"/>
  <c r="M26" i="7"/>
  <c r="L26" i="7"/>
  <c r="K26" i="7"/>
  <c r="J26" i="7"/>
  <c r="I26" i="7"/>
  <c r="H26" i="7"/>
  <c r="G26" i="7"/>
  <c r="F26" i="7"/>
  <c r="O24" i="7"/>
  <c r="N24" i="7"/>
  <c r="M24" i="7"/>
  <c r="L24" i="7"/>
  <c r="K24" i="7"/>
  <c r="J24" i="7"/>
  <c r="I24" i="7"/>
  <c r="H24" i="7"/>
  <c r="G24" i="7"/>
  <c r="F24" i="7"/>
  <c r="F29" i="7"/>
  <c r="J35" i="2" s="1"/>
  <c r="O21" i="7"/>
  <c r="N21" i="7"/>
  <c r="M21" i="7"/>
  <c r="L21" i="7"/>
  <c r="K21" i="7"/>
  <c r="J21" i="7"/>
  <c r="I21" i="7"/>
  <c r="M33" i="2" s="1"/>
  <c r="H21" i="7"/>
  <c r="L33" i="2" s="1"/>
  <c r="G21" i="7"/>
  <c r="K33" i="2" s="1"/>
  <c r="F21" i="7"/>
  <c r="J33" i="2" s="1"/>
  <c r="O19" i="7"/>
  <c r="N19" i="7"/>
  <c r="M19" i="7"/>
  <c r="L19" i="7"/>
  <c r="K19" i="7"/>
  <c r="J19" i="7"/>
  <c r="I19" i="7"/>
  <c r="H19" i="7"/>
  <c r="G19" i="7"/>
  <c r="F19" i="7"/>
  <c r="O15" i="7"/>
  <c r="N15" i="7"/>
  <c r="M15" i="7"/>
  <c r="L15" i="7"/>
  <c r="K15" i="7"/>
  <c r="J15" i="7"/>
  <c r="I15" i="7"/>
  <c r="H15" i="7"/>
  <c r="G15" i="7"/>
  <c r="F15" i="7"/>
  <c r="O13" i="7"/>
  <c r="N13" i="7"/>
  <c r="M13" i="7"/>
  <c r="L13" i="7"/>
  <c r="K13" i="7"/>
  <c r="J13" i="7"/>
  <c r="I13" i="7"/>
  <c r="H13" i="7"/>
  <c r="G13" i="7"/>
  <c r="F13" i="7"/>
  <c r="L12" i="7"/>
  <c r="K12" i="7"/>
  <c r="J12" i="7"/>
  <c r="N30" i="2" s="1"/>
  <c r="I12" i="7"/>
  <c r="M30" i="2" s="1"/>
  <c r="H12" i="7"/>
  <c r="L30" i="2" s="1"/>
  <c r="G12" i="7"/>
  <c r="K30" i="2" s="1"/>
  <c r="F12" i="7"/>
  <c r="J30" i="2" s="1"/>
  <c r="O10" i="7"/>
  <c r="N10" i="7"/>
  <c r="M10" i="7"/>
  <c r="L10" i="7"/>
  <c r="K10" i="7"/>
  <c r="J10" i="7"/>
  <c r="I10" i="7"/>
  <c r="H10" i="7"/>
  <c r="G10" i="7"/>
  <c r="F10" i="7"/>
  <c r="G8" i="7"/>
  <c r="O8" i="7"/>
  <c r="N8" i="7"/>
  <c r="M8" i="7"/>
  <c r="L8" i="7"/>
  <c r="K8" i="7"/>
  <c r="J8" i="7"/>
  <c r="I8" i="7"/>
  <c r="H8" i="7"/>
  <c r="F8" i="7"/>
  <c r="O29" i="7"/>
  <c r="N29" i="7"/>
  <c r="M29" i="7"/>
  <c r="L29" i="7"/>
  <c r="K29" i="7"/>
  <c r="J29" i="7"/>
  <c r="N35" i="2" s="1"/>
  <c r="I29" i="7"/>
  <c r="M35" i="2" s="1"/>
  <c r="H29" i="7"/>
  <c r="L35" i="2" s="1"/>
  <c r="G29" i="7"/>
  <c r="K35" i="2" s="1"/>
  <c r="N33" i="2"/>
  <c r="O12" i="7"/>
  <c r="N12" i="7"/>
  <c r="M12" i="7"/>
  <c r="O7" i="7"/>
  <c r="N7" i="7"/>
  <c r="M7" i="7"/>
  <c r="L7" i="7"/>
  <c r="K7" i="7"/>
  <c r="J7" i="7"/>
  <c r="N28" i="2" s="1"/>
  <c r="I7" i="7"/>
  <c r="M28" i="2" s="1"/>
  <c r="H7" i="7"/>
  <c r="L28" i="2" s="1"/>
  <c r="G7" i="7"/>
  <c r="K28" i="2" s="1"/>
  <c r="F7" i="7"/>
  <c r="J28" i="2" s="1"/>
  <c r="G3" i="7"/>
  <c r="H3" i="7" s="1"/>
  <c r="I3" i="7" s="1"/>
  <c r="J3" i="7" s="1"/>
  <c r="K3" i="7" s="1"/>
  <c r="L3" i="7" s="1"/>
  <c r="M3" i="7" s="1"/>
  <c r="N3" i="7" s="1"/>
  <c r="O3" i="7" s="1"/>
  <c r="O28" i="3"/>
  <c r="N28" i="3"/>
  <c r="M28" i="3"/>
  <c r="L28" i="3"/>
  <c r="K28" i="3"/>
  <c r="J28" i="3"/>
  <c r="N61" i="1" s="1"/>
  <c r="I28" i="3"/>
  <c r="M61" i="1" s="1"/>
  <c r="H28" i="3"/>
  <c r="L61" i="1" s="1"/>
  <c r="G28" i="3"/>
  <c r="K61" i="1" s="1"/>
  <c r="F28" i="3"/>
  <c r="J61" i="1" s="1"/>
  <c r="O22" i="3"/>
  <c r="N22" i="3"/>
  <c r="M22" i="3"/>
  <c r="L22" i="3"/>
  <c r="K22" i="3"/>
  <c r="J22" i="3"/>
  <c r="N60" i="1" s="1"/>
  <c r="I22" i="3"/>
  <c r="M60" i="1" s="1"/>
  <c r="H22" i="3"/>
  <c r="L60" i="1" s="1"/>
  <c r="G22" i="3"/>
  <c r="K60" i="1" s="1"/>
  <c r="F22" i="3"/>
  <c r="J60" i="1" s="1"/>
  <c r="O17" i="3"/>
  <c r="N17" i="3"/>
  <c r="M17" i="3"/>
  <c r="L17" i="3"/>
  <c r="K17" i="3"/>
  <c r="J17" i="3"/>
  <c r="N59" i="1" s="1"/>
  <c r="I17" i="3"/>
  <c r="M59" i="1" s="1"/>
  <c r="H17" i="3"/>
  <c r="L59" i="1" s="1"/>
  <c r="G17" i="3"/>
  <c r="K59" i="1" s="1"/>
  <c r="F17" i="3"/>
  <c r="J59" i="1" s="1"/>
  <c r="O12" i="3"/>
  <c r="N12" i="3"/>
  <c r="M12" i="3"/>
  <c r="L12" i="3"/>
  <c r="K12" i="3"/>
  <c r="J12" i="3"/>
  <c r="N58" i="1" s="1"/>
  <c r="I12" i="3"/>
  <c r="M58" i="1" s="1"/>
  <c r="H12" i="3"/>
  <c r="L58" i="1" s="1"/>
  <c r="G12" i="3"/>
  <c r="K58" i="1" s="1"/>
  <c r="F12" i="3"/>
  <c r="J58" i="1" s="1"/>
  <c r="G7" i="3"/>
  <c r="K57" i="1" s="1"/>
  <c r="H7" i="3"/>
  <c r="L57" i="1" s="1"/>
  <c r="I7" i="3"/>
  <c r="M57" i="1" s="1"/>
  <c r="J7" i="3"/>
  <c r="N57" i="1" s="1"/>
  <c r="K7" i="3"/>
  <c r="L7" i="3"/>
  <c r="M7" i="3"/>
  <c r="N7" i="3"/>
  <c r="O7" i="3"/>
  <c r="F7" i="3"/>
  <c r="J57" i="1" s="1"/>
  <c r="J9" i="1" s="1"/>
  <c r="O31" i="3"/>
  <c r="N31" i="3"/>
  <c r="M31" i="3"/>
  <c r="L31" i="3"/>
  <c r="K31" i="3"/>
  <c r="J31" i="3"/>
  <c r="I31" i="3"/>
  <c r="H31" i="3"/>
  <c r="G31" i="3"/>
  <c r="F31" i="3"/>
  <c r="O29" i="3"/>
  <c r="N29" i="3"/>
  <c r="M29" i="3"/>
  <c r="L29" i="3"/>
  <c r="K29" i="3"/>
  <c r="J29" i="3"/>
  <c r="I29" i="3"/>
  <c r="H29" i="3"/>
  <c r="G29" i="3"/>
  <c r="F29" i="3"/>
  <c r="O25" i="3"/>
  <c r="N25" i="3"/>
  <c r="M25" i="3"/>
  <c r="L25" i="3"/>
  <c r="K25" i="3"/>
  <c r="J25" i="3"/>
  <c r="I25" i="3"/>
  <c r="H25" i="3"/>
  <c r="G25" i="3"/>
  <c r="F25" i="3"/>
  <c r="O23" i="3"/>
  <c r="N23" i="3"/>
  <c r="M23" i="3"/>
  <c r="L23" i="3"/>
  <c r="K23" i="3"/>
  <c r="J23" i="3"/>
  <c r="I23" i="3"/>
  <c r="H23" i="3"/>
  <c r="G23" i="3"/>
  <c r="F23" i="3"/>
  <c r="G20" i="3"/>
  <c r="O20" i="3"/>
  <c r="N20" i="3"/>
  <c r="M20" i="3"/>
  <c r="L20" i="3"/>
  <c r="K20" i="3"/>
  <c r="J20" i="3"/>
  <c r="I20" i="3"/>
  <c r="H20" i="3"/>
  <c r="F20" i="3"/>
  <c r="O18" i="3"/>
  <c r="N18" i="3"/>
  <c r="M18" i="3"/>
  <c r="L18" i="3"/>
  <c r="K18" i="3"/>
  <c r="J18" i="3"/>
  <c r="I18" i="3"/>
  <c r="H18" i="3"/>
  <c r="G18" i="3"/>
  <c r="F18" i="3"/>
  <c r="O15" i="3"/>
  <c r="N15" i="3"/>
  <c r="M15" i="3"/>
  <c r="L15" i="3"/>
  <c r="K15" i="3"/>
  <c r="J15" i="3"/>
  <c r="I15" i="3"/>
  <c r="H15" i="3"/>
  <c r="G15" i="3"/>
  <c r="F15" i="3"/>
  <c r="O13" i="3"/>
  <c r="N13" i="3"/>
  <c r="M13" i="3"/>
  <c r="L13" i="3"/>
  <c r="K13" i="3"/>
  <c r="J13" i="3"/>
  <c r="I13" i="3"/>
  <c r="H13" i="3"/>
  <c r="G13" i="3"/>
  <c r="F13" i="3"/>
  <c r="G3" i="3"/>
  <c r="H3" i="3" s="1"/>
  <c r="I3" i="3" s="1"/>
  <c r="J3" i="3" s="1"/>
  <c r="K3" i="3" s="1"/>
  <c r="L3" i="3" s="1"/>
  <c r="M3" i="3" s="1"/>
  <c r="N3" i="3" s="1"/>
  <c r="O3" i="3" s="1"/>
  <c r="E25" i="1"/>
  <c r="F15" i="1"/>
  <c r="F18" i="1" s="1"/>
  <c r="G15" i="1"/>
  <c r="G18" i="1" s="1"/>
  <c r="H15" i="1"/>
  <c r="H18" i="1" s="1"/>
  <c r="I12" i="1"/>
  <c r="I15" i="1" s="1"/>
  <c r="E15" i="1"/>
  <c r="E18" i="1" s="1"/>
  <c r="E21" i="1" s="1"/>
  <c r="E22" i="1" s="1"/>
  <c r="I18" i="1" l="1"/>
  <c r="O35" i="1"/>
  <c r="H21" i="1"/>
  <c r="H22" i="1" s="1"/>
  <c r="H62" i="1"/>
  <c r="G21" i="1"/>
  <c r="G22" i="1" s="1"/>
  <c r="G62" i="1"/>
  <c r="F21" i="1"/>
  <c r="F22" i="1" s="1"/>
  <c r="F62" i="1"/>
  <c r="E62" i="1"/>
  <c r="J17" i="1"/>
  <c r="J7" i="2"/>
  <c r="J19" i="2" s="1"/>
  <c r="J11" i="1"/>
  <c r="J12" i="1" s="1"/>
  <c r="J24" i="1"/>
  <c r="K9" i="1"/>
  <c r="J14" i="1"/>
  <c r="J15" i="1" l="1"/>
  <c r="J18" i="1" s="1"/>
  <c r="I21" i="1"/>
  <c r="I22" i="1" s="1"/>
  <c r="I62" i="1"/>
  <c r="L9" i="1"/>
  <c r="K17" i="1"/>
  <c r="K11" i="1"/>
  <c r="K12" i="1" s="1"/>
  <c r="K24" i="1"/>
  <c r="K7" i="2"/>
  <c r="K14" i="1"/>
  <c r="J18" i="2"/>
  <c r="J11" i="2"/>
  <c r="K15" i="1" l="1"/>
  <c r="K18" i="1" s="1"/>
  <c r="J20" i="1"/>
  <c r="J21" i="1" s="1"/>
  <c r="J22" i="1" s="1"/>
  <c r="K18" i="2"/>
  <c r="K19" i="2"/>
  <c r="K11" i="2"/>
  <c r="L24" i="1"/>
  <c r="L14" i="1"/>
  <c r="L11" i="1"/>
  <c r="L12" i="1" s="1"/>
  <c r="L17" i="1"/>
  <c r="M9" i="1"/>
  <c r="L15" i="1" l="1"/>
  <c r="L18" i="1" s="1"/>
  <c r="L20" i="1" s="1"/>
  <c r="L21" i="1" s="1"/>
  <c r="L22" i="1" s="1"/>
  <c r="K20" i="1"/>
  <c r="K21" i="1" s="1"/>
  <c r="K22" i="1" s="1"/>
  <c r="M11" i="1"/>
  <c r="M12" i="1" s="1"/>
  <c r="M17" i="1"/>
  <c r="M14" i="1"/>
  <c r="M24" i="1"/>
  <c r="N9" i="1"/>
  <c r="O9" i="1" s="1"/>
  <c r="M15" i="1" l="1"/>
  <c r="M18" i="1" s="1"/>
  <c r="N14" i="1"/>
  <c r="N17" i="1"/>
  <c r="N11" i="1"/>
  <c r="N24" i="1"/>
  <c r="N12" i="1" l="1"/>
  <c r="O12" i="1" s="1"/>
  <c r="M20" i="1"/>
  <c r="M21" i="1" s="1"/>
  <c r="M22" i="1" s="1"/>
  <c r="N15" i="1" l="1"/>
  <c r="N18" i="1" s="1"/>
  <c r="N20" i="1" l="1"/>
  <c r="N21" i="1" s="1"/>
  <c r="N22" i="1" s="1"/>
  <c r="O18" i="1"/>
  <c r="E37" i="1"/>
  <c r="E39" i="1" s="1"/>
  <c r="O15" i="1"/>
  <c r="E41" i="1" l="1"/>
  <c r="E42" i="1" l="1"/>
  <c r="C3" i="8"/>
  <c r="F8" i="2"/>
  <c r="G8" i="2"/>
  <c r="H8" i="2"/>
  <c r="H29" i="2" s="1"/>
  <c r="I8" i="2"/>
  <c r="I29" i="2" s="1"/>
  <c r="J8" i="2"/>
  <c r="K8" i="2"/>
  <c r="L8" i="2"/>
  <c r="M8" i="2"/>
  <c r="N8" i="2"/>
  <c r="E8" i="2"/>
  <c r="F20" i="2"/>
  <c r="G20" i="2"/>
  <c r="G22" i="2" s="1"/>
  <c r="H20" i="2"/>
  <c r="I20" i="2"/>
  <c r="E20" i="2"/>
  <c r="F14" i="2"/>
  <c r="G14" i="2"/>
  <c r="H14" i="2"/>
  <c r="I14" i="2"/>
  <c r="E14" i="2"/>
  <c r="F7" i="2"/>
  <c r="G7" i="2"/>
  <c r="H7" i="2"/>
  <c r="I7" i="2"/>
  <c r="L7" i="2"/>
  <c r="M7" i="2"/>
  <c r="N7" i="2"/>
  <c r="E7" i="2"/>
  <c r="F6" i="2"/>
  <c r="G6" i="2" s="1"/>
  <c r="H6" i="2" s="1"/>
  <c r="I6" i="2" s="1"/>
  <c r="J6" i="2" s="1"/>
  <c r="K6" i="2" s="1"/>
  <c r="L6" i="2" s="1"/>
  <c r="M6" i="2" s="1"/>
  <c r="N6" i="2" s="1"/>
  <c r="F23" i="1"/>
  <c r="G23" i="1"/>
  <c r="H23" i="1"/>
  <c r="I23" i="1"/>
  <c r="J23" i="1"/>
  <c r="K23" i="1"/>
  <c r="L23" i="1"/>
  <c r="M23" i="1"/>
  <c r="N23" i="1"/>
  <c r="E23" i="1"/>
  <c r="E26" i="1" s="1"/>
  <c r="F13" i="1"/>
  <c r="G13" i="1"/>
  <c r="H13" i="1"/>
  <c r="I13" i="1"/>
  <c r="E13" i="1"/>
  <c r="F16" i="1"/>
  <c r="G16" i="1"/>
  <c r="H16" i="1"/>
  <c r="I16" i="1"/>
  <c r="J13" i="1"/>
  <c r="K13" i="1"/>
  <c r="L13" i="1"/>
  <c r="M13" i="1"/>
  <c r="N13" i="1"/>
  <c r="F10" i="1"/>
  <c r="G10" i="1"/>
  <c r="H10" i="1"/>
  <c r="I10" i="1"/>
  <c r="J10" i="1"/>
  <c r="K10" i="1"/>
  <c r="L10" i="1"/>
  <c r="M10" i="1"/>
  <c r="N10" i="1"/>
  <c r="E10" i="1"/>
  <c r="F8" i="1"/>
  <c r="G8" i="1" s="1"/>
  <c r="H8" i="1" s="1"/>
  <c r="I8" i="1" s="1"/>
  <c r="J8" i="1" s="1"/>
  <c r="K8" i="1" s="1"/>
  <c r="L8" i="1" s="1"/>
  <c r="M8" i="1" s="1"/>
  <c r="N8" i="1" s="1"/>
  <c r="E22" i="2" l="1"/>
  <c r="F22" i="2"/>
  <c r="I22" i="2"/>
  <c r="H22" i="2"/>
  <c r="I24" i="2" s="1"/>
  <c r="I25" i="1" s="1"/>
  <c r="I26" i="1" s="1"/>
  <c r="I30" i="2"/>
  <c r="E23" i="2"/>
  <c r="E63" i="1" s="1"/>
  <c r="H24" i="2"/>
  <c r="H25" i="1" s="1"/>
  <c r="H26" i="1" s="1"/>
  <c r="G24" i="2"/>
  <c r="G25" i="1" s="1"/>
  <c r="G26" i="1" s="1"/>
  <c r="I35" i="2"/>
  <c r="H35" i="2"/>
  <c r="H23" i="2"/>
  <c r="H63" i="1" s="1"/>
  <c r="G28" i="2"/>
  <c r="G23" i="2"/>
  <c r="G63" i="1" s="1"/>
  <c r="F35" i="2"/>
  <c r="E35" i="2"/>
  <c r="L19" i="2"/>
  <c r="L18" i="2"/>
  <c r="L11" i="2"/>
  <c r="M13" i="2"/>
  <c r="M17" i="2"/>
  <c r="L13" i="2"/>
  <c r="L17" i="2"/>
  <c r="N19" i="2"/>
  <c r="N18" i="2"/>
  <c r="N11" i="2"/>
  <c r="K13" i="2"/>
  <c r="K17" i="2"/>
  <c r="K20" i="2" s="1"/>
  <c r="M19" i="2"/>
  <c r="M18" i="2"/>
  <c r="M11" i="2"/>
  <c r="N13" i="2"/>
  <c r="N17" i="2"/>
  <c r="J13" i="2"/>
  <c r="J17" i="2"/>
  <c r="J20" i="2" s="1"/>
  <c r="G34" i="2"/>
  <c r="E33" i="2"/>
  <c r="E30" i="2"/>
  <c r="G29" i="2"/>
  <c r="G30" i="2"/>
  <c r="H33" i="2"/>
  <c r="H30" i="2"/>
  <c r="F29" i="2"/>
  <c r="F30" i="2"/>
  <c r="E29" i="2"/>
  <c r="F28" i="2"/>
  <c r="G35" i="2"/>
  <c r="E34" i="2"/>
  <c r="K16" i="1"/>
  <c r="G33" i="2"/>
  <c r="N16" i="1"/>
  <c r="J16" i="1"/>
  <c r="I28" i="2"/>
  <c r="E28" i="2"/>
  <c r="F33" i="2"/>
  <c r="F34" i="2"/>
  <c r="M16" i="1"/>
  <c r="H28" i="2"/>
  <c r="I33" i="2"/>
  <c r="I34" i="2"/>
  <c r="L16" i="1"/>
  <c r="H34" i="2"/>
  <c r="E16" i="1"/>
  <c r="F23" i="2" l="1"/>
  <c r="F63" i="1" s="1"/>
  <c r="F24" i="2"/>
  <c r="F25" i="1" s="1"/>
  <c r="F26" i="1" s="1"/>
  <c r="I23" i="2"/>
  <c r="I63" i="1" s="1"/>
  <c r="M20" i="2"/>
  <c r="N20" i="2"/>
  <c r="L20" i="2"/>
  <c r="I19" i="1"/>
  <c r="G19" i="1"/>
  <c r="K19" i="1"/>
  <c r="N19" i="1" l="1"/>
  <c r="M19" i="1"/>
  <c r="L19" i="1"/>
  <c r="H19" i="1"/>
  <c r="E19" i="1"/>
  <c r="J19" i="1"/>
  <c r="F19" i="1"/>
  <c r="C2" i="8" l="1"/>
  <c r="C4" i="8"/>
  <c r="C7" i="8"/>
  <c r="J25" i="1"/>
  <c r="K25" i="1"/>
  <c r="L25" i="1"/>
  <c r="M25" i="1"/>
  <c r="N25" i="1"/>
  <c r="J26" i="1"/>
  <c r="K26" i="1"/>
  <c r="L26" i="1"/>
  <c r="M26" i="1"/>
  <c r="N26" i="1"/>
  <c r="O26" i="1"/>
  <c r="J31" i="1"/>
  <c r="K31" i="1"/>
  <c r="L31" i="1"/>
  <c r="M31" i="1"/>
  <c r="N31" i="1"/>
  <c r="E34" i="1"/>
  <c r="J34" i="1"/>
  <c r="O34" i="1"/>
  <c r="O36" i="1"/>
  <c r="J40" i="1"/>
  <c r="E44" i="1"/>
  <c r="J44" i="1"/>
  <c r="J48" i="1"/>
  <c r="C49" i="1"/>
  <c r="J49" i="1"/>
  <c r="J63" i="1"/>
  <c r="K63" i="1"/>
  <c r="L63" i="1"/>
  <c r="M63" i="1"/>
  <c r="N63" i="1"/>
  <c r="J12" i="2"/>
  <c r="K12" i="2"/>
  <c r="L12" i="2"/>
  <c r="M12" i="2"/>
  <c r="N12" i="2"/>
  <c r="J14" i="2"/>
  <c r="K14" i="2"/>
  <c r="L14" i="2"/>
  <c r="M14" i="2"/>
  <c r="N14" i="2"/>
  <c r="J22" i="2"/>
  <c r="K22" i="2"/>
  <c r="L22" i="2"/>
  <c r="M22" i="2"/>
  <c r="N22" i="2"/>
  <c r="J23" i="2"/>
  <c r="K23" i="2"/>
  <c r="L23" i="2"/>
  <c r="M23" i="2"/>
  <c r="N23" i="2"/>
  <c r="J24" i="2"/>
  <c r="K24" i="2"/>
  <c r="L24" i="2"/>
  <c r="M24" i="2"/>
  <c r="N24" i="2"/>
  <c r="J29" i="2"/>
  <c r="K29" i="2"/>
  <c r="L29" i="2"/>
  <c r="M29" i="2"/>
  <c r="N29" i="2"/>
</calcChain>
</file>

<file path=xl/sharedStrings.xml><?xml version="1.0" encoding="utf-8"?>
<sst xmlns="http://schemas.openxmlformats.org/spreadsheetml/2006/main" count="169" uniqueCount="109">
  <si>
    <t>Discounted Cash Flow Analysis</t>
  </si>
  <si>
    <t>($ in millions)</t>
  </si>
  <si>
    <t>Scenario</t>
  </si>
  <si>
    <t>Base</t>
  </si>
  <si>
    <t>Historical Period</t>
  </si>
  <si>
    <t>Revenue</t>
  </si>
  <si>
    <t>Cost of Goods Sold</t>
  </si>
  <si>
    <t>Gross Profit</t>
  </si>
  <si>
    <t>SG&amp;A Expense</t>
  </si>
  <si>
    <t>EBITDA</t>
  </si>
  <si>
    <t>Projection Period</t>
  </si>
  <si>
    <t>Depreciation &amp; Amortisation</t>
  </si>
  <si>
    <t>EBIT</t>
  </si>
  <si>
    <t>% Margin</t>
  </si>
  <si>
    <t>% Growth</t>
  </si>
  <si>
    <t>Taxes</t>
  </si>
  <si>
    <t>Interest Expense</t>
  </si>
  <si>
    <t>Unlevered Free Cash Flow</t>
  </si>
  <si>
    <t>EBIAT</t>
  </si>
  <si>
    <t>(+) Depreciation &amp; Amortisation</t>
  </si>
  <si>
    <t>(-) Capital Expenditures</t>
  </si>
  <si>
    <t>(-) Changes in NWC</t>
  </si>
  <si>
    <t>Net Working Capital</t>
  </si>
  <si>
    <t>Working Capital Projections</t>
  </si>
  <si>
    <t>Current Assets</t>
  </si>
  <si>
    <t>Current Liabilities</t>
  </si>
  <si>
    <t>Total Current Assets</t>
  </si>
  <si>
    <t>Accounts Receivable</t>
  </si>
  <si>
    <t>Inventories</t>
  </si>
  <si>
    <t>Other Current Assets</t>
  </si>
  <si>
    <t>Total Current Liabilities</t>
  </si>
  <si>
    <t>Accounts Payable</t>
  </si>
  <si>
    <t>Other Current Liabilities</t>
  </si>
  <si>
    <t>Income Tax Payable</t>
  </si>
  <si>
    <t>Changes in NWC</t>
  </si>
  <si>
    <t>Assumptions</t>
  </si>
  <si>
    <t>Current assets</t>
  </si>
  <si>
    <t>Days sales outstanding</t>
  </si>
  <si>
    <t>Days inventory held</t>
  </si>
  <si>
    <t>Prepaids and other CA</t>
  </si>
  <si>
    <t>Current liabilities</t>
  </si>
  <si>
    <t>Days payable outstanding</t>
  </si>
  <si>
    <t>Other current liabilities</t>
  </si>
  <si>
    <t>Income Statement Assumptions</t>
  </si>
  <si>
    <t>Revenue (% growth)</t>
  </si>
  <si>
    <t>Downside</t>
  </si>
  <si>
    <t>Upside</t>
  </si>
  <si>
    <t>Cost of Goods Sold (% revenue)</t>
  </si>
  <si>
    <t>Cash Flow Statement Assumptions</t>
  </si>
  <si>
    <t>SG&amp;A (% revenue)</t>
  </si>
  <si>
    <t>Depreciation &amp; Amortization (% revenue)</t>
  </si>
  <si>
    <t>Weighted Average Cost of Capital</t>
  </si>
  <si>
    <t>Days Sales Outstanding (DSO)</t>
  </si>
  <si>
    <t>Days Payable Outstanding (DPO)</t>
  </si>
  <si>
    <t>Other Current Liabilities (% of sales)</t>
  </si>
  <si>
    <t>Prepaid and Other CA (% of revenue)</t>
  </si>
  <si>
    <t>Sales (% growth)</t>
  </si>
  <si>
    <t>Tax Rate</t>
  </si>
  <si>
    <t>% of revenue</t>
  </si>
  <si>
    <t>COGS (% revenue)</t>
  </si>
  <si>
    <t>Capital Expenditures (% revenue)</t>
  </si>
  <si>
    <t>Working Capital (% revenue)</t>
  </si>
  <si>
    <t>WACC</t>
  </si>
  <si>
    <t>Dicount Period</t>
  </si>
  <si>
    <t>Discount Factor</t>
  </si>
  <si>
    <t>Present Value of Free Cash Flow</t>
  </si>
  <si>
    <t>WACC Calculation</t>
  </si>
  <si>
    <t>Beta</t>
  </si>
  <si>
    <t>Capital Structure</t>
  </si>
  <si>
    <t>Debt-to-total capitalization</t>
  </si>
  <si>
    <t>Equity-to-total capitalization</t>
  </si>
  <si>
    <t>Kd</t>
  </si>
  <si>
    <t>Market expected return</t>
  </si>
  <si>
    <t>Ke</t>
  </si>
  <si>
    <t>Market Cap</t>
  </si>
  <si>
    <t>Enterprise Value</t>
  </si>
  <si>
    <t>Cumulative Present Value of FCF</t>
  </si>
  <si>
    <t>Terminal Value</t>
  </si>
  <si>
    <t>Terminal Year EBITDA</t>
  </si>
  <si>
    <t>Exit EV/EBITDA</t>
  </si>
  <si>
    <t>Present Value of Terminal Value</t>
  </si>
  <si>
    <t>% of enterprise value</t>
  </si>
  <si>
    <t>Implied Equity Value</t>
  </si>
  <si>
    <t>Total Debt</t>
  </si>
  <si>
    <t>Preferred Stock</t>
  </si>
  <si>
    <t>Noncontrolling Interest</t>
  </si>
  <si>
    <t>Cash and Cash Equivalents</t>
  </si>
  <si>
    <t>Fully Diluted Shares Outstanding</t>
  </si>
  <si>
    <t>Implied Share Price</t>
  </si>
  <si>
    <t>Implied EV/EBITDA</t>
  </si>
  <si>
    <t>EV/EBITDA</t>
  </si>
  <si>
    <t>LTM EBITDA</t>
  </si>
  <si>
    <t>Engie Brasil S.A</t>
  </si>
  <si>
    <t>($ in millions, as of 12/31/2023)</t>
  </si>
  <si>
    <t>Income tax payable</t>
  </si>
  <si>
    <t xml:space="preserve"> Income Statement and Cash Flow Statement Assumptions</t>
  </si>
  <si>
    <t>Balance Sheet Assumptions</t>
  </si>
  <si>
    <t>Risk-free Rate</t>
  </si>
  <si>
    <t>Corporate Tax Rate</t>
  </si>
  <si>
    <t>Exit Multiple</t>
  </si>
  <si>
    <t>CAGR</t>
  </si>
  <si>
    <t>('23 - '28)</t>
  </si>
  <si>
    <t>PV of FCFF</t>
  </si>
  <si>
    <t>PV of TV</t>
  </si>
  <si>
    <t>Implied EV</t>
  </si>
  <si>
    <t>Gross Debt</t>
  </si>
  <si>
    <t>Cash</t>
  </si>
  <si>
    <t>Equity Value</t>
  </si>
  <si>
    <t>(R$ in millions, as of 12/31/2023)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</si>
</sst>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164" formatCode="yyyy"/>
    <numFmt numFmtId="165" formatCode="yyyy&quot;E&quot;"/>
    <numFmt numFmtId="166" formatCode="#,##0_);\(#,##0\);\-"/>
    <numFmt numFmtId="167" formatCode="0.0%;\(0.0%\);\-"/>
    <numFmt numFmtId="168" formatCode="0.0%"/>
    <numFmt numFmtId="169" formatCode="0.0"/>
    <numFmt numFmtId="170" formatCode="#,##0.0_);\(#,##0.0\);\-"/>
    <numFmt numFmtId="171" formatCode="#,##0.0&quot;x&quot;;\(#,##0.0\)&quot;x&quot;"/>
    <numFmt numFmtId="172" formatCode="#,##0.0\x_);\(#,###.0\x0\)"/>
    <numFmt numFmtId="173" formatCode="[$R$-416]\ #,##0;\-[$R$-416]\ #,##0"/>
    <numFmt numFmtId="174" formatCode="\​\​#,##0_);\(#,##0\);\-_);@_)"/>
    <numFmt numFmtId="175" formatCode="\​\​#,##0.00_);\(#,##0.00\);\-_);@_)"/>
    <numFmt numFmtId="176" formatCode="yyyy&quot;A&quot;"/>
    <numFmt numFmtId="177" formatCode="[$R$-416]\ #,##0.00;\-[$R$-416]\ #,##0.0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i/>
      <sz val="10"/>
      <color rgb="FF1C3B11"/>
      <name val="Arial"/>
      <family val="2"/>
    </font>
    <font>
      <b/>
      <sz val="10"/>
      <name val="MS Sans Serif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13" fillId="0" borderId="0" applyNumberForma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2" fillId="2" borderId="1" xfId="3" applyFont="1"/>
    <xf numFmtId="0" fontId="7" fillId="3" borderId="0" xfId="0" applyFont="1" applyFill="1" applyAlignment="1">
      <alignment horizontal="centerContinuous"/>
    </xf>
    <xf numFmtId="0" fontId="8" fillId="0" borderId="0" xfId="0" applyFont="1"/>
    <xf numFmtId="166" fontId="2" fillId="0" borderId="0" xfId="0" applyNumberFormat="1" applyFont="1"/>
    <xf numFmtId="3" fontId="2" fillId="0" borderId="0" xfId="0" applyNumberFormat="1" applyFont="1"/>
    <xf numFmtId="167" fontId="9" fillId="0" borderId="0" xfId="0" applyNumberFormat="1" applyFont="1"/>
    <xf numFmtId="0" fontId="6" fillId="0" borderId="0" xfId="0" applyFont="1"/>
    <xf numFmtId="166" fontId="6" fillId="0" borderId="0" xfId="0" applyNumberFormat="1" applyFont="1"/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6" fontId="2" fillId="0" borderId="2" xfId="0" applyNumberFormat="1" applyFont="1" applyBorder="1"/>
    <xf numFmtId="0" fontId="2" fillId="0" borderId="2" xfId="0" applyFont="1" applyBorder="1"/>
    <xf numFmtId="0" fontId="10" fillId="0" borderId="0" xfId="0" applyFont="1" applyAlignment="1">
      <alignment horizontal="left" indent="8"/>
    </xf>
    <xf numFmtId="0" fontId="11" fillId="0" borderId="0" xfId="0" applyFont="1"/>
    <xf numFmtId="0" fontId="7" fillId="0" borderId="0" xfId="0" applyFont="1"/>
    <xf numFmtId="9" fontId="2" fillId="0" borderId="0" xfId="2" applyFont="1"/>
    <xf numFmtId="168" fontId="2" fillId="0" borderId="0" xfId="2" applyNumberFormat="1" applyFont="1"/>
    <xf numFmtId="2" fontId="2" fillId="0" borderId="0" xfId="0" applyNumberFormat="1" applyFont="1"/>
    <xf numFmtId="0" fontId="6" fillId="4" borderId="3" xfId="0" applyFont="1" applyFill="1" applyBorder="1" applyAlignment="1">
      <alignment horizontal="centerContinuous"/>
    </xf>
    <xf numFmtId="0" fontId="2" fillId="4" borderId="3" xfId="0" applyFont="1" applyFill="1" applyBorder="1" applyAlignment="1">
      <alignment horizontal="centerContinuous"/>
    </xf>
    <xf numFmtId="164" fontId="6" fillId="0" borderId="3" xfId="0" applyNumberFormat="1" applyFont="1" applyBorder="1" applyAlignment="1">
      <alignment horizontal="center"/>
    </xf>
    <xf numFmtId="0" fontId="2" fillId="0" borderId="5" xfId="0" applyFont="1" applyBorder="1"/>
    <xf numFmtId="168" fontId="12" fillId="0" borderId="4" xfId="2" applyNumberFormat="1" applyFont="1" applyBorder="1"/>
    <xf numFmtId="168" fontId="12" fillId="0" borderId="5" xfId="2" applyNumberFormat="1" applyFont="1" applyBorder="1"/>
    <xf numFmtId="168" fontId="12" fillId="0" borderId="6" xfId="2" applyNumberFormat="1" applyFont="1" applyBorder="1"/>
    <xf numFmtId="0" fontId="6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9" fontId="6" fillId="0" borderId="0" xfId="2" applyFont="1"/>
    <xf numFmtId="168" fontId="6" fillId="0" borderId="0" xfId="2" applyNumberFormat="1" applyFont="1"/>
    <xf numFmtId="168" fontId="14" fillId="0" borderId="0" xfId="2" applyNumberFormat="1" applyFont="1" applyFill="1" applyBorder="1" applyAlignment="1">
      <alignment horizontal="left"/>
    </xf>
    <xf numFmtId="0" fontId="15" fillId="0" borderId="0" xfId="4" applyFont="1" applyBorder="1" applyAlignment="1">
      <alignment horizontal="left"/>
    </xf>
    <xf numFmtId="0" fontId="14" fillId="0" borderId="0" xfId="4" applyFont="1" applyFill="1" applyBorder="1" applyAlignment="1">
      <alignment horizontal="left"/>
    </xf>
    <xf numFmtId="0" fontId="6" fillId="0" borderId="0" xfId="2" applyNumberFormat="1" applyFont="1" applyAlignment="1">
      <alignment horizontal="center" vertical="center"/>
    </xf>
    <xf numFmtId="0" fontId="12" fillId="0" borderId="4" xfId="2" applyNumberFormat="1" applyFont="1" applyBorder="1" applyAlignment="1">
      <alignment horizontal="center" vertical="center"/>
    </xf>
    <xf numFmtId="0" fontId="12" fillId="0" borderId="5" xfId="2" applyNumberFormat="1" applyFont="1" applyBorder="1" applyAlignment="1">
      <alignment horizontal="center" vertical="center"/>
    </xf>
    <xf numFmtId="0" fontId="12" fillId="0" borderId="6" xfId="2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8" fontId="6" fillId="0" borderId="0" xfId="2" applyNumberFormat="1" applyFont="1" applyAlignment="1">
      <alignment horizontal="center" vertical="center"/>
    </xf>
    <xf numFmtId="168" fontId="12" fillId="0" borderId="4" xfId="2" applyNumberFormat="1" applyFont="1" applyBorder="1" applyAlignment="1">
      <alignment horizontal="center" vertical="center"/>
    </xf>
    <xf numFmtId="168" fontId="12" fillId="0" borderId="5" xfId="2" applyNumberFormat="1" applyFont="1" applyBorder="1" applyAlignment="1">
      <alignment horizontal="center" vertical="center"/>
    </xf>
    <xf numFmtId="168" fontId="12" fillId="0" borderId="6" xfId="2" applyNumberFormat="1" applyFont="1" applyBorder="1" applyAlignment="1">
      <alignment horizontal="center" vertical="center"/>
    </xf>
    <xf numFmtId="0" fontId="12" fillId="0" borderId="0" xfId="2" applyNumberFormat="1" applyFont="1" applyBorder="1" applyAlignment="1">
      <alignment horizontal="center" vertical="center"/>
    </xf>
    <xf numFmtId="0" fontId="2" fillId="0" borderId="7" xfId="0" applyFont="1" applyBorder="1"/>
    <xf numFmtId="9" fontId="9" fillId="0" borderId="0" xfId="2" applyFont="1"/>
    <xf numFmtId="0" fontId="6" fillId="0" borderId="0" xfId="0" applyFont="1" applyAlignment="1">
      <alignment horizontal="center"/>
    </xf>
    <xf numFmtId="9" fontId="2" fillId="0" borderId="0" xfId="0" applyNumberFormat="1" applyFont="1"/>
    <xf numFmtId="0" fontId="6" fillId="0" borderId="2" xfId="0" applyFont="1" applyBorder="1"/>
    <xf numFmtId="171" fontId="2" fillId="0" borderId="2" xfId="0" applyNumberFormat="1" applyFont="1" applyBorder="1"/>
    <xf numFmtId="2" fontId="2" fillId="0" borderId="2" xfId="0" applyNumberFormat="1" applyFont="1" applyBorder="1"/>
    <xf numFmtId="0" fontId="6" fillId="0" borderId="2" xfId="0" applyFont="1" applyBorder="1" applyAlignment="1">
      <alignment horizontal="center"/>
    </xf>
    <xf numFmtId="0" fontId="2" fillId="5" borderId="0" xfId="0" applyFont="1" applyFill="1"/>
    <xf numFmtId="0" fontId="3" fillId="5" borderId="0" xfId="0" applyFont="1" applyFill="1"/>
    <xf numFmtId="0" fontId="5" fillId="5" borderId="0" xfId="0" applyFont="1" applyFill="1"/>
    <xf numFmtId="0" fontId="4" fillId="5" borderId="0" xfId="0" applyFont="1" applyFill="1"/>
    <xf numFmtId="0" fontId="3" fillId="5" borderId="0" xfId="0" applyFont="1" applyFill="1" applyAlignment="1">
      <alignment horizontal="centerContinuous"/>
    </xf>
    <xf numFmtId="0" fontId="7" fillId="6" borderId="0" xfId="0" applyFont="1" applyFill="1" applyAlignment="1">
      <alignment horizontal="centerContinuous"/>
    </xf>
    <xf numFmtId="173" fontId="6" fillId="3" borderId="16" xfId="1" applyNumberFormat="1" applyFont="1" applyFill="1" applyBorder="1"/>
    <xf numFmtId="172" fontId="6" fillId="3" borderId="16" xfId="0" applyNumberFormat="1" applyFont="1" applyFill="1" applyBorder="1"/>
    <xf numFmtId="0" fontId="6" fillId="3" borderId="0" xfId="0" applyFont="1" applyFill="1"/>
    <xf numFmtId="0" fontId="2" fillId="3" borderId="0" xfId="0" applyFont="1" applyFill="1"/>
    <xf numFmtId="10" fontId="6" fillId="3" borderId="0" xfId="2" applyNumberFormat="1" applyFont="1" applyFill="1"/>
    <xf numFmtId="0" fontId="2" fillId="5" borderId="0" xfId="0" applyFont="1" applyFill="1" applyAlignment="1">
      <alignment horizontal="centerContinuous"/>
    </xf>
    <xf numFmtId="174" fontId="2" fillId="0" borderId="0" xfId="0" applyNumberFormat="1" applyFont="1"/>
    <xf numFmtId="174" fontId="2" fillId="0" borderId="2" xfId="0" applyNumberFormat="1" applyFont="1" applyBorder="1"/>
    <xf numFmtId="174" fontId="6" fillId="0" borderId="0" xfId="0" applyNumberFormat="1" applyFont="1"/>
    <xf numFmtId="174" fontId="3" fillId="5" borderId="0" xfId="0" applyNumberFormat="1" applyFont="1" applyFill="1"/>
    <xf numFmtId="175" fontId="2" fillId="0" borderId="0" xfId="0" applyNumberFormat="1" applyFont="1"/>
    <xf numFmtId="0" fontId="6" fillId="0" borderId="2" xfId="0" applyFont="1" applyBorder="1" applyAlignment="1">
      <alignment horizontal="centerContinuous"/>
    </xf>
    <xf numFmtId="0" fontId="4" fillId="0" borderId="0" xfId="0" applyFont="1"/>
    <xf numFmtId="0" fontId="6" fillId="0" borderId="0" xfId="0" applyFont="1" applyAlignment="1">
      <alignment horizontal="centerContinuous"/>
    </xf>
    <xf numFmtId="171" fontId="6" fillId="0" borderId="2" xfId="0" applyNumberFormat="1" applyFont="1" applyBorder="1" applyAlignment="1">
      <alignment horizontal="center"/>
    </xf>
    <xf numFmtId="168" fontId="6" fillId="0" borderId="0" xfId="0" applyNumberFormat="1" applyFont="1"/>
    <xf numFmtId="168" fontId="6" fillId="0" borderId="17" xfId="0" applyNumberFormat="1" applyFont="1" applyBorder="1"/>
    <xf numFmtId="171" fontId="6" fillId="0" borderId="3" xfId="0" applyNumberFormat="1" applyFont="1" applyBorder="1" applyAlignment="1">
      <alignment horizontal="center"/>
    </xf>
    <xf numFmtId="174" fontId="4" fillId="0" borderId="0" xfId="0" applyNumberFormat="1" applyFont="1"/>
    <xf numFmtId="174" fontId="2" fillId="0" borderId="18" xfId="0" applyNumberFormat="1" applyFont="1" applyBorder="1"/>
    <xf numFmtId="174" fontId="2" fillId="0" borderId="19" xfId="0" applyNumberFormat="1" applyFont="1" applyBorder="1"/>
    <xf numFmtId="176" fontId="6" fillId="0" borderId="2" xfId="0" applyNumberFormat="1" applyFont="1" applyBorder="1" applyAlignment="1">
      <alignment horizontal="center"/>
    </xf>
    <xf numFmtId="0" fontId="16" fillId="0" borderId="0" xfId="0" applyFont="1"/>
    <xf numFmtId="10" fontId="16" fillId="0" borderId="0" xfId="2" applyNumberFormat="1" applyFont="1"/>
    <xf numFmtId="10" fontId="9" fillId="0" borderId="0" xfId="2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7" fillId="7" borderId="10" xfId="0" applyFont="1" applyFill="1" applyBorder="1"/>
    <xf numFmtId="0" fontId="2" fillId="7" borderId="8" xfId="0" applyFont="1" applyFill="1" applyBorder="1"/>
    <xf numFmtId="0" fontId="2" fillId="7" borderId="12" xfId="0" applyFont="1" applyFill="1" applyBorder="1"/>
    <xf numFmtId="0" fontId="2" fillId="7" borderId="0" xfId="0" applyFont="1" applyFill="1"/>
    <xf numFmtId="0" fontId="7" fillId="7" borderId="12" xfId="0" applyFont="1" applyFill="1" applyBorder="1"/>
    <xf numFmtId="0" fontId="2" fillId="7" borderId="14" xfId="0" applyFont="1" applyFill="1" applyBorder="1"/>
    <xf numFmtId="0" fontId="2" fillId="7" borderId="9" xfId="0" applyFont="1" applyFill="1" applyBorder="1"/>
    <xf numFmtId="177" fontId="6" fillId="3" borderId="16" xfId="1" applyNumberFormat="1" applyFont="1" applyFill="1" applyBorder="1"/>
    <xf numFmtId="0" fontId="6" fillId="0" borderId="0" xfId="0" applyFont="1" applyAlignment="1">
      <alignment horizontal="right" vertical="center" textRotation="90" wrapText="1"/>
    </xf>
    <xf numFmtId="168" fontId="8" fillId="0" borderId="5" xfId="2" applyNumberFormat="1" applyFont="1" applyBorder="1"/>
    <xf numFmtId="168" fontId="8" fillId="0" borderId="6" xfId="2" applyNumberFormat="1" applyFont="1" applyBorder="1"/>
    <xf numFmtId="168" fontId="8" fillId="0" borderId="6" xfId="0" applyNumberFormat="1" applyFont="1" applyBorder="1"/>
    <xf numFmtId="9" fontId="8" fillId="0" borderId="5" xfId="2" applyFont="1" applyBorder="1"/>
    <xf numFmtId="9" fontId="8" fillId="0" borderId="5" xfId="0" applyNumberFormat="1" applyFont="1" applyBorder="1"/>
    <xf numFmtId="9" fontId="8" fillId="0" borderId="6" xfId="0" applyNumberFormat="1" applyFont="1" applyBorder="1"/>
    <xf numFmtId="166" fontId="8" fillId="7" borderId="8" xfId="0" applyNumberFormat="1" applyFont="1" applyFill="1" applyBorder="1"/>
    <xf numFmtId="166" fontId="8" fillId="7" borderId="11" xfId="0" applyNumberFormat="1" applyFont="1" applyFill="1" applyBorder="1"/>
    <xf numFmtId="170" fontId="8" fillId="7" borderId="0" xfId="0" applyNumberFormat="1" applyFont="1" applyFill="1"/>
    <xf numFmtId="170" fontId="8" fillId="7" borderId="13" xfId="0" applyNumberFormat="1" applyFont="1" applyFill="1" applyBorder="1"/>
    <xf numFmtId="166" fontId="8" fillId="7" borderId="13" xfId="0" applyNumberFormat="1" applyFont="1" applyFill="1" applyBorder="1"/>
    <xf numFmtId="168" fontId="8" fillId="7" borderId="0" xfId="2" applyNumberFormat="1" applyFont="1" applyFill="1" applyBorder="1"/>
    <xf numFmtId="168" fontId="8" fillId="7" borderId="13" xfId="2" applyNumberFormat="1" applyFont="1" applyFill="1" applyBorder="1"/>
    <xf numFmtId="166" fontId="8" fillId="7" borderId="0" xfId="0" applyNumberFormat="1" applyFont="1" applyFill="1"/>
    <xf numFmtId="0" fontId="8" fillId="7" borderId="0" xfId="0" applyFont="1" applyFill="1"/>
    <xf numFmtId="0" fontId="8" fillId="7" borderId="13" xfId="0" applyFont="1" applyFill="1" applyBorder="1"/>
    <xf numFmtId="169" fontId="8" fillId="7" borderId="0" xfId="0" applyNumberFormat="1" applyFont="1" applyFill="1"/>
    <xf numFmtId="169" fontId="8" fillId="7" borderId="13" xfId="0" applyNumberFormat="1" applyFont="1" applyFill="1" applyBorder="1"/>
    <xf numFmtId="168" fontId="8" fillId="7" borderId="9" xfId="2" applyNumberFormat="1" applyFont="1" applyFill="1" applyBorder="1"/>
    <xf numFmtId="168" fontId="8" fillId="7" borderId="15" xfId="2" applyNumberFormat="1" applyFont="1" applyFill="1" applyBorder="1"/>
  </cellXfs>
  <cellStyles count="5">
    <cellStyle name="_x000a_386grabber=M" xfId="4" xr:uid="{B7734642-3E2F-4E65-8062-6E29BDA562CA}"/>
    <cellStyle name="Currency" xfId="1" builtinId="4"/>
    <cellStyle name="Normal" xfId="0" builtinId="0"/>
    <cellStyle name="Note" xfId="3" builtinId="10"/>
    <cellStyle name="Percent" xfId="2" builtinId="5"/>
  </cellStyles>
  <dxfs count="0"/>
  <tableStyles count="0" defaultTableStyle="TableStyleMedium2" defaultPivotStyle="PivotStyleLight16"/>
  <colors>
    <mruColors>
      <color rgb="FFDBB691"/>
      <color rgb="FF1C3B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waterfall" uniqueId="{E20B02C3-95EB-463C-B05E-C15777971072}">
          <cx:spPr>
            <a:solidFill>
              <a:schemeClr val="tx2"/>
            </a:solidFill>
          </cx:spPr>
          <cx:dataPt idx="4">
            <cx:spPr>
              <a:solidFill>
                <a:srgbClr val="156082">
                  <a:lumMod val="40000"/>
                  <a:lumOff val="60000"/>
                </a:srgbClr>
              </a:solidFill>
            </cx:spPr>
          </cx:dataPt>
          <cx:dataLabels>
            <cx:visibility seriesName="0" categoryName="0" value="1"/>
          </cx:dataLabels>
          <cx:dataId val="0"/>
          <cx:layoutPr>
            <cx:visibility connectorLines="1"/>
            <cx:subtotals/>
          </cx:layoutPr>
        </cx:series>
      </cx:plotAreaRegion>
      <cx:axis id="0">
        <cx:catScaling gapWidth="0.310000002"/>
        <cx:tickLabels/>
        <cx:spPr>
          <a:ln w="952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0</xdr:row>
      <xdr:rowOff>123827</xdr:rowOff>
    </xdr:from>
    <xdr:to>
      <xdr:col>9</xdr:col>
      <xdr:colOff>304800</xdr:colOff>
      <xdr:row>13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E5187E8-BBD7-3EC8-7C9D-C75D5D986B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123827"/>
              <a:ext cx="5114926" cy="20002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0</xdr:col>
      <xdr:colOff>28576</xdr:colOff>
      <xdr:row>0</xdr:row>
      <xdr:rowOff>142875</xdr:rowOff>
    </xdr:from>
    <xdr:ext cx="571500" cy="22499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59FF06-FCA9-F7F2-25F6-8AAF5E7DD4F7}"/>
            </a:ext>
          </a:extLst>
        </xdr:cNvPr>
        <xdr:cNvSpPr txBox="1"/>
      </xdr:nvSpPr>
      <xdr:spPr>
        <a:xfrm>
          <a:off x="28576" y="142875"/>
          <a:ext cx="571500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00" i="1">
              <a:latin typeface="Arial" panose="020B0604020202020204" pitchFamily="34" charset="0"/>
              <a:cs typeface="Arial" panose="020B0604020202020204" pitchFamily="34" charset="0"/>
            </a:rPr>
            <a:t>BRLm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3D41-68A7-4901-A989-B26B7813157D}">
  <dimension ref="A1:P63"/>
  <sheetViews>
    <sheetView showGridLines="0" tabSelected="1" zoomScaleNormal="100" workbookViewId="0">
      <selection activeCell="F27" sqref="F27"/>
    </sheetView>
  </sheetViews>
  <sheetFormatPr defaultColWidth="10.5703125" defaultRowHeight="12.75" x14ac:dyDescent="0.2"/>
  <cols>
    <col min="1" max="1" width="0.85546875" style="1" customWidth="1"/>
    <col min="2" max="4" width="10.5703125" style="1"/>
    <col min="5" max="9" width="11" style="1" bestFit="1" customWidth="1"/>
    <col min="10" max="13" width="10.5703125" style="1"/>
    <col min="14" max="14" width="11" style="1" bestFit="1" customWidth="1"/>
    <col min="15" max="16384" width="10.5703125" style="1"/>
  </cols>
  <sheetData>
    <row r="1" spans="1:16" x14ac:dyDescent="0.2">
      <c r="A1" s="55"/>
      <c r="B1" s="56" t="s">
        <v>92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" x14ac:dyDescent="0.2">
      <c r="A2" s="55"/>
      <c r="B2" s="56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6" x14ac:dyDescent="0.2">
      <c r="A3" s="55"/>
      <c r="B3" s="57" t="s">
        <v>108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5" spans="1:16" x14ac:dyDescent="0.2">
      <c r="B5" s="1" t="s">
        <v>2</v>
      </c>
      <c r="C5" s="2" t="s">
        <v>3</v>
      </c>
    </row>
    <row r="7" spans="1:16" x14ac:dyDescent="0.2">
      <c r="E7" s="60" t="s">
        <v>4</v>
      </c>
      <c r="F7" s="60"/>
      <c r="G7" s="60"/>
      <c r="H7" s="60"/>
      <c r="I7" s="60"/>
      <c r="J7" s="3" t="s">
        <v>10</v>
      </c>
      <c r="K7" s="3"/>
      <c r="L7" s="3"/>
      <c r="M7" s="3"/>
      <c r="N7" s="3"/>
      <c r="O7" s="49" t="s">
        <v>100</v>
      </c>
    </row>
    <row r="8" spans="1:16" x14ac:dyDescent="0.2">
      <c r="E8" s="82">
        <v>43830</v>
      </c>
      <c r="F8" s="82">
        <f>EOMONTH(E8,12)</f>
        <v>44196</v>
      </c>
      <c r="G8" s="82">
        <f t="shared" ref="G8:N8" si="0">EOMONTH(F8,12)</f>
        <v>44561</v>
      </c>
      <c r="H8" s="82">
        <f t="shared" si="0"/>
        <v>44926</v>
      </c>
      <c r="I8" s="82">
        <f t="shared" si="0"/>
        <v>45291</v>
      </c>
      <c r="J8" s="11">
        <f t="shared" si="0"/>
        <v>45657</v>
      </c>
      <c r="K8" s="11">
        <f t="shared" si="0"/>
        <v>46022</v>
      </c>
      <c r="L8" s="11">
        <f t="shared" si="0"/>
        <v>46387</v>
      </c>
      <c r="M8" s="11">
        <f t="shared" si="0"/>
        <v>46752</v>
      </c>
      <c r="N8" s="11">
        <f t="shared" si="0"/>
        <v>47118</v>
      </c>
      <c r="O8" s="54" t="s">
        <v>101</v>
      </c>
    </row>
    <row r="9" spans="1:16" x14ac:dyDescent="0.2">
      <c r="B9" s="1" t="s">
        <v>5</v>
      </c>
      <c r="E9" s="67">
        <v>9804</v>
      </c>
      <c r="F9" s="67">
        <v>12176</v>
      </c>
      <c r="G9" s="67">
        <v>12514</v>
      </c>
      <c r="H9" s="67">
        <v>11906</v>
      </c>
      <c r="I9" s="67">
        <v>10748</v>
      </c>
      <c r="J9" s="67">
        <f>I9*(1+J57)</f>
        <v>11177.92</v>
      </c>
      <c r="K9" s="67">
        <f>J9*(1+K57)</f>
        <v>11625.0368</v>
      </c>
      <c r="L9" s="67">
        <f>K9*(1+L57)</f>
        <v>12090.038272</v>
      </c>
      <c r="M9" s="67">
        <f>L9*(1+M57)</f>
        <v>12573.639802879999</v>
      </c>
      <c r="N9" s="67">
        <f>M9*(1+N57)</f>
        <v>13076.5853949952</v>
      </c>
      <c r="O9" s="85">
        <f>(N9/I9)^(1/5)-1</f>
        <v>4.0000000000000036E-2</v>
      </c>
    </row>
    <row r="10" spans="1:16" x14ac:dyDescent="0.2">
      <c r="B10" s="14" t="s">
        <v>14</v>
      </c>
      <c r="C10" s="15"/>
      <c r="D10" s="15"/>
      <c r="E10" s="7">
        <f>IFERROR((E9-D9)/D9, 0)</f>
        <v>0</v>
      </c>
      <c r="F10" s="7">
        <f t="shared" ref="F10:N10" si="1">IFERROR((F9-E9)/E9, 0)</f>
        <v>0.24194206446348429</v>
      </c>
      <c r="G10" s="7">
        <f t="shared" si="1"/>
        <v>2.775952693823916E-2</v>
      </c>
      <c r="H10" s="7">
        <f t="shared" si="1"/>
        <v>-4.8585584145756755E-2</v>
      </c>
      <c r="I10" s="7">
        <f t="shared" si="1"/>
        <v>-9.7261884763984549E-2</v>
      </c>
      <c r="J10" s="7">
        <f t="shared" si="1"/>
        <v>4.0000000000000008E-2</v>
      </c>
      <c r="K10" s="7">
        <f t="shared" si="1"/>
        <v>3.999999999999998E-2</v>
      </c>
      <c r="L10" s="7">
        <f t="shared" si="1"/>
        <v>3.9999999999999994E-2</v>
      </c>
      <c r="M10" s="7">
        <f t="shared" si="1"/>
        <v>3.9999999999999973E-2</v>
      </c>
      <c r="N10" s="7">
        <f t="shared" si="1"/>
        <v>4.0000000000000022E-2</v>
      </c>
      <c r="O10" s="86"/>
    </row>
    <row r="11" spans="1:16" x14ac:dyDescent="0.2">
      <c r="B11" s="1" t="s">
        <v>6</v>
      </c>
      <c r="E11" s="68">
        <v>-4794</v>
      </c>
      <c r="F11" s="68">
        <v>-5866</v>
      </c>
      <c r="G11" s="68">
        <v>-5612</v>
      </c>
      <c r="H11" s="68">
        <v>-5361</v>
      </c>
      <c r="I11" s="68">
        <v>-3942</v>
      </c>
      <c r="J11" s="68">
        <f>J9*-J58</f>
        <v>-4102.2966399999996</v>
      </c>
      <c r="K11" s="68">
        <f>K9*-K58</f>
        <v>-4266.3885055999999</v>
      </c>
      <c r="L11" s="68">
        <f>L9*-L58</f>
        <v>-4437.044045824</v>
      </c>
      <c r="M11" s="68">
        <f>M9*-M58</f>
        <v>-4526.5103290367997</v>
      </c>
      <c r="N11" s="68">
        <f>N9*-N58</f>
        <v>-4707.5707421982715</v>
      </c>
      <c r="O11" s="86"/>
    </row>
    <row r="12" spans="1:16" x14ac:dyDescent="0.2">
      <c r="B12" s="8" t="s">
        <v>7</v>
      </c>
      <c r="E12" s="9">
        <f>SUM(E9, E11)</f>
        <v>5010</v>
      </c>
      <c r="F12" s="9">
        <f>SUM(F9, F11)</f>
        <v>6310</v>
      </c>
      <c r="G12" s="9">
        <f>SUM(G9, G11)</f>
        <v>6902</v>
      </c>
      <c r="H12" s="9">
        <f>SUM(H9, H11)</f>
        <v>6545</v>
      </c>
      <c r="I12" s="9">
        <f t="shared" ref="I12:N12" si="2">SUM(I9, I11)</f>
        <v>6806</v>
      </c>
      <c r="J12" s="9">
        <f t="shared" si="2"/>
        <v>7075.6233600000005</v>
      </c>
      <c r="K12" s="9">
        <f t="shared" si="2"/>
        <v>7358.6482943999999</v>
      </c>
      <c r="L12" s="9">
        <f t="shared" si="2"/>
        <v>7652.9942261759998</v>
      </c>
      <c r="M12" s="9">
        <f t="shared" si="2"/>
        <v>8047.1294738431998</v>
      </c>
      <c r="N12" s="9">
        <f t="shared" si="2"/>
        <v>8369.0146527969282</v>
      </c>
      <c r="O12" s="85">
        <f>(N12/I12)^(1/5)-1</f>
        <v>4.2212977627659409E-2</v>
      </c>
    </row>
    <row r="13" spans="1:16" x14ac:dyDescent="0.2">
      <c r="B13" s="14" t="s">
        <v>13</v>
      </c>
      <c r="C13" s="15"/>
      <c r="D13" s="15"/>
      <c r="E13" s="7">
        <f>IFERROR(E12/E$9-1, 0)</f>
        <v>-0.48898408812729499</v>
      </c>
      <c r="F13" s="7">
        <f t="shared" ref="F13:N13" si="3">IFERROR(F12/F$9-1, 0)</f>
        <v>-0.48176741130091982</v>
      </c>
      <c r="G13" s="7">
        <f t="shared" si="3"/>
        <v>-0.44845772734537315</v>
      </c>
      <c r="H13" s="7">
        <f t="shared" si="3"/>
        <v>-0.45027717117419785</v>
      </c>
      <c r="I13" s="7">
        <f t="shared" si="3"/>
        <v>-0.36676590993673241</v>
      </c>
      <c r="J13" s="7">
        <f t="shared" si="3"/>
        <v>-0.36699999999999999</v>
      </c>
      <c r="K13" s="7">
        <f t="shared" si="3"/>
        <v>-0.36699999999999999</v>
      </c>
      <c r="L13" s="7">
        <f t="shared" si="3"/>
        <v>-0.36699999999999999</v>
      </c>
      <c r="M13" s="7">
        <f t="shared" si="3"/>
        <v>-0.36</v>
      </c>
      <c r="N13" s="7">
        <f t="shared" si="3"/>
        <v>-0.36</v>
      </c>
      <c r="O13" s="86"/>
    </row>
    <row r="14" spans="1:16" x14ac:dyDescent="0.2">
      <c r="B14" s="1" t="s">
        <v>8</v>
      </c>
      <c r="E14" s="68">
        <v>-234</v>
      </c>
      <c r="F14" s="68">
        <v>-256</v>
      </c>
      <c r="G14" s="68">
        <v>-299</v>
      </c>
      <c r="H14" s="68">
        <v>-330</v>
      </c>
      <c r="I14" s="68">
        <v>-390</v>
      </c>
      <c r="J14" s="68">
        <f>J9*-J59</f>
        <v>-402.40511999999995</v>
      </c>
      <c r="K14" s="68">
        <f>K9*-K59</f>
        <v>-418.50132479999996</v>
      </c>
      <c r="L14" s="68">
        <f>L9*-L59</f>
        <v>-435.24137779199998</v>
      </c>
      <c r="M14" s="68">
        <f>M9*-M59</f>
        <v>-427.50375329792001</v>
      </c>
      <c r="N14" s="68">
        <f>N9*-N59</f>
        <v>-444.60390342983681</v>
      </c>
      <c r="O14" s="86"/>
      <c r="P14" s="18"/>
    </row>
    <row r="15" spans="1:16" x14ac:dyDescent="0.2">
      <c r="B15" s="8" t="s">
        <v>9</v>
      </c>
      <c r="E15" s="69">
        <f>SUM(E12, E14)</f>
        <v>4776</v>
      </c>
      <c r="F15" s="69">
        <f t="shared" ref="F15:N15" si="4">SUM(F12, F14)</f>
        <v>6054</v>
      </c>
      <c r="G15" s="69">
        <f t="shared" si="4"/>
        <v>6603</v>
      </c>
      <c r="H15" s="69">
        <f t="shared" si="4"/>
        <v>6215</v>
      </c>
      <c r="I15" s="69">
        <f t="shared" si="4"/>
        <v>6416</v>
      </c>
      <c r="J15" s="69">
        <f t="shared" si="4"/>
        <v>6673.2182400000002</v>
      </c>
      <c r="K15" s="69">
        <f t="shared" si="4"/>
        <v>6940.1469696000004</v>
      </c>
      <c r="L15" s="69">
        <f t="shared" si="4"/>
        <v>7217.7528483839997</v>
      </c>
      <c r="M15" s="69">
        <f t="shared" si="4"/>
        <v>7619.6257205452794</v>
      </c>
      <c r="N15" s="69">
        <f t="shared" si="4"/>
        <v>7924.4107493670917</v>
      </c>
      <c r="O15" s="85">
        <f>(N15/I15)^(1/5)-1</f>
        <v>4.31350173595626E-2</v>
      </c>
    </row>
    <row r="16" spans="1:16" x14ac:dyDescent="0.2">
      <c r="B16" s="14" t="s">
        <v>13</v>
      </c>
      <c r="C16" s="15"/>
      <c r="D16" s="15"/>
      <c r="E16" s="7">
        <f>IFERROR(E15/E$9, 0)</f>
        <v>0.48714810281517745</v>
      </c>
      <c r="F16" s="7">
        <f t="shared" ref="F16:N16" si="5">IFERROR(F15/F$9, 0)</f>
        <v>0.49720762155059134</v>
      </c>
      <c r="G16" s="7">
        <f t="shared" si="5"/>
        <v>0.52764903308294708</v>
      </c>
      <c r="H16" s="7">
        <f t="shared" si="5"/>
        <v>0.52200571140601382</v>
      </c>
      <c r="I16" s="7">
        <f t="shared" si="5"/>
        <v>0.59694826944547819</v>
      </c>
      <c r="J16" s="7">
        <f t="shared" si="5"/>
        <v>0.59699999999999998</v>
      </c>
      <c r="K16" s="7">
        <f t="shared" si="5"/>
        <v>0.59700000000000009</v>
      </c>
      <c r="L16" s="7">
        <f t="shared" si="5"/>
        <v>0.59699999999999998</v>
      </c>
      <c r="M16" s="7">
        <f t="shared" si="5"/>
        <v>0.60599999999999998</v>
      </c>
      <c r="N16" s="7">
        <f t="shared" si="5"/>
        <v>0.60600000000000009</v>
      </c>
      <c r="O16" s="86"/>
    </row>
    <row r="17" spans="1:15" x14ac:dyDescent="0.2">
      <c r="B17" s="1" t="s">
        <v>11</v>
      </c>
      <c r="E17" s="68">
        <v>-863</v>
      </c>
      <c r="F17" s="68">
        <v>-915</v>
      </c>
      <c r="G17" s="68">
        <v>-1042</v>
      </c>
      <c r="H17" s="68">
        <v>-990</v>
      </c>
      <c r="I17" s="68">
        <v>-924</v>
      </c>
      <c r="J17" s="68">
        <f>J9*-J60</f>
        <v>-961.30111999999997</v>
      </c>
      <c r="K17" s="68">
        <f>K9*-K60</f>
        <v>-999.75316479999992</v>
      </c>
      <c r="L17" s="68">
        <f>L9*-L60</f>
        <v>-1039.7432913919999</v>
      </c>
      <c r="M17" s="68">
        <f>M9*-M60</f>
        <v>-1081.3330230476799</v>
      </c>
      <c r="N17" s="68">
        <f>N9*-N60</f>
        <v>-1124.586343969587</v>
      </c>
      <c r="O17" s="86"/>
    </row>
    <row r="18" spans="1:15" x14ac:dyDescent="0.2">
      <c r="B18" s="8" t="s">
        <v>12</v>
      </c>
      <c r="E18" s="69">
        <f>SUM(E15, E17)</f>
        <v>3913</v>
      </c>
      <c r="F18" s="69">
        <f t="shared" ref="F18" si="6">SUM(F15, F17)</f>
        <v>5139</v>
      </c>
      <c r="G18" s="69">
        <f t="shared" ref="G18" si="7">SUM(G15, G17)</f>
        <v>5561</v>
      </c>
      <c r="H18" s="69">
        <f t="shared" ref="H18" si="8">SUM(H15, H17)</f>
        <v>5225</v>
      </c>
      <c r="I18" s="69">
        <f t="shared" ref="I18" si="9">SUM(I15, I17)</f>
        <v>5492</v>
      </c>
      <c r="J18" s="69">
        <f t="shared" ref="J18" si="10">SUM(J15, J17)</f>
        <v>5711.9171200000001</v>
      </c>
      <c r="K18" s="69">
        <f t="shared" ref="K18" si="11">SUM(K15, K17)</f>
        <v>5940.3938048</v>
      </c>
      <c r="L18" s="69">
        <f t="shared" ref="L18" si="12">SUM(L15, L17)</f>
        <v>6178.0095569919995</v>
      </c>
      <c r="M18" s="69">
        <f t="shared" ref="M18" si="13">SUM(M15, M17)</f>
        <v>6538.2926974975999</v>
      </c>
      <c r="N18" s="69">
        <f t="shared" ref="N18" si="14">SUM(N15, N17)</f>
        <v>6799.824405397505</v>
      </c>
      <c r="O18" s="85">
        <f>(N18/I18)^(1/5)-1</f>
        <v>4.3646530946222395E-2</v>
      </c>
    </row>
    <row r="19" spans="1:15" x14ac:dyDescent="0.2">
      <c r="B19" s="14" t="s">
        <v>13</v>
      </c>
      <c r="C19" s="15"/>
      <c r="D19" s="15"/>
      <c r="E19" s="7">
        <f t="shared" ref="E19:N19" si="15">IFERROR(E18/E$9, 0)</f>
        <v>0.39912280701754388</v>
      </c>
      <c r="F19" s="7">
        <f t="shared" si="15"/>
        <v>0.42205978975032854</v>
      </c>
      <c r="G19" s="7">
        <f t="shared" si="15"/>
        <v>0.44438229183314687</v>
      </c>
      <c r="H19" s="7">
        <f t="shared" si="15"/>
        <v>0.43885435914664878</v>
      </c>
      <c r="I19" s="7">
        <f t="shared" si="15"/>
        <v>0.51097878675102348</v>
      </c>
      <c r="J19" s="7">
        <f t="shared" si="15"/>
        <v>0.51100000000000001</v>
      </c>
      <c r="K19" s="7">
        <f t="shared" si="15"/>
        <v>0.51100000000000001</v>
      </c>
      <c r="L19" s="7">
        <f t="shared" si="15"/>
        <v>0.51100000000000001</v>
      </c>
      <c r="M19" s="7">
        <f t="shared" si="15"/>
        <v>0.52</v>
      </c>
      <c r="N19" s="7">
        <f t="shared" si="15"/>
        <v>0.52000000000000013</v>
      </c>
      <c r="O19" s="83"/>
    </row>
    <row r="20" spans="1:15" x14ac:dyDescent="0.2">
      <c r="B20" s="1" t="s">
        <v>15</v>
      </c>
      <c r="E20" s="68">
        <v>-777</v>
      </c>
      <c r="F20" s="68">
        <v>-890</v>
      </c>
      <c r="G20" s="68">
        <v>-250</v>
      </c>
      <c r="H20" s="68">
        <v>-621</v>
      </c>
      <c r="I20" s="68">
        <v>-968</v>
      </c>
      <c r="J20" s="68">
        <f>J18*-J62</f>
        <v>-1005.29741312</v>
      </c>
      <c r="K20" s="68">
        <f>K18*-K62</f>
        <v>-1045.5093096447999</v>
      </c>
      <c r="L20" s="68">
        <f>L18*-L62</f>
        <v>-1087.3296820305918</v>
      </c>
      <c r="M20" s="68">
        <f>M18*-M62</f>
        <v>-1150.7395147595776</v>
      </c>
      <c r="N20" s="68">
        <f>N18*-N62</f>
        <v>-1196.7690953499607</v>
      </c>
      <c r="O20" s="84"/>
    </row>
    <row r="21" spans="1:15" x14ac:dyDescent="0.2">
      <c r="B21" s="8" t="s">
        <v>18</v>
      </c>
      <c r="E21" s="69">
        <f>SUM(E18, E20)</f>
        <v>3136</v>
      </c>
      <c r="F21" s="69">
        <f t="shared" ref="F21" si="16">SUM(F18, F20)</f>
        <v>4249</v>
      </c>
      <c r="G21" s="69">
        <f t="shared" ref="G21" si="17">SUM(G18, G20)</f>
        <v>5311</v>
      </c>
      <c r="H21" s="69">
        <f t="shared" ref="H21" si="18">SUM(H18, H20)</f>
        <v>4604</v>
      </c>
      <c r="I21" s="69">
        <f t="shared" ref="I21" si="19">SUM(I18, I20)</f>
        <v>4524</v>
      </c>
      <c r="J21" s="69">
        <f t="shared" ref="J21" si="20">SUM(J18, J20)</f>
        <v>4706.6197068800002</v>
      </c>
      <c r="K21" s="69">
        <f t="shared" ref="K21" si="21">SUM(K18, K20)</f>
        <v>4894.8844951552001</v>
      </c>
      <c r="L21" s="69">
        <f t="shared" ref="L21" si="22">SUM(L18, L20)</f>
        <v>5090.6798749614081</v>
      </c>
      <c r="M21" s="69">
        <f t="shared" ref="M21" si="23">SUM(M18, M20)</f>
        <v>5387.5531827380219</v>
      </c>
      <c r="N21" s="69">
        <f t="shared" ref="N21" si="24">SUM(N18, N20)</f>
        <v>5603.0553100475445</v>
      </c>
      <c r="O21" s="84"/>
    </row>
    <row r="22" spans="1:15" x14ac:dyDescent="0.2">
      <c r="B22" s="14" t="s">
        <v>13</v>
      </c>
      <c r="C22" s="15"/>
      <c r="D22" s="15"/>
      <c r="E22" s="7">
        <f t="shared" ref="E22:N22" si="25">IFERROR(E21/E$9, 0)</f>
        <v>0.31986944104447163</v>
      </c>
      <c r="F22" s="7">
        <f t="shared" si="25"/>
        <v>0.3489651773981603</v>
      </c>
      <c r="G22" s="7">
        <f t="shared" si="25"/>
        <v>0.42440466677321398</v>
      </c>
      <c r="H22" s="7">
        <f t="shared" si="25"/>
        <v>0.3866957836385016</v>
      </c>
      <c r="I22" s="7">
        <f t="shared" si="25"/>
        <v>0.42091551916635656</v>
      </c>
      <c r="J22" s="7">
        <f t="shared" si="25"/>
        <v>0.42106399999999999</v>
      </c>
      <c r="K22" s="7">
        <f t="shared" si="25"/>
        <v>0.42106399999999999</v>
      </c>
      <c r="L22" s="7">
        <f t="shared" si="25"/>
        <v>0.42106399999999999</v>
      </c>
      <c r="M22" s="7">
        <f t="shared" si="25"/>
        <v>0.42847999999999997</v>
      </c>
      <c r="N22" s="7">
        <f t="shared" si="25"/>
        <v>0.42848000000000008</v>
      </c>
      <c r="O22" s="83"/>
    </row>
    <row r="23" spans="1:15" x14ac:dyDescent="0.2">
      <c r="B23" s="1" t="s">
        <v>19</v>
      </c>
      <c r="E23" s="67">
        <f>-E17</f>
        <v>863</v>
      </c>
      <c r="F23" s="67">
        <f t="shared" ref="F23:N23" si="26">-F17</f>
        <v>915</v>
      </c>
      <c r="G23" s="67">
        <f t="shared" si="26"/>
        <v>1042</v>
      </c>
      <c r="H23" s="67">
        <f t="shared" si="26"/>
        <v>990</v>
      </c>
      <c r="I23" s="67">
        <f t="shared" si="26"/>
        <v>924</v>
      </c>
      <c r="J23" s="67">
        <f t="shared" si="26"/>
        <v>961.30111999999997</v>
      </c>
      <c r="K23" s="67">
        <f t="shared" si="26"/>
        <v>999.75316479999992</v>
      </c>
      <c r="L23" s="67">
        <f t="shared" si="26"/>
        <v>1039.7432913919999</v>
      </c>
      <c r="M23" s="67">
        <f t="shared" si="26"/>
        <v>1081.3330230476799</v>
      </c>
      <c r="N23" s="67">
        <f t="shared" si="26"/>
        <v>1124.586343969587</v>
      </c>
      <c r="O23" s="83"/>
    </row>
    <row r="24" spans="1:15" x14ac:dyDescent="0.2">
      <c r="B24" s="1" t="s">
        <v>20</v>
      </c>
      <c r="E24" s="67">
        <v>-1166</v>
      </c>
      <c r="F24" s="67">
        <v>-1020</v>
      </c>
      <c r="G24" s="67">
        <v>-1241</v>
      </c>
      <c r="H24" s="67">
        <v>-1579</v>
      </c>
      <c r="I24" s="67">
        <v>-2576</v>
      </c>
      <c r="J24" s="67">
        <f>J9*-J61</f>
        <v>-1754.93344</v>
      </c>
      <c r="K24" s="67">
        <f>K9*-K61</f>
        <v>-1825.1307775999999</v>
      </c>
      <c r="L24" s="67">
        <f>L9*-L61</f>
        <v>-1898.136008704</v>
      </c>
      <c r="M24" s="67">
        <f>M9*-M61</f>
        <v>-1974.06144905216</v>
      </c>
      <c r="N24" s="67">
        <f>N9*-N61</f>
        <v>-2053.0239070142466</v>
      </c>
      <c r="O24" s="83"/>
    </row>
    <row r="25" spans="1:15" x14ac:dyDescent="0.2">
      <c r="B25" s="1" t="s">
        <v>21</v>
      </c>
      <c r="E25" s="68">
        <f>WCP!E24</f>
        <v>0</v>
      </c>
      <c r="F25" s="68">
        <f>WCP!F24</f>
        <v>167</v>
      </c>
      <c r="G25" s="68">
        <f>WCP!G24</f>
        <v>-1392</v>
      </c>
      <c r="H25" s="68">
        <f>WCP!H24</f>
        <v>-153</v>
      </c>
      <c r="I25" s="68">
        <f>WCP!I24</f>
        <v>343</v>
      </c>
      <c r="J25" s="68">
        <f ca="1">WCP!J24</f>
        <v>28.086647342466222</v>
      </c>
      <c r="K25" s="68">
        <f ca="1">WCP!K24</f>
        <v>-18.076534106301551</v>
      </c>
      <c r="L25" s="68">
        <f ca="1">WCP!L24</f>
        <v>-18.799595470553413</v>
      </c>
      <c r="M25" s="68">
        <f ca="1">WCP!M24</f>
        <v>-5.7162694651792663</v>
      </c>
      <c r="N25" s="68">
        <f ca="1">WCP!N24</f>
        <v>-19.780230067982757</v>
      </c>
      <c r="O25" s="83"/>
    </row>
    <row r="26" spans="1:15" x14ac:dyDescent="0.2">
      <c r="B26" s="8" t="s">
        <v>17</v>
      </c>
      <c r="E26" s="69">
        <f t="shared" ref="E26:J26" si="27">SUM(E21,E23:E25)</f>
        <v>2833</v>
      </c>
      <c r="F26" s="69">
        <f t="shared" si="27"/>
        <v>4311</v>
      </c>
      <c r="G26" s="69">
        <f t="shared" si="27"/>
        <v>3720</v>
      </c>
      <c r="H26" s="69">
        <f t="shared" si="27"/>
        <v>3862</v>
      </c>
      <c r="I26" s="69">
        <f t="shared" si="27"/>
        <v>3215</v>
      </c>
      <c r="J26" s="69">
        <f t="shared" ca="1" si="27"/>
        <v>3941.0740342224667</v>
      </c>
      <c r="K26" s="69">
        <f t="shared" ref="K26:N26" ca="1" si="28">SUM(K21,K23:K25)</f>
        <v>4051.430348248899</v>
      </c>
      <c r="L26" s="69">
        <f t="shared" ca="1" si="28"/>
        <v>4213.4875621788542</v>
      </c>
      <c r="M26" s="69">
        <f t="shared" ca="1" si="28"/>
        <v>4489.1084872683623</v>
      </c>
      <c r="N26" s="69">
        <f t="shared" ca="1" si="28"/>
        <v>4654.8375169349019</v>
      </c>
      <c r="O26" s="85">
        <f ca="1">(N26/I26)^(1/5)-1</f>
        <v>7.6823958598405406E-2</v>
      </c>
    </row>
    <row r="28" spans="1:15" x14ac:dyDescent="0.2">
      <c r="B28" s="8" t="s">
        <v>62</v>
      </c>
      <c r="E28" s="33">
        <f>WACC!E25</f>
        <v>6.3397848009962302E-2</v>
      </c>
      <c r="F28" s="18"/>
      <c r="G28" s="18"/>
      <c r="H28" s="18"/>
      <c r="I28" s="18"/>
    </row>
    <row r="29" spans="1:15" x14ac:dyDescent="0.2">
      <c r="B29" s="1" t="s">
        <v>63</v>
      </c>
      <c r="J29" s="1">
        <v>1</v>
      </c>
      <c r="K29" s="1">
        <v>2</v>
      </c>
      <c r="L29" s="1">
        <v>3</v>
      </c>
      <c r="M29" s="1">
        <v>4</v>
      </c>
      <c r="N29" s="1">
        <v>5</v>
      </c>
    </row>
    <row r="30" spans="1:15" x14ac:dyDescent="0.2">
      <c r="B30" s="1" t="s">
        <v>64</v>
      </c>
      <c r="J30" s="19">
        <f>1/(1+WACC)^J29</f>
        <v>0.94038181652463859</v>
      </c>
      <c r="K30" s="19">
        <f>1/(1+WACC)^K29</f>
        <v>0.884317960850179</v>
      </c>
      <c r="L30" s="19">
        <f>1/(1+WACC)^L29</f>
        <v>0.83159653040965564</v>
      </c>
      <c r="M30" s="19">
        <f>1/(1+WACC)^M29</f>
        <v>0.78201825588221874</v>
      </c>
      <c r="N30" s="19">
        <f>1/(1+WACC)^N29</f>
        <v>0.73539574802195062</v>
      </c>
    </row>
    <row r="31" spans="1:15" x14ac:dyDescent="0.2">
      <c r="A31" s="58"/>
      <c r="B31" s="56" t="s">
        <v>65</v>
      </c>
      <c r="C31" s="58"/>
      <c r="D31" s="58"/>
      <c r="E31" s="70"/>
      <c r="F31" s="70"/>
      <c r="G31" s="70"/>
      <c r="H31" s="70"/>
      <c r="I31" s="70"/>
      <c r="J31" s="70">
        <f ca="1">J26*J30</f>
        <v>3706.1143593602087</v>
      </c>
      <c r="K31" s="70">
        <f t="shared" ref="K31:N31" ca="1" si="29">K26*K30</f>
        <v>3582.752624089997</v>
      </c>
      <c r="L31" s="70">
        <f t="shared" ca="1" si="29"/>
        <v>3503.9216376321733</v>
      </c>
      <c r="M31" s="70">
        <f t="shared" ca="1" si="29"/>
        <v>3510.56478967967</v>
      </c>
      <c r="N31" s="70">
        <f t="shared" ca="1" si="29"/>
        <v>3423.1477176869817</v>
      </c>
      <c r="O31" s="85"/>
    </row>
    <row r="33" spans="2:15" x14ac:dyDescent="0.2">
      <c r="B33" s="59" t="s">
        <v>75</v>
      </c>
      <c r="C33" s="59"/>
      <c r="D33" s="59"/>
      <c r="E33" s="59"/>
      <c r="G33" s="59" t="s">
        <v>82</v>
      </c>
      <c r="H33" s="59"/>
      <c r="I33" s="59"/>
      <c r="J33" s="59"/>
      <c r="L33" s="59" t="s">
        <v>90</v>
      </c>
      <c r="M33" s="59"/>
      <c r="N33" s="59"/>
      <c r="O33" s="59"/>
    </row>
    <row r="34" spans="2:15" x14ac:dyDescent="0.2">
      <c r="B34" s="8" t="s">
        <v>76</v>
      </c>
      <c r="E34" s="69">
        <f ca="1">SUM(J31:N31)</f>
        <v>17726.501128449028</v>
      </c>
      <c r="G34" s="1" t="s">
        <v>75</v>
      </c>
      <c r="J34" s="67">
        <f ca="1">E44</f>
        <v>58519.546923097019</v>
      </c>
      <c r="L34" s="1" t="s">
        <v>75</v>
      </c>
      <c r="O34" s="67">
        <f ca="1">EV</f>
        <v>58519.546923097019</v>
      </c>
    </row>
    <row r="35" spans="2:15" ht="13.5" thickBot="1" x14ac:dyDescent="0.25">
      <c r="G35" s="1" t="s">
        <v>83</v>
      </c>
      <c r="J35" s="67">
        <f>-WACC!E8</f>
        <v>-26210</v>
      </c>
      <c r="L35" s="1" t="s">
        <v>91</v>
      </c>
      <c r="O35" s="68">
        <f>I15</f>
        <v>6416</v>
      </c>
    </row>
    <row r="36" spans="2:15" ht="13.5" thickBot="1" x14ac:dyDescent="0.25">
      <c r="B36" s="51" t="s">
        <v>77</v>
      </c>
      <c r="C36" s="13"/>
      <c r="D36" s="13"/>
      <c r="E36" s="13"/>
      <c r="G36" s="1" t="s">
        <v>84</v>
      </c>
      <c r="J36" s="67">
        <v>0</v>
      </c>
      <c r="L36" s="8" t="s">
        <v>89</v>
      </c>
      <c r="O36" s="62">
        <f ca="1">O34/O35</f>
        <v>9.1208770141984132</v>
      </c>
    </row>
    <row r="37" spans="2:15" x14ac:dyDescent="0.2">
      <c r="B37" s="1" t="s">
        <v>78</v>
      </c>
      <c r="E37" s="67">
        <f>N15</f>
        <v>7924.4107493670917</v>
      </c>
      <c r="G37" s="1" t="s">
        <v>85</v>
      </c>
      <c r="J37" s="67">
        <v>0</v>
      </c>
    </row>
    <row r="38" spans="2:15" x14ac:dyDescent="0.2">
      <c r="B38" s="1" t="s">
        <v>79</v>
      </c>
      <c r="E38" s="52">
        <v>7</v>
      </c>
      <c r="G38" s="1" t="s">
        <v>86</v>
      </c>
      <c r="J38" s="68">
        <v>5343</v>
      </c>
    </row>
    <row r="39" spans="2:15" ht="13.5" thickBot="1" x14ac:dyDescent="0.25">
      <c r="B39" s="27" t="s">
        <v>77</v>
      </c>
      <c r="C39" s="8"/>
      <c r="D39" s="8"/>
      <c r="E39" s="69">
        <f>E37*E38</f>
        <v>55470.875245569645</v>
      </c>
    </row>
    <row r="40" spans="2:15" ht="13.5" thickBot="1" x14ac:dyDescent="0.25">
      <c r="B40" s="1" t="s">
        <v>64</v>
      </c>
      <c r="E40" s="53">
        <f>1/((1+E28)^(N29-I29))</f>
        <v>0.73539574802195062</v>
      </c>
      <c r="G40" s="8" t="s">
        <v>82</v>
      </c>
      <c r="J40" s="61">
        <f ca="1">SUM(J34:J38)</f>
        <v>37652.546923097019</v>
      </c>
    </row>
    <row r="41" spans="2:15" x14ac:dyDescent="0.2">
      <c r="B41" s="27" t="s">
        <v>80</v>
      </c>
      <c r="E41" s="69">
        <f>E39*E40</f>
        <v>40793.045794647995</v>
      </c>
    </row>
    <row r="42" spans="2:15" x14ac:dyDescent="0.2">
      <c r="B42" s="28" t="s">
        <v>81</v>
      </c>
      <c r="E42" s="17">
        <f>E41/E39</f>
        <v>0.73539574802195062</v>
      </c>
      <c r="G42" s="8" t="s">
        <v>87</v>
      </c>
      <c r="H42" s="8"/>
      <c r="I42" s="8"/>
      <c r="J42" s="69">
        <v>815.928</v>
      </c>
    </row>
    <row r="43" spans="2:15" ht="13.5" thickBot="1" x14ac:dyDescent="0.25"/>
    <row r="44" spans="2:15" ht="13.5" thickBot="1" x14ac:dyDescent="0.25">
      <c r="B44" s="8" t="s">
        <v>75</v>
      </c>
      <c r="E44" s="61">
        <f ca="1">E34+E41</f>
        <v>58519.546923097019</v>
      </c>
      <c r="G44" s="8" t="s">
        <v>88</v>
      </c>
      <c r="J44" s="94">
        <f ca="1">J40/J42</f>
        <v>46.146898896835282</v>
      </c>
    </row>
    <row r="47" spans="2:15" x14ac:dyDescent="0.2">
      <c r="C47" s="59" t="s">
        <v>75</v>
      </c>
      <c r="D47" s="59"/>
      <c r="E47" s="59"/>
      <c r="F47" s="59"/>
      <c r="G47" s="59"/>
      <c r="H47" s="59"/>
      <c r="J47" s="59" t="s">
        <v>82</v>
      </c>
      <c r="K47" s="59"/>
      <c r="L47" s="59"/>
      <c r="M47" s="59"/>
      <c r="N47" s="59"/>
      <c r="O47" s="59"/>
    </row>
    <row r="48" spans="2:15" x14ac:dyDescent="0.2">
      <c r="C48" s="73"/>
      <c r="D48" s="74" t="s">
        <v>99</v>
      </c>
      <c r="E48" s="72"/>
      <c r="F48" s="72"/>
      <c r="G48" s="72"/>
      <c r="H48" s="72"/>
      <c r="J48" s="73">
        <f ca="1">EV</f>
        <v>58519.546923097019</v>
      </c>
      <c r="K48" s="74" t="s">
        <v>99</v>
      </c>
      <c r="L48" s="72"/>
      <c r="M48" s="72"/>
      <c r="N48" s="72"/>
      <c r="O48" s="72"/>
    </row>
    <row r="49" spans="2:15" x14ac:dyDescent="0.2">
      <c r="C49" s="79">
        <f ca="1">EV</f>
        <v>58519.546923097019</v>
      </c>
      <c r="D49" s="78">
        <v>6</v>
      </c>
      <c r="E49" s="75">
        <v>6.5</v>
      </c>
      <c r="F49" s="75">
        <v>7</v>
      </c>
      <c r="G49" s="75">
        <v>7.5</v>
      </c>
      <c r="H49" s="75">
        <v>8</v>
      </c>
      <c r="J49" s="79">
        <f ca="1">J40</f>
        <v>37652.546923097019</v>
      </c>
      <c r="K49" s="78">
        <v>6</v>
      </c>
      <c r="L49" s="75">
        <v>6.5</v>
      </c>
      <c r="M49" s="75">
        <v>7</v>
      </c>
      <c r="N49" s="75">
        <v>7.5</v>
      </c>
      <c r="O49" s="75">
        <v>8</v>
      </c>
    </row>
    <row r="50" spans="2:15" x14ac:dyDescent="0.2">
      <c r="B50" s="95" t="s">
        <v>62</v>
      </c>
      <c r="C50" s="76">
        <f>C51-0.005</f>
        <v>5.3397848009962307E-2</v>
      </c>
      <c r="D50" s="80">
        <f t="dataTable" ref="D50:H54" dt2D="1" dtr="1" r1="E38" r2="E28" ca="1"/>
        <v>54888.509306957247</v>
      </c>
      <c r="E50" s="67">
        <v>57943.253506002162</v>
      </c>
      <c r="F50" s="67">
        <v>60997.997705047077</v>
      </c>
      <c r="G50" s="67">
        <v>64052.741904091992</v>
      </c>
      <c r="H50" s="67">
        <v>67107.486103136893</v>
      </c>
      <c r="I50" s="95" t="s">
        <v>62</v>
      </c>
      <c r="J50" s="76">
        <v>5.9394213772349082E-2</v>
      </c>
      <c r="K50" s="80">
        <f t="dataTable" ref="K50:O54" dt2D="1" dtr="1" r1="E38" r2="E28" ca="1"/>
        <v>32690.241291724138</v>
      </c>
      <c r="L50" s="67">
        <v>35659.506570907455</v>
      </c>
      <c r="M50" s="67">
        <v>38628.771850090779</v>
      </c>
      <c r="N50" s="67">
        <v>41598.037129274097</v>
      </c>
      <c r="O50" s="67">
        <v>44567.302408457414</v>
      </c>
    </row>
    <row r="51" spans="2:15" x14ac:dyDescent="0.2">
      <c r="B51" s="95"/>
      <c r="C51" s="76">
        <f>C52-0.005</f>
        <v>5.8397848009962304E-2</v>
      </c>
      <c r="D51" s="81">
        <v>53775.480773576492</v>
      </c>
      <c r="E51" s="67">
        <v>56758.748583447843</v>
      </c>
      <c r="F51" s="67">
        <v>59742.016393319209</v>
      </c>
      <c r="G51" s="67">
        <v>62725.284203190575</v>
      </c>
      <c r="H51" s="67">
        <v>65708.552013061926</v>
      </c>
      <c r="I51" s="95"/>
      <c r="J51" s="76">
        <v>6.4394213772349079E-2</v>
      </c>
      <c r="K51" s="81">
        <v>31612.498872619341</v>
      </c>
      <c r="L51" s="67">
        <v>34512.675564046978</v>
      </c>
      <c r="M51" s="67">
        <v>37412.852255474601</v>
      </c>
      <c r="N51" s="67">
        <v>40313.028946902239</v>
      </c>
      <c r="O51" s="67">
        <v>43213.205638329862</v>
      </c>
    </row>
    <row r="52" spans="2:15" x14ac:dyDescent="0.2">
      <c r="B52" s="95"/>
      <c r="C52" s="76">
        <v>6.3397848009962302E-2</v>
      </c>
      <c r="D52" s="81">
        <v>52691.968952433017</v>
      </c>
      <c r="E52" s="67">
        <v>55605.757937765011</v>
      </c>
      <c r="F52" s="67">
        <v>58519.546923097019</v>
      </c>
      <c r="G52" s="67">
        <v>61433.335908429013</v>
      </c>
      <c r="H52" s="67">
        <v>64347.124893761022</v>
      </c>
      <c r="I52" s="95"/>
      <c r="J52" s="76">
        <v>6.9394213772349084E-2</v>
      </c>
      <c r="K52" s="81">
        <v>30563.159327318528</v>
      </c>
      <c r="L52" s="67">
        <v>33396.167538005946</v>
      </c>
      <c r="M52" s="67">
        <v>36229.175748693364</v>
      </c>
      <c r="N52" s="67">
        <v>39062.183959380767</v>
      </c>
      <c r="O52" s="67">
        <v>41895.192170068171</v>
      </c>
    </row>
    <row r="53" spans="2:15" x14ac:dyDescent="0.2">
      <c r="B53" s="95"/>
      <c r="C53" s="76">
        <f>C52+0.005</f>
        <v>6.8397848009962306E-2</v>
      </c>
      <c r="D53" s="81">
        <v>51637.04167260469</v>
      </c>
      <c r="E53" s="67">
        <v>54483.284569741612</v>
      </c>
      <c r="F53" s="67">
        <v>57329.527466878542</v>
      </c>
      <c r="G53" s="67">
        <v>60175.770364015472</v>
      </c>
      <c r="H53" s="67">
        <v>63022.013261152395</v>
      </c>
      <c r="I53" s="95"/>
      <c r="J53" s="76">
        <v>7.4394213772349088E-2</v>
      </c>
      <c r="K53" s="81">
        <v>29541.330905815339</v>
      </c>
      <c r="L53" s="67">
        <v>32309.02877281142</v>
      </c>
      <c r="M53" s="67">
        <v>35076.726639807515</v>
      </c>
      <c r="N53" s="67">
        <v>37844.424506803611</v>
      </c>
      <c r="O53" s="67">
        <v>40612.122373799706</v>
      </c>
    </row>
    <row r="54" spans="2:15" x14ac:dyDescent="0.2">
      <c r="B54" s="95"/>
      <c r="C54" s="76">
        <f>C53+0.005</f>
        <v>7.339784800996231E-2</v>
      </c>
      <c r="D54" s="67">
        <v>50609.800607232137</v>
      </c>
      <c r="E54" s="67">
        <v>53390.367717589943</v>
      </c>
      <c r="F54" s="67">
        <v>56170.934827947749</v>
      </c>
      <c r="G54" s="67">
        <v>58951.501938305555</v>
      </c>
      <c r="H54" s="67">
        <v>61732.069048663354</v>
      </c>
      <c r="I54" s="95"/>
      <c r="J54" s="77">
        <v>7.9394213772349093E-2</v>
      </c>
      <c r="K54" s="67">
        <v>28546.154050606667</v>
      </c>
      <c r="L54" s="67">
        <v>31250.340016239075</v>
      </c>
      <c r="M54" s="67">
        <v>33954.525981871499</v>
      </c>
      <c r="N54" s="67">
        <v>36658.711947503907</v>
      </c>
      <c r="O54" s="67">
        <v>39362.897913136323</v>
      </c>
    </row>
    <row r="56" spans="2:15" x14ac:dyDescent="0.2">
      <c r="B56" s="16" t="s">
        <v>35</v>
      </c>
    </row>
    <row r="57" spans="2:15" x14ac:dyDescent="0.2">
      <c r="B57" s="47" t="s">
        <v>56</v>
      </c>
      <c r="C57" s="23"/>
      <c r="D57" s="23"/>
      <c r="E57" s="96">
        <f>IFERROR((E9-D9)/D9, 0)</f>
        <v>0</v>
      </c>
      <c r="F57" s="96">
        <f>IFERROR((F9-E9)/E9, 0)</f>
        <v>0.24194206446348429</v>
      </c>
      <c r="G57" s="96">
        <f>IFERROR((G9-F9)/F9, 0)</f>
        <v>2.775952693823916E-2</v>
      </c>
      <c r="H57" s="96">
        <f>IFERROR((H9-G9)/G9, 0)</f>
        <v>-4.8585584145756755E-2</v>
      </c>
      <c r="I57" s="96">
        <f>IFERROR((I9-H9)/H9, 0)</f>
        <v>-9.7261884763984549E-2</v>
      </c>
      <c r="J57" s="96">
        <f>'A1'!F7</f>
        <v>0.04</v>
      </c>
      <c r="K57" s="96">
        <f>'A1'!G7</f>
        <v>0.04</v>
      </c>
      <c r="L57" s="96">
        <f>'A1'!H7</f>
        <v>0.04</v>
      </c>
      <c r="M57" s="96">
        <f>'A1'!I7</f>
        <v>0.04</v>
      </c>
      <c r="N57" s="97">
        <f>'A1'!J7</f>
        <v>0.04</v>
      </c>
    </row>
    <row r="58" spans="2:15" x14ac:dyDescent="0.2">
      <c r="B58" s="47" t="s">
        <v>59</v>
      </c>
      <c r="C58" s="23"/>
      <c r="D58" s="23"/>
      <c r="E58" s="96">
        <f>IFERROR(-E11/E9, 0)</f>
        <v>0.48898408812729499</v>
      </c>
      <c r="F58" s="96">
        <f>IFERROR(-F11/F9, 0)</f>
        <v>0.48176741130091982</v>
      </c>
      <c r="G58" s="96">
        <f>IFERROR(-G11/G9, 0)</f>
        <v>0.4484577273453732</v>
      </c>
      <c r="H58" s="96">
        <f>IFERROR(-H11/H9, 0)</f>
        <v>0.45027717117419791</v>
      </c>
      <c r="I58" s="96">
        <f>IFERROR(-I11/I9, 0)</f>
        <v>0.36676590993673241</v>
      </c>
      <c r="J58" s="96">
        <f>'A1'!F12</f>
        <v>0.36699999999999999</v>
      </c>
      <c r="K58" s="96">
        <f>'A1'!G12</f>
        <v>0.36699999999999999</v>
      </c>
      <c r="L58" s="96">
        <f>'A1'!H12</f>
        <v>0.36699999999999999</v>
      </c>
      <c r="M58" s="96">
        <f>'A1'!I12</f>
        <v>0.36</v>
      </c>
      <c r="N58" s="97">
        <f>'A1'!J12</f>
        <v>0.36</v>
      </c>
    </row>
    <row r="59" spans="2:15" x14ac:dyDescent="0.2">
      <c r="B59" s="47" t="s">
        <v>49</v>
      </c>
      <c r="C59" s="23"/>
      <c r="D59" s="23"/>
      <c r="E59" s="96">
        <f>IFERROR(-E14/E9, 0)</f>
        <v>2.3867809057527539E-2</v>
      </c>
      <c r="F59" s="96">
        <f>IFERROR(-F14/F9, 0)</f>
        <v>2.1024967148488831E-2</v>
      </c>
      <c r="G59" s="96">
        <f>IFERROR(-G14/G9, 0)</f>
        <v>2.3893239571679718E-2</v>
      </c>
      <c r="H59" s="96">
        <f>IFERROR(-H14/H9, 0)</f>
        <v>2.7717117419788342E-2</v>
      </c>
      <c r="I59" s="96">
        <f>IFERROR(-I14/I9, 0)</f>
        <v>3.6285820617789358E-2</v>
      </c>
      <c r="J59" s="96">
        <f>'A1'!F17</f>
        <v>3.5999999999999997E-2</v>
      </c>
      <c r="K59" s="96">
        <f>'A1'!G17</f>
        <v>3.5999999999999997E-2</v>
      </c>
      <c r="L59" s="96">
        <f>'A1'!H17</f>
        <v>3.5999999999999997E-2</v>
      </c>
      <c r="M59" s="96">
        <f>'A1'!I17</f>
        <v>3.4000000000000002E-2</v>
      </c>
      <c r="N59" s="97">
        <f>'A1'!J17</f>
        <v>3.4000000000000002E-2</v>
      </c>
    </row>
    <row r="60" spans="2:15" x14ac:dyDescent="0.2">
      <c r="B60" s="47" t="s">
        <v>50</v>
      </c>
      <c r="C60" s="23"/>
      <c r="D60" s="23"/>
      <c r="E60" s="96">
        <f>IFERROR(-E17/E9, 0)</f>
        <v>8.8025295797633615E-2</v>
      </c>
      <c r="F60" s="96">
        <f>IFERROR(-F17/F9, 0)</f>
        <v>7.5147831800262813E-2</v>
      </c>
      <c r="G60" s="96">
        <f>IFERROR(-G17/G9, 0)</f>
        <v>8.3266741249800227E-2</v>
      </c>
      <c r="H60" s="96">
        <f>IFERROR(-H17/H9, 0)</f>
        <v>8.3151352259365027E-2</v>
      </c>
      <c r="I60" s="96">
        <f>IFERROR(-I17/I9, 0)</f>
        <v>8.5969482694454785E-2</v>
      </c>
      <c r="J60" s="96">
        <f>'A1'!F22</f>
        <v>8.5999999999999993E-2</v>
      </c>
      <c r="K60" s="96">
        <f>'A1'!G22</f>
        <v>8.5999999999999993E-2</v>
      </c>
      <c r="L60" s="96">
        <f>'A1'!H22</f>
        <v>8.5999999999999993E-2</v>
      </c>
      <c r="M60" s="96">
        <f>'A1'!I22</f>
        <v>8.5999999999999993E-2</v>
      </c>
      <c r="N60" s="97">
        <f>'A1'!J22</f>
        <v>8.5999999999999993E-2</v>
      </c>
    </row>
    <row r="61" spans="2:15" x14ac:dyDescent="0.2">
      <c r="B61" s="47" t="s">
        <v>60</v>
      </c>
      <c r="C61" s="23"/>
      <c r="D61" s="23"/>
      <c r="E61" s="96">
        <f>IFERROR(-E24/E9, 0)</f>
        <v>0.11893104855161159</v>
      </c>
      <c r="F61" s="96">
        <f>IFERROR(-F24/F9, 0)</f>
        <v>8.3771353482260183E-2</v>
      </c>
      <c r="G61" s="96">
        <f>IFERROR(-G24/G9, 0)</f>
        <v>9.9168930797506799E-2</v>
      </c>
      <c r="H61" s="96">
        <f>IFERROR(-H24/H9, 0)</f>
        <v>0.1326222072904418</v>
      </c>
      <c r="I61" s="96">
        <f>IFERROR(-I24/I9, 0)</f>
        <v>0.23967249720878303</v>
      </c>
      <c r="J61" s="96">
        <f>'A1'!F28</f>
        <v>0.157</v>
      </c>
      <c r="K61" s="96">
        <f>'A1'!G28</f>
        <v>0.157</v>
      </c>
      <c r="L61" s="96">
        <f>'A1'!H28</f>
        <v>0.157</v>
      </c>
      <c r="M61" s="96">
        <f>'A1'!I28</f>
        <v>0.157</v>
      </c>
      <c r="N61" s="97">
        <f>'A1'!J28</f>
        <v>0.157</v>
      </c>
    </row>
    <row r="62" spans="2:15" x14ac:dyDescent="0.2">
      <c r="B62" s="47" t="s">
        <v>57</v>
      </c>
      <c r="C62" s="23"/>
      <c r="D62" s="23"/>
      <c r="E62" s="96">
        <f>IFERROR(-E20/E18, 0)</f>
        <v>0.19856887298747763</v>
      </c>
      <c r="F62" s="96">
        <f>IFERROR(-F20/F18, 0)</f>
        <v>0.17318544463903482</v>
      </c>
      <c r="G62" s="96">
        <f>IFERROR(-G20/G18, 0)</f>
        <v>4.4955943175687824E-2</v>
      </c>
      <c r="H62" s="96">
        <f>IFERROR(-H20/H18, 0)</f>
        <v>0.11885167464114832</v>
      </c>
      <c r="I62" s="96">
        <f>IFERROR(-I20/I18, 0)</f>
        <v>0.17625637290604515</v>
      </c>
      <c r="J62" s="96">
        <v>0.17599999999999999</v>
      </c>
      <c r="K62" s="96">
        <v>0.17599999999999999</v>
      </c>
      <c r="L62" s="96">
        <v>0.17599999999999999</v>
      </c>
      <c r="M62" s="96">
        <v>0.17599999999999999</v>
      </c>
      <c r="N62" s="98">
        <v>0.17599999999999999</v>
      </c>
    </row>
    <row r="63" spans="2:15" x14ac:dyDescent="0.2">
      <c r="B63" s="47" t="s">
        <v>61</v>
      </c>
      <c r="C63" s="23"/>
      <c r="D63" s="23"/>
      <c r="E63" s="99">
        <f>WCP!E23</f>
        <v>-5.6609547123623011E-2</v>
      </c>
      <c r="F63" s="99">
        <f>WCP!F23</f>
        <v>-5.9296977660972403E-2</v>
      </c>
      <c r="G63" s="99">
        <f>WCP!G23</f>
        <v>5.3540035160620107E-2</v>
      </c>
      <c r="H63" s="99">
        <f>WCP!H23</f>
        <v>6.9124811019653953E-2</v>
      </c>
      <c r="I63" s="99">
        <f>WCP!I23</f>
        <v>4.4659471529586901E-2</v>
      </c>
      <c r="J63" s="100">
        <f ca="1">WCP!J23</f>
        <v>4.0429109589041057E-2</v>
      </c>
      <c r="K63" s="100">
        <f ca="1">WCP!K23</f>
        <v>4.0429109589041071E-2</v>
      </c>
      <c r="L63" s="100">
        <f ca="1">WCP!L23</f>
        <v>4.0429109589041071E-2</v>
      </c>
      <c r="M63" s="100">
        <f ca="1">WCP!M23</f>
        <v>3.9328767123287658E-2</v>
      </c>
      <c r="N63" s="101">
        <f ca="1">WCP!N23</f>
        <v>3.9328767123287658E-2</v>
      </c>
    </row>
  </sheetData>
  <mergeCells count="2">
    <mergeCell ref="B50:B54"/>
    <mergeCell ref="I50:I54"/>
  </mergeCells>
  <conditionalFormatting sqref="D50:H5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">
      <colorScale>
        <cfvo type="min"/>
        <cfvo type="max"/>
        <color theme="3" tint="0.89999084444715716"/>
        <color theme="3" tint="0.499984740745262"/>
      </colorScale>
    </cfRule>
    <cfRule type="colorScale" priority="4">
      <colorScale>
        <cfvo type="min"/>
        <cfvo type="max"/>
        <color theme="3" tint="0.89999084444715716"/>
        <color theme="3" tint="0.499984740745262"/>
      </colorScale>
    </cfRule>
  </conditionalFormatting>
  <conditionalFormatting sqref="K50:O5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1">
    <dataValidation type="list" allowBlank="1" showInputMessage="1" showErrorMessage="1" sqref="C5" xr:uid="{4DE1AED6-8455-42DE-82EB-81EC8E2F9C70}">
      <formula1>"Downside, Base, Upside"</formula1>
    </dataValidation>
  </dataValidations>
  <pageMargins left="0.7" right="0.7" top="0.75" bottom="0.75" header="0.3" footer="0.3"/>
  <ignoredErrors>
    <ignoredError sqref="E19:N19 E4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E26F-A1B0-42DA-B3BE-035BFAE0B778}">
  <dimension ref="A1:N35"/>
  <sheetViews>
    <sheetView showGridLines="0" workbookViewId="0">
      <selection activeCell="J19" sqref="J19"/>
    </sheetView>
  </sheetViews>
  <sheetFormatPr defaultColWidth="9" defaultRowHeight="12.75" x14ac:dyDescent="0.2"/>
  <cols>
    <col min="1" max="1" width="0.85546875" style="1" customWidth="1"/>
    <col min="2" max="16384" width="9" style="1"/>
  </cols>
  <sheetData>
    <row r="1" spans="1:14" x14ac:dyDescent="0.2">
      <c r="A1" s="55"/>
      <c r="B1" s="56" t="s">
        <v>92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2">
      <c r="A2" s="55"/>
      <c r="B2" s="56" t="s">
        <v>23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x14ac:dyDescent="0.2">
      <c r="A3" s="55"/>
      <c r="B3" s="57" t="s">
        <v>93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5" spans="1:14" x14ac:dyDescent="0.2">
      <c r="E5" s="60" t="s">
        <v>4</v>
      </c>
      <c r="F5" s="60"/>
      <c r="G5" s="60"/>
      <c r="H5" s="60"/>
      <c r="I5" s="60"/>
      <c r="J5" s="3" t="s">
        <v>10</v>
      </c>
      <c r="K5" s="3"/>
      <c r="L5" s="3"/>
      <c r="M5" s="3"/>
      <c r="N5" s="3"/>
    </row>
    <row r="6" spans="1:14" x14ac:dyDescent="0.2">
      <c r="E6" s="10">
        <v>43830</v>
      </c>
      <c r="F6" s="10">
        <f>EOMONTH(E6,12)</f>
        <v>44196</v>
      </c>
      <c r="G6" s="10">
        <f t="shared" ref="G6:N6" si="0">EOMONTH(F6,12)</f>
        <v>44561</v>
      </c>
      <c r="H6" s="10">
        <f t="shared" si="0"/>
        <v>44926</v>
      </c>
      <c r="I6" s="10">
        <f t="shared" si="0"/>
        <v>45291</v>
      </c>
      <c r="J6" s="11">
        <f t="shared" si="0"/>
        <v>45657</v>
      </c>
      <c r="K6" s="11">
        <f t="shared" si="0"/>
        <v>46022</v>
      </c>
      <c r="L6" s="11">
        <f t="shared" si="0"/>
        <v>46387</v>
      </c>
      <c r="M6" s="11">
        <f t="shared" si="0"/>
        <v>46752</v>
      </c>
      <c r="N6" s="11">
        <f t="shared" si="0"/>
        <v>47118</v>
      </c>
    </row>
    <row r="7" spans="1:14" x14ac:dyDescent="0.2">
      <c r="B7" s="1" t="s">
        <v>5</v>
      </c>
      <c r="E7" s="5">
        <f>DCF!E9</f>
        <v>9804</v>
      </c>
      <c r="F7" s="5">
        <f>DCF!F9</f>
        <v>12176</v>
      </c>
      <c r="G7" s="5">
        <f>DCF!G9</f>
        <v>12514</v>
      </c>
      <c r="H7" s="5">
        <f>DCF!H9</f>
        <v>11906</v>
      </c>
      <c r="I7" s="5">
        <f>DCF!I9</f>
        <v>10748</v>
      </c>
      <c r="J7" s="5">
        <f>DCF!J9</f>
        <v>11177.92</v>
      </c>
      <c r="K7" s="5">
        <f>DCF!K9</f>
        <v>11625.0368</v>
      </c>
      <c r="L7" s="5">
        <f>DCF!L9</f>
        <v>12090.038272</v>
      </c>
      <c r="M7" s="5">
        <f>DCF!M9</f>
        <v>12573.639802879999</v>
      </c>
      <c r="N7" s="5">
        <f>DCF!N9</f>
        <v>13076.5853949952</v>
      </c>
    </row>
    <row r="8" spans="1:14" x14ac:dyDescent="0.2">
      <c r="B8" s="1" t="s">
        <v>6</v>
      </c>
      <c r="E8" s="5">
        <f>-DCF!E11</f>
        <v>4794</v>
      </c>
      <c r="F8" s="5">
        <f>-DCF!F11</f>
        <v>5866</v>
      </c>
      <c r="G8" s="5">
        <f>-DCF!G11</f>
        <v>5612</v>
      </c>
      <c r="H8" s="5">
        <f>-DCF!H11</f>
        <v>5361</v>
      </c>
      <c r="I8" s="5">
        <f>-DCF!I11</f>
        <v>3942</v>
      </c>
      <c r="J8" s="5">
        <f>-DCF!J11</f>
        <v>4102.2966399999996</v>
      </c>
      <c r="K8" s="5">
        <f>-DCF!K11</f>
        <v>4266.3885055999999</v>
      </c>
      <c r="L8" s="5">
        <f>-DCF!L11</f>
        <v>4437.044045824</v>
      </c>
      <c r="M8" s="5">
        <f>-DCF!M11</f>
        <v>4526.5103290367997</v>
      </c>
      <c r="N8" s="5">
        <f>-DCF!N11</f>
        <v>4707.5707421982715</v>
      </c>
    </row>
    <row r="9" spans="1:14" x14ac:dyDescent="0.2"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">
      <c r="B10" s="16" t="s">
        <v>24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B11" s="1" t="s">
        <v>27</v>
      </c>
      <c r="E11" s="5">
        <v>1925</v>
      </c>
      <c r="F11" s="5">
        <v>2202</v>
      </c>
      <c r="G11" s="5">
        <v>2084</v>
      </c>
      <c r="H11" s="5">
        <v>2247</v>
      </c>
      <c r="I11" s="5">
        <v>2700</v>
      </c>
      <c r="J11" s="5">
        <f>J7/365*J28</f>
        <v>2266.2084383561642</v>
      </c>
      <c r="K11" s="5">
        <f t="shared" ref="K11:N11" si="1">K7/365*K28</f>
        <v>2356.856775890411</v>
      </c>
      <c r="L11" s="5">
        <f t="shared" si="1"/>
        <v>2451.131046926027</v>
      </c>
      <c r="M11" s="5">
        <f t="shared" si="1"/>
        <v>2549.1762888030685</v>
      </c>
      <c r="N11" s="5">
        <f t="shared" si="1"/>
        <v>2651.1433403551914</v>
      </c>
    </row>
    <row r="12" spans="1:14" x14ac:dyDescent="0.2">
      <c r="B12" s="1" t="s">
        <v>28</v>
      </c>
      <c r="E12" s="5">
        <v>221</v>
      </c>
      <c r="F12" s="5">
        <v>189</v>
      </c>
      <c r="G12" s="5">
        <v>151</v>
      </c>
      <c r="H12" s="5">
        <v>0</v>
      </c>
      <c r="I12" s="5">
        <v>0</v>
      </c>
      <c r="J12" s="5">
        <f ca="1">J8/365*J29</f>
        <v>0</v>
      </c>
      <c r="K12" s="5">
        <f t="shared" ref="K12:N12" ca="1" si="2">K8/365*K29</f>
        <v>0</v>
      </c>
      <c r="L12" s="5">
        <f t="shared" ca="1" si="2"/>
        <v>0</v>
      </c>
      <c r="M12" s="5">
        <f t="shared" ca="1" si="2"/>
        <v>0</v>
      </c>
      <c r="N12" s="5">
        <f t="shared" ca="1" si="2"/>
        <v>0</v>
      </c>
    </row>
    <row r="13" spans="1:14" x14ac:dyDescent="0.2">
      <c r="B13" s="13" t="s">
        <v>29</v>
      </c>
      <c r="C13" s="13"/>
      <c r="D13" s="13"/>
      <c r="E13" s="12">
        <v>441</v>
      </c>
      <c r="F13" s="12">
        <v>482</v>
      </c>
      <c r="G13" s="12">
        <v>916</v>
      </c>
      <c r="H13" s="12">
        <v>2684</v>
      </c>
      <c r="I13" s="12">
        <v>870</v>
      </c>
      <c r="J13" s="12">
        <f>J8*J30</f>
        <v>1210.1775087999997</v>
      </c>
      <c r="K13" s="12">
        <f t="shared" ref="K13:N13" si="3">K8*K30</f>
        <v>1258.584609152</v>
      </c>
      <c r="L13" s="12">
        <f t="shared" si="3"/>
        <v>1308.92799351808</v>
      </c>
      <c r="M13" s="12">
        <f t="shared" si="3"/>
        <v>1335.3205470658559</v>
      </c>
      <c r="N13" s="12">
        <f t="shared" si="3"/>
        <v>1388.7333689484901</v>
      </c>
    </row>
    <row r="14" spans="1:14" x14ac:dyDescent="0.2">
      <c r="B14" s="8" t="s">
        <v>26</v>
      </c>
      <c r="E14" s="9">
        <f>SUM(E11:E13)</f>
        <v>2587</v>
      </c>
      <c r="F14" s="9">
        <f t="shared" ref="F14:N14" si="4">SUM(F11:F13)</f>
        <v>2873</v>
      </c>
      <c r="G14" s="9">
        <f t="shared" si="4"/>
        <v>3151</v>
      </c>
      <c r="H14" s="9">
        <f t="shared" si="4"/>
        <v>4931</v>
      </c>
      <c r="I14" s="9">
        <f t="shared" si="4"/>
        <v>3570</v>
      </c>
      <c r="J14" s="9">
        <f t="shared" ca="1" si="4"/>
        <v>3476.3859471561636</v>
      </c>
      <c r="K14" s="9">
        <f t="shared" ca="1" si="4"/>
        <v>3615.4413850424107</v>
      </c>
      <c r="L14" s="9">
        <f t="shared" ca="1" si="4"/>
        <v>3760.0590404441073</v>
      </c>
      <c r="M14" s="9">
        <f t="shared" ca="1" si="4"/>
        <v>3884.4968358689243</v>
      </c>
      <c r="N14" s="9">
        <f t="shared" ca="1" si="4"/>
        <v>4039.8767093036813</v>
      </c>
    </row>
    <row r="15" spans="1:14" x14ac:dyDescent="0.2"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">
      <c r="B16" s="16" t="s">
        <v>25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">
      <c r="B17" s="1" t="s">
        <v>31</v>
      </c>
      <c r="E17" s="5">
        <v>765</v>
      </c>
      <c r="F17" s="5">
        <v>862</v>
      </c>
      <c r="G17" s="5">
        <v>650</v>
      </c>
      <c r="H17" s="5">
        <v>511</v>
      </c>
      <c r="I17" s="5">
        <v>799</v>
      </c>
      <c r="J17" s="5">
        <f>J8/365*J33</f>
        <v>565.33019449863002</v>
      </c>
      <c r="K17" s="5">
        <f t="shared" ref="K17:N17" si="5">K8/365*K33</f>
        <v>587.94340227857526</v>
      </c>
      <c r="L17" s="5">
        <f t="shared" si="5"/>
        <v>611.46113836971824</v>
      </c>
      <c r="M17" s="5">
        <f t="shared" si="5"/>
        <v>623.79032753575621</v>
      </c>
      <c r="N17" s="5">
        <f t="shared" si="5"/>
        <v>648.74194063718642</v>
      </c>
    </row>
    <row r="18" spans="2:14" x14ac:dyDescent="0.2">
      <c r="B18" s="1" t="s">
        <v>33</v>
      </c>
      <c r="E18" s="5">
        <v>258</v>
      </c>
      <c r="F18" s="5">
        <v>227</v>
      </c>
      <c r="G18" s="5">
        <v>270</v>
      </c>
      <c r="H18" s="5">
        <v>180</v>
      </c>
      <c r="I18" s="5">
        <v>191</v>
      </c>
      <c r="J18" s="5">
        <f>J7*J34</f>
        <v>201.20255999999998</v>
      </c>
      <c r="K18" s="5">
        <f t="shared" ref="K18:N18" si="6">K7*K34</f>
        <v>209.25066239999998</v>
      </c>
      <c r="L18" s="5">
        <f t="shared" si="6"/>
        <v>217.62068889599999</v>
      </c>
      <c r="M18" s="5">
        <f t="shared" si="6"/>
        <v>226.32551645183997</v>
      </c>
      <c r="N18" s="5">
        <f t="shared" si="6"/>
        <v>235.37853710991357</v>
      </c>
    </row>
    <row r="19" spans="2:14" x14ac:dyDescent="0.2">
      <c r="B19" s="13" t="s">
        <v>32</v>
      </c>
      <c r="C19" s="13"/>
      <c r="D19" s="13"/>
      <c r="E19" s="12">
        <v>2119</v>
      </c>
      <c r="F19" s="12">
        <v>2506</v>
      </c>
      <c r="G19" s="12">
        <v>1561</v>
      </c>
      <c r="H19" s="12">
        <v>3417</v>
      </c>
      <c r="I19" s="12">
        <v>2100</v>
      </c>
      <c r="J19" s="12">
        <f>J7*J35</f>
        <v>2257.93984</v>
      </c>
      <c r="K19" s="12">
        <f t="shared" ref="K19:N19" si="7">K7*K35</f>
        <v>2348.2574336000002</v>
      </c>
      <c r="L19" s="12">
        <f t="shared" si="7"/>
        <v>2442.1877309440001</v>
      </c>
      <c r="M19" s="12">
        <f t="shared" si="7"/>
        <v>2539.8752401817601</v>
      </c>
      <c r="N19" s="12">
        <f t="shared" si="7"/>
        <v>2641.4702497890307</v>
      </c>
    </row>
    <row r="20" spans="2:14" x14ac:dyDescent="0.2">
      <c r="B20" s="8" t="s">
        <v>30</v>
      </c>
      <c r="E20" s="9">
        <f>SUM(E17:E19)</f>
        <v>3142</v>
      </c>
      <c r="F20" s="9">
        <f t="shared" ref="F20:N20" si="8">SUM(F17:F19)</f>
        <v>3595</v>
      </c>
      <c r="G20" s="9">
        <f t="shared" si="8"/>
        <v>2481</v>
      </c>
      <c r="H20" s="9">
        <f t="shared" si="8"/>
        <v>4108</v>
      </c>
      <c r="I20" s="9">
        <f t="shared" si="8"/>
        <v>3090</v>
      </c>
      <c r="J20" s="9">
        <f t="shared" si="8"/>
        <v>3024.4725944986299</v>
      </c>
      <c r="K20" s="9">
        <f t="shared" si="8"/>
        <v>3145.4514982785754</v>
      </c>
      <c r="L20" s="9">
        <f t="shared" si="8"/>
        <v>3271.2695582097185</v>
      </c>
      <c r="M20" s="9">
        <f t="shared" si="8"/>
        <v>3389.9910841693563</v>
      </c>
      <c r="N20" s="9">
        <f t="shared" si="8"/>
        <v>3525.5907275361305</v>
      </c>
    </row>
    <row r="21" spans="2:14" x14ac:dyDescent="0.2"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x14ac:dyDescent="0.2">
      <c r="B22" s="8" t="s">
        <v>22</v>
      </c>
      <c r="E22" s="9">
        <f>SUM(E14, -E20)</f>
        <v>-555</v>
      </c>
      <c r="F22" s="9">
        <f>SUM(F14, -F20)</f>
        <v>-722</v>
      </c>
      <c r="G22" s="9">
        <f>SUM(G14, -G20)</f>
        <v>670</v>
      </c>
      <c r="H22" s="9">
        <f>SUM(H14, -H20)</f>
        <v>823</v>
      </c>
      <c r="I22" s="9">
        <f>SUM(I14, -I20)</f>
        <v>480</v>
      </c>
      <c r="J22" s="9">
        <f t="shared" ref="J22:N22" ca="1" si="9">SUM(J14, -J20)</f>
        <v>451.91335265753378</v>
      </c>
      <c r="K22" s="9">
        <f t="shared" ca="1" si="9"/>
        <v>469.98988676383533</v>
      </c>
      <c r="L22" s="9">
        <f t="shared" ca="1" si="9"/>
        <v>488.78948223438874</v>
      </c>
      <c r="M22" s="9">
        <f t="shared" ca="1" si="9"/>
        <v>494.50575169956801</v>
      </c>
      <c r="N22" s="9">
        <f t="shared" ca="1" si="9"/>
        <v>514.28598176755077</v>
      </c>
    </row>
    <row r="23" spans="2:14" x14ac:dyDescent="0.2">
      <c r="B23" s="4" t="s">
        <v>58</v>
      </c>
      <c r="E23" s="48">
        <f>IFERROR(E22/E7, 0)</f>
        <v>-5.6609547123623011E-2</v>
      </c>
      <c r="F23" s="48">
        <f t="shared" ref="F23:N23" si="10">IFERROR(F22/F7, 0)</f>
        <v>-5.9296977660972403E-2</v>
      </c>
      <c r="G23" s="48">
        <f t="shared" si="10"/>
        <v>5.3540035160620107E-2</v>
      </c>
      <c r="H23" s="48">
        <f t="shared" si="10"/>
        <v>6.9124811019653953E-2</v>
      </c>
      <c r="I23" s="48">
        <f t="shared" si="10"/>
        <v>4.4659471529586901E-2</v>
      </c>
      <c r="J23" s="48">
        <f t="shared" ca="1" si="10"/>
        <v>4.0429109589041057E-2</v>
      </c>
      <c r="K23" s="48">
        <f t="shared" ca="1" si="10"/>
        <v>4.0429109589041071E-2</v>
      </c>
      <c r="L23" s="48">
        <f t="shared" ca="1" si="10"/>
        <v>4.0429109589041071E-2</v>
      </c>
      <c r="M23" s="48">
        <f t="shared" ca="1" si="10"/>
        <v>3.9328767123287658E-2</v>
      </c>
      <c r="N23" s="48">
        <f t="shared" ca="1" si="10"/>
        <v>3.9328767123287658E-2</v>
      </c>
    </row>
    <row r="24" spans="2:14" x14ac:dyDescent="0.2">
      <c r="B24" s="8" t="s">
        <v>34</v>
      </c>
      <c r="E24" s="9">
        <v>0</v>
      </c>
      <c r="F24" s="9">
        <f t="shared" ref="F24:N24" si="11">IFERROR(E22-F22,0)</f>
        <v>167</v>
      </c>
      <c r="G24" s="9">
        <f t="shared" si="11"/>
        <v>-1392</v>
      </c>
      <c r="H24" s="9">
        <f t="shared" si="11"/>
        <v>-153</v>
      </c>
      <c r="I24" s="9">
        <f t="shared" si="11"/>
        <v>343</v>
      </c>
      <c r="J24" s="9">
        <f t="shared" ca="1" si="11"/>
        <v>28.086647342466222</v>
      </c>
      <c r="K24" s="9">
        <f t="shared" ca="1" si="11"/>
        <v>-18.076534106301551</v>
      </c>
      <c r="L24" s="9">
        <f t="shared" ca="1" si="11"/>
        <v>-18.799595470553413</v>
      </c>
      <c r="M24" s="9">
        <f t="shared" ca="1" si="11"/>
        <v>-5.7162694651792663</v>
      </c>
      <c r="N24" s="9">
        <f t="shared" ca="1" si="11"/>
        <v>-19.780230067982757</v>
      </c>
    </row>
    <row r="25" spans="2:14" x14ac:dyDescent="0.2"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x14ac:dyDescent="0.2">
      <c r="B26" s="16" t="s">
        <v>35</v>
      </c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x14ac:dyDescent="0.2">
      <c r="B27" s="87" t="s">
        <v>36</v>
      </c>
      <c r="C27" s="88"/>
      <c r="D27" s="88"/>
      <c r="E27" s="102"/>
      <c r="F27" s="102"/>
      <c r="G27" s="102"/>
      <c r="H27" s="102"/>
      <c r="I27" s="102"/>
      <c r="J27" s="102"/>
      <c r="K27" s="102"/>
      <c r="L27" s="102"/>
      <c r="M27" s="102"/>
      <c r="N27" s="103"/>
    </row>
    <row r="28" spans="2:14" x14ac:dyDescent="0.2">
      <c r="B28" s="89" t="s">
        <v>37</v>
      </c>
      <c r="C28" s="90"/>
      <c r="D28" s="90"/>
      <c r="E28" s="104">
        <f>E11/E7*365</f>
        <v>71.667176662586698</v>
      </c>
      <c r="F28" s="104">
        <f t="shared" ref="F28:I28" si="12">F11/F7*365</f>
        <v>66.00936268068331</v>
      </c>
      <c r="G28" s="104">
        <f t="shared" si="12"/>
        <v>60.784721112354163</v>
      </c>
      <c r="H28" s="104">
        <f t="shared" si="12"/>
        <v>68.885855870989417</v>
      </c>
      <c r="I28" s="104">
        <f t="shared" si="12"/>
        <v>91.69147748418311</v>
      </c>
      <c r="J28" s="104">
        <f>'A2'!F7</f>
        <v>74</v>
      </c>
      <c r="K28" s="104">
        <f>'A2'!G7</f>
        <v>74</v>
      </c>
      <c r="L28" s="104">
        <f>'A2'!H7</f>
        <v>74</v>
      </c>
      <c r="M28" s="104">
        <f>'A2'!I7</f>
        <v>74</v>
      </c>
      <c r="N28" s="105">
        <f>'A2'!J7</f>
        <v>74</v>
      </c>
    </row>
    <row r="29" spans="2:14" x14ac:dyDescent="0.2">
      <c r="B29" s="89" t="s">
        <v>38</v>
      </c>
      <c r="C29" s="90"/>
      <c r="D29" s="90"/>
      <c r="E29" s="104">
        <f>E12/E8*365</f>
        <v>16.826241134751772</v>
      </c>
      <c r="F29" s="104">
        <f t="shared" ref="F29:G29" si="13">F12/F8*365</f>
        <v>11.760143198090693</v>
      </c>
      <c r="G29" s="104">
        <f t="shared" si="13"/>
        <v>9.820919458303635</v>
      </c>
      <c r="H29" s="104">
        <f t="shared" ref="H29:N29" si="14">H12/H8*365</f>
        <v>0</v>
      </c>
      <c r="I29" s="104">
        <f t="shared" si="14"/>
        <v>0</v>
      </c>
      <c r="J29" s="104">
        <f t="shared" ca="1" si="14"/>
        <v>0</v>
      </c>
      <c r="K29" s="104">
        <f t="shared" ca="1" si="14"/>
        <v>0</v>
      </c>
      <c r="L29" s="104">
        <f t="shared" ca="1" si="14"/>
        <v>0</v>
      </c>
      <c r="M29" s="104">
        <f t="shared" ca="1" si="14"/>
        <v>0</v>
      </c>
      <c r="N29" s="106">
        <f t="shared" ca="1" si="14"/>
        <v>0</v>
      </c>
    </row>
    <row r="30" spans="2:14" x14ac:dyDescent="0.2">
      <c r="B30" s="89" t="s">
        <v>39</v>
      </c>
      <c r="C30" s="90"/>
      <c r="D30" s="90"/>
      <c r="E30" s="107">
        <f>E13/E8</f>
        <v>9.198998748435544E-2</v>
      </c>
      <c r="F30" s="107">
        <f>F13/F8</f>
        <v>8.2168428230480733E-2</v>
      </c>
      <c r="G30" s="107">
        <f>G13/G8</f>
        <v>0.1632216678545973</v>
      </c>
      <c r="H30" s="107">
        <f>H13/H8</f>
        <v>0.5006528632717776</v>
      </c>
      <c r="I30" s="107">
        <f>I13/I8</f>
        <v>0.22070015220700151</v>
      </c>
      <c r="J30" s="107">
        <f>'A2'!F12</f>
        <v>0.29499999999999998</v>
      </c>
      <c r="K30" s="107">
        <f>'A2'!G12</f>
        <v>0.29499999999999998</v>
      </c>
      <c r="L30" s="107">
        <f>'A2'!H12</f>
        <v>0.29499999999999998</v>
      </c>
      <c r="M30" s="107">
        <f>'A2'!I12</f>
        <v>0.29499999999999998</v>
      </c>
      <c r="N30" s="108">
        <f>'A2'!J12</f>
        <v>0.29499999999999998</v>
      </c>
    </row>
    <row r="31" spans="2:14" x14ac:dyDescent="0.2">
      <c r="B31" s="89"/>
      <c r="C31" s="90"/>
      <c r="D31" s="90"/>
      <c r="E31" s="109"/>
      <c r="F31" s="109"/>
      <c r="G31" s="109"/>
      <c r="H31" s="109"/>
      <c r="I31" s="109"/>
      <c r="J31" s="109"/>
      <c r="K31" s="109"/>
      <c r="L31" s="109"/>
      <c r="M31" s="109"/>
      <c r="N31" s="106"/>
    </row>
    <row r="32" spans="2:14" x14ac:dyDescent="0.2">
      <c r="B32" s="91" t="s">
        <v>40</v>
      </c>
      <c r="C32" s="90"/>
      <c r="D32" s="90"/>
      <c r="E32" s="110"/>
      <c r="F32" s="110"/>
      <c r="G32" s="110"/>
      <c r="H32" s="110"/>
      <c r="I32" s="110"/>
      <c r="J32" s="110"/>
      <c r="K32" s="110"/>
      <c r="L32" s="110"/>
      <c r="M32" s="110"/>
      <c r="N32" s="111"/>
    </row>
    <row r="33" spans="2:14" x14ac:dyDescent="0.2">
      <c r="B33" s="89" t="s">
        <v>41</v>
      </c>
      <c r="C33" s="90"/>
      <c r="D33" s="90"/>
      <c r="E33" s="112">
        <f>E17/E8*365</f>
        <v>58.244680851063833</v>
      </c>
      <c r="F33" s="112">
        <f t="shared" ref="F33:I33" si="15">F17/F8*365</f>
        <v>53.636208660075013</v>
      </c>
      <c r="G33" s="112">
        <f t="shared" si="15"/>
        <v>42.275481111903069</v>
      </c>
      <c r="H33" s="112">
        <f t="shared" si="15"/>
        <v>34.791083753031145</v>
      </c>
      <c r="I33" s="112">
        <f t="shared" si="15"/>
        <v>73.981481481481481</v>
      </c>
      <c r="J33" s="112">
        <f>'A2'!F18</f>
        <v>50.3</v>
      </c>
      <c r="K33" s="112">
        <f>'A2'!G18</f>
        <v>50.3</v>
      </c>
      <c r="L33" s="112">
        <f>'A2'!H18</f>
        <v>50.3</v>
      </c>
      <c r="M33" s="112">
        <f>'A2'!I18</f>
        <v>50.3</v>
      </c>
      <c r="N33" s="113">
        <f>'A2'!J18</f>
        <v>50.3</v>
      </c>
    </row>
    <row r="34" spans="2:14" x14ac:dyDescent="0.2">
      <c r="B34" s="89" t="s">
        <v>94</v>
      </c>
      <c r="C34" s="90"/>
      <c r="D34" s="90"/>
      <c r="E34" s="107">
        <f>E18/E7</f>
        <v>2.6315789473684209E-2</v>
      </c>
      <c r="F34" s="107">
        <f t="shared" ref="F34:I34" si="16">F18/F7</f>
        <v>1.8643232588699082E-2</v>
      </c>
      <c r="G34" s="107">
        <f t="shared" si="16"/>
        <v>2.1575835064727506E-2</v>
      </c>
      <c r="H34" s="107">
        <f t="shared" si="16"/>
        <v>1.5118427683520914E-2</v>
      </c>
      <c r="I34" s="107">
        <f t="shared" si="16"/>
        <v>1.7770748046148119E-2</v>
      </c>
      <c r="J34" s="107">
        <f>'A2'!F23</f>
        <v>1.7999999999999999E-2</v>
      </c>
      <c r="K34" s="107">
        <f>'A2'!G23</f>
        <v>1.7999999999999999E-2</v>
      </c>
      <c r="L34" s="107">
        <f>'A2'!H23</f>
        <v>1.7999999999999999E-2</v>
      </c>
      <c r="M34" s="107">
        <f>'A2'!I23</f>
        <v>1.7999999999999999E-2</v>
      </c>
      <c r="N34" s="108">
        <f>'A2'!J23</f>
        <v>1.7999999999999999E-2</v>
      </c>
    </row>
    <row r="35" spans="2:14" x14ac:dyDescent="0.2">
      <c r="B35" s="92" t="s">
        <v>42</v>
      </c>
      <c r="C35" s="93"/>
      <c r="D35" s="93"/>
      <c r="E35" s="114">
        <f>E19/E7</f>
        <v>0.21613627090983273</v>
      </c>
      <c r="F35" s="114">
        <f t="shared" ref="F35:I35" si="17">F19/F7</f>
        <v>0.20581471747700394</v>
      </c>
      <c r="G35" s="114">
        <f t="shared" si="17"/>
        <v>0.12474029087422087</v>
      </c>
      <c r="H35" s="114">
        <f t="shared" si="17"/>
        <v>0.28699815219217201</v>
      </c>
      <c r="I35" s="114">
        <f t="shared" si="17"/>
        <v>0.19538518794194268</v>
      </c>
      <c r="J35" s="114">
        <f>'A2'!F29</f>
        <v>0.20200000000000001</v>
      </c>
      <c r="K35" s="114">
        <f>'A2'!G29</f>
        <v>0.20200000000000001</v>
      </c>
      <c r="L35" s="114">
        <f>'A2'!H29</f>
        <v>0.20200000000000001</v>
      </c>
      <c r="M35" s="114">
        <f>'A2'!I29</f>
        <v>0.20200000000000001</v>
      </c>
      <c r="N35" s="115">
        <f>'A2'!J29</f>
        <v>0.20200000000000001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FDD1-E45E-4CAE-98C8-85324183F5AC}">
  <dimension ref="A1:K25"/>
  <sheetViews>
    <sheetView showGridLines="0" workbookViewId="0">
      <selection activeCell="F26" sqref="F26"/>
    </sheetView>
  </sheetViews>
  <sheetFormatPr defaultColWidth="11.5703125" defaultRowHeight="12.75" x14ac:dyDescent="0.2"/>
  <cols>
    <col min="1" max="1" width="0.85546875" style="1" customWidth="1"/>
    <col min="2" max="16384" width="11.5703125" style="1"/>
  </cols>
  <sheetData>
    <row r="1" spans="1:11" x14ac:dyDescent="0.2">
      <c r="A1" s="55"/>
      <c r="B1" s="56" t="s">
        <v>92</v>
      </c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">
      <c r="A2" s="55"/>
      <c r="B2" s="56" t="s">
        <v>51</v>
      </c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">
      <c r="A3" s="55"/>
      <c r="B3" s="57" t="s">
        <v>1</v>
      </c>
      <c r="C3" s="55"/>
      <c r="D3" s="55"/>
      <c r="E3" s="55"/>
      <c r="F3" s="55"/>
      <c r="G3" s="55"/>
      <c r="H3" s="55"/>
      <c r="I3" s="55"/>
      <c r="J3" s="55"/>
      <c r="K3" s="55"/>
    </row>
    <row r="6" spans="1:11" x14ac:dyDescent="0.2">
      <c r="B6" s="59" t="s">
        <v>66</v>
      </c>
      <c r="C6" s="66"/>
      <c r="D6" s="66"/>
      <c r="E6" s="66"/>
    </row>
    <row r="7" spans="1:11" x14ac:dyDescent="0.2">
      <c r="B7" s="16" t="s">
        <v>68</v>
      </c>
    </row>
    <row r="8" spans="1:11" x14ac:dyDescent="0.2">
      <c r="B8" s="1" t="s">
        <v>83</v>
      </c>
      <c r="E8" s="67">
        <v>26210</v>
      </c>
    </row>
    <row r="9" spans="1:11" x14ac:dyDescent="0.2">
      <c r="B9" s="1" t="s">
        <v>74</v>
      </c>
      <c r="E9" s="67">
        <v>35623</v>
      </c>
    </row>
    <row r="11" spans="1:11" x14ac:dyDescent="0.2">
      <c r="E11" s="6"/>
    </row>
    <row r="12" spans="1:11" x14ac:dyDescent="0.2">
      <c r="B12" s="1" t="s">
        <v>69</v>
      </c>
      <c r="E12" s="17">
        <f>E8/(E8+E9)</f>
        <v>0.42388368670451054</v>
      </c>
    </row>
    <row r="13" spans="1:11" x14ac:dyDescent="0.2">
      <c r="B13" s="1" t="s">
        <v>70</v>
      </c>
      <c r="E13" s="17">
        <f>E9/(E9+E8)</f>
        <v>0.57611631329548951</v>
      </c>
    </row>
    <row r="15" spans="1:11" x14ac:dyDescent="0.2">
      <c r="B15" s="1" t="s">
        <v>16</v>
      </c>
      <c r="E15" s="67">
        <v>2138</v>
      </c>
    </row>
    <row r="16" spans="1:11" x14ac:dyDescent="0.2">
      <c r="B16" s="1" t="s">
        <v>98</v>
      </c>
      <c r="E16" s="50">
        <v>0.34</v>
      </c>
    </row>
    <row r="17" spans="2:5" x14ac:dyDescent="0.2">
      <c r="B17" s="1" t="s">
        <v>83</v>
      </c>
      <c r="E17" s="67">
        <f>E8</f>
        <v>26210</v>
      </c>
    </row>
    <row r="18" spans="2:5" x14ac:dyDescent="0.2">
      <c r="B18" s="8" t="s">
        <v>71</v>
      </c>
      <c r="E18" s="32">
        <f>(E15/E17)*(1-E16)</f>
        <v>5.3837466615795485E-2</v>
      </c>
    </row>
    <row r="20" spans="2:5" x14ac:dyDescent="0.2">
      <c r="B20" s="1" t="s">
        <v>67</v>
      </c>
      <c r="E20" s="71">
        <v>0.52</v>
      </c>
    </row>
    <row r="21" spans="2:5" x14ac:dyDescent="0.2">
      <c r="B21" s="1" t="s">
        <v>97</v>
      </c>
      <c r="E21" s="17">
        <v>3.8399999999999997E-2</v>
      </c>
    </row>
    <row r="22" spans="2:5" x14ac:dyDescent="0.2">
      <c r="B22" s="1" t="s">
        <v>72</v>
      </c>
      <c r="E22" s="17">
        <v>0.1</v>
      </c>
    </row>
    <row r="23" spans="2:5" x14ac:dyDescent="0.2">
      <c r="B23" s="8" t="s">
        <v>73</v>
      </c>
      <c r="E23" s="33">
        <f>E21+E20*(E22-E21)</f>
        <v>7.0431999999999995E-2</v>
      </c>
    </row>
    <row r="25" spans="2:5" x14ac:dyDescent="0.2">
      <c r="B25" s="63" t="s">
        <v>62</v>
      </c>
      <c r="C25" s="64"/>
      <c r="D25" s="64"/>
      <c r="E25" s="65">
        <f>(E23*E9+E18*E8)/SUM(E9,E8)</f>
        <v>6.3397848009962302E-2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C6BA-4DF7-4B68-9BB3-9F42E62C7016}">
  <dimension ref="A1:O31"/>
  <sheetViews>
    <sheetView showGridLines="0" workbookViewId="0">
      <selection activeCell="I9" sqref="I9"/>
    </sheetView>
  </sheetViews>
  <sheetFormatPr defaultColWidth="9" defaultRowHeight="12.75" x14ac:dyDescent="0.2"/>
  <cols>
    <col min="1" max="1" width="0.85546875" style="1" customWidth="1"/>
    <col min="2" max="16384" width="9" style="1"/>
  </cols>
  <sheetData>
    <row r="1" spans="1:15" x14ac:dyDescent="0.2">
      <c r="A1" s="55"/>
      <c r="B1" s="56" t="s">
        <v>95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x14ac:dyDescent="0.2">
      <c r="F2" s="20" t="s">
        <v>10</v>
      </c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F3" s="22">
        <v>45657</v>
      </c>
      <c r="G3" s="22">
        <f>EOMONTH(F3,12)</f>
        <v>46022</v>
      </c>
      <c r="H3" s="22">
        <f t="shared" ref="H3:O3" si="0">EOMONTH(G3,12)</f>
        <v>46387</v>
      </c>
      <c r="I3" s="22">
        <f t="shared" si="0"/>
        <v>46752</v>
      </c>
      <c r="J3" s="22">
        <f t="shared" si="0"/>
        <v>47118</v>
      </c>
      <c r="K3" s="22">
        <f t="shared" si="0"/>
        <v>47483</v>
      </c>
      <c r="L3" s="22">
        <f t="shared" si="0"/>
        <v>47848</v>
      </c>
      <c r="M3" s="22">
        <f t="shared" si="0"/>
        <v>48213</v>
      </c>
      <c r="N3" s="22">
        <f t="shared" si="0"/>
        <v>48579</v>
      </c>
      <c r="O3" s="22">
        <f t="shared" si="0"/>
        <v>48944</v>
      </c>
    </row>
    <row r="6" spans="1:15" x14ac:dyDescent="0.2">
      <c r="B6" s="8" t="s">
        <v>43</v>
      </c>
    </row>
    <row r="7" spans="1:15" x14ac:dyDescent="0.2">
      <c r="B7" s="29" t="s">
        <v>44</v>
      </c>
      <c r="C7" s="8"/>
      <c r="D7" s="8"/>
      <c r="F7" s="33">
        <f>_xlfn.XLOOKUP(DCF!$C$5,'A1'!$B8:$B10,'A1'!F8:F10)</f>
        <v>0.04</v>
      </c>
      <c r="G7" s="33">
        <f>_xlfn.XLOOKUP(DCF!$C$5,'A1'!$B8:$B10,'A1'!G8:G10)</f>
        <v>0.04</v>
      </c>
      <c r="H7" s="33">
        <f>_xlfn.XLOOKUP(DCF!$C$5,'A1'!$B8:$B10,'A1'!H8:H10)</f>
        <v>0.04</v>
      </c>
      <c r="I7" s="33">
        <f>_xlfn.XLOOKUP(DCF!$C$5,'A1'!$B8:$B10,'A1'!I8:I10)</f>
        <v>0.04</v>
      </c>
      <c r="J7" s="33">
        <f>_xlfn.XLOOKUP(DCF!$C$5,'A1'!$B8:$B10,'A1'!J8:J10)</f>
        <v>0.04</v>
      </c>
      <c r="K7" s="33">
        <f>_xlfn.XLOOKUP(DCF!$C$5,'A1'!$B8:$B10,'A1'!K8:K10)</f>
        <v>0.04</v>
      </c>
      <c r="L7" s="33">
        <f>_xlfn.XLOOKUP(DCF!$C$5,'A1'!$B8:$B10,'A1'!L8:L10)</f>
        <v>0.04</v>
      </c>
      <c r="M7" s="33">
        <f>_xlfn.XLOOKUP(DCF!$C$5,'A1'!$B8:$B10,'A1'!M8:M10)</f>
        <v>0.04</v>
      </c>
      <c r="N7" s="33">
        <f>_xlfn.XLOOKUP(DCF!$C$5,'A1'!$B8:$B10,'A1'!N8:N10)</f>
        <v>0.04</v>
      </c>
      <c r="O7" s="33">
        <f>_xlfn.XLOOKUP(DCF!$C$5,'A1'!$B8:$B10,'A1'!O8:O10)</f>
        <v>0.04</v>
      </c>
    </row>
    <row r="8" spans="1:15" x14ac:dyDescent="0.2">
      <c r="B8" s="30" t="s">
        <v>45</v>
      </c>
      <c r="F8" s="24">
        <f>F9-0.02</f>
        <v>0.02</v>
      </c>
      <c r="G8" s="25">
        <f>G9-0.02</f>
        <v>0.02</v>
      </c>
      <c r="H8" s="25">
        <f t="shared" ref="H8:O8" si="1">H9-0.02</f>
        <v>0.02</v>
      </c>
      <c r="I8" s="25">
        <f t="shared" si="1"/>
        <v>0.02</v>
      </c>
      <c r="J8" s="25">
        <f t="shared" si="1"/>
        <v>0.02</v>
      </c>
      <c r="K8" s="25">
        <f t="shared" si="1"/>
        <v>0.02</v>
      </c>
      <c r="L8" s="25">
        <f t="shared" si="1"/>
        <v>0.02</v>
      </c>
      <c r="M8" s="25">
        <f t="shared" si="1"/>
        <v>0.02</v>
      </c>
      <c r="N8" s="25">
        <f t="shared" si="1"/>
        <v>0.02</v>
      </c>
      <c r="O8" s="26">
        <f t="shared" si="1"/>
        <v>0.02</v>
      </c>
    </row>
    <row r="9" spans="1:15" x14ac:dyDescent="0.2">
      <c r="B9" s="30" t="s">
        <v>3</v>
      </c>
      <c r="F9" s="24">
        <v>0.04</v>
      </c>
      <c r="G9" s="25">
        <v>0.04</v>
      </c>
      <c r="H9" s="25">
        <v>0.04</v>
      </c>
      <c r="I9" s="25">
        <v>0.04</v>
      </c>
      <c r="J9" s="25">
        <v>0.04</v>
      </c>
      <c r="K9" s="25">
        <v>0.04</v>
      </c>
      <c r="L9" s="25">
        <v>0.04</v>
      </c>
      <c r="M9" s="25">
        <v>0.04</v>
      </c>
      <c r="N9" s="25">
        <v>0.04</v>
      </c>
      <c r="O9" s="26">
        <v>0.04</v>
      </c>
    </row>
    <row r="10" spans="1:15" x14ac:dyDescent="0.2">
      <c r="B10" s="30" t="s">
        <v>46</v>
      </c>
      <c r="F10" s="24">
        <f>F9+0.02</f>
        <v>0.06</v>
      </c>
      <c r="G10" s="25">
        <f t="shared" ref="G10:O10" si="2">G9+0.02</f>
        <v>0.06</v>
      </c>
      <c r="H10" s="25">
        <f t="shared" si="2"/>
        <v>0.06</v>
      </c>
      <c r="I10" s="25">
        <f t="shared" si="2"/>
        <v>0.06</v>
      </c>
      <c r="J10" s="25">
        <f t="shared" si="2"/>
        <v>0.06</v>
      </c>
      <c r="K10" s="25">
        <f t="shared" si="2"/>
        <v>0.06</v>
      </c>
      <c r="L10" s="25">
        <f t="shared" si="2"/>
        <v>0.06</v>
      </c>
      <c r="M10" s="25">
        <f t="shared" si="2"/>
        <v>0.06</v>
      </c>
      <c r="N10" s="25">
        <f t="shared" si="2"/>
        <v>0.06</v>
      </c>
      <c r="O10" s="26">
        <f t="shared" si="2"/>
        <v>0.06</v>
      </c>
    </row>
    <row r="12" spans="1:15" x14ac:dyDescent="0.2">
      <c r="B12" s="29" t="s">
        <v>47</v>
      </c>
      <c r="F12" s="33">
        <f>_xlfn.XLOOKUP(DCF!$C$5,'A1'!$B13:$B15,'A1'!F13:F15)</f>
        <v>0.36699999999999999</v>
      </c>
      <c r="G12" s="33">
        <f>_xlfn.XLOOKUP(DCF!$C$5,'A1'!$B13:$B15,'A1'!G13:G15)</f>
        <v>0.36699999999999999</v>
      </c>
      <c r="H12" s="33">
        <f>_xlfn.XLOOKUP(DCF!$C$5,'A1'!$B13:$B15,'A1'!H13:H15)</f>
        <v>0.36699999999999999</v>
      </c>
      <c r="I12" s="33">
        <f>_xlfn.XLOOKUP(DCF!$C$5,'A1'!$B13:$B15,'A1'!I13:I15)</f>
        <v>0.36</v>
      </c>
      <c r="J12" s="33">
        <f>_xlfn.XLOOKUP(DCF!$C$5,'A1'!$B13:$B15,'A1'!J13:J15)</f>
        <v>0.36</v>
      </c>
      <c r="K12" s="33">
        <f>_xlfn.XLOOKUP(DCF!$C$5,'A1'!$B13:$B15,'A1'!K13:K15)</f>
        <v>0.36</v>
      </c>
      <c r="L12" s="33">
        <f>_xlfn.XLOOKUP(DCF!$C$5,'A1'!$B13:$B15,'A1'!L13:L15)</f>
        <v>0.35</v>
      </c>
      <c r="M12" s="33">
        <f>_xlfn.XLOOKUP(DCF!$C$5,'A1'!$B13:$B15,'A1'!M13:M15)</f>
        <v>0.35</v>
      </c>
      <c r="N12" s="33">
        <f>_xlfn.XLOOKUP(DCF!$C$5,'A1'!$B13:$B15,'A1'!N13:N15)</f>
        <v>0.35</v>
      </c>
      <c r="O12" s="33">
        <f>_xlfn.XLOOKUP(DCF!$C$5,'A1'!$B13:$B15,'A1'!O13:O15)</f>
        <v>0.34</v>
      </c>
    </row>
    <row r="13" spans="1:15" x14ac:dyDescent="0.2">
      <c r="B13" s="30" t="s">
        <v>45</v>
      </c>
      <c r="F13" s="24">
        <f>F14+0.005</f>
        <v>0.372</v>
      </c>
      <c r="G13" s="25">
        <f t="shared" ref="G13:O13" si="3">G14+0.005</f>
        <v>0.372</v>
      </c>
      <c r="H13" s="25">
        <f t="shared" si="3"/>
        <v>0.372</v>
      </c>
      <c r="I13" s="25">
        <f t="shared" si="3"/>
        <v>0.36499999999999999</v>
      </c>
      <c r="J13" s="25">
        <f t="shared" si="3"/>
        <v>0.36499999999999999</v>
      </c>
      <c r="K13" s="25">
        <f t="shared" si="3"/>
        <v>0.36499999999999999</v>
      </c>
      <c r="L13" s="25">
        <f t="shared" si="3"/>
        <v>0.35499999999999998</v>
      </c>
      <c r="M13" s="25">
        <f t="shared" si="3"/>
        <v>0.35499999999999998</v>
      </c>
      <c r="N13" s="25">
        <f t="shared" si="3"/>
        <v>0.35499999999999998</v>
      </c>
      <c r="O13" s="26">
        <f t="shared" si="3"/>
        <v>0.34500000000000003</v>
      </c>
    </row>
    <row r="14" spans="1:15" x14ac:dyDescent="0.2">
      <c r="B14" s="30" t="s">
        <v>3</v>
      </c>
      <c r="F14" s="24">
        <v>0.36699999999999999</v>
      </c>
      <c r="G14" s="25">
        <v>0.36699999999999999</v>
      </c>
      <c r="H14" s="25">
        <v>0.36699999999999999</v>
      </c>
      <c r="I14" s="25">
        <v>0.36</v>
      </c>
      <c r="J14" s="25">
        <v>0.36</v>
      </c>
      <c r="K14" s="25">
        <v>0.36</v>
      </c>
      <c r="L14" s="25">
        <v>0.35</v>
      </c>
      <c r="M14" s="25">
        <v>0.35</v>
      </c>
      <c r="N14" s="25">
        <v>0.35</v>
      </c>
      <c r="O14" s="26">
        <v>0.34</v>
      </c>
    </row>
    <row r="15" spans="1:15" x14ac:dyDescent="0.2">
      <c r="B15" s="30" t="s">
        <v>46</v>
      </c>
      <c r="F15" s="24">
        <f>F14-0.005</f>
        <v>0.36199999999999999</v>
      </c>
      <c r="G15" s="25">
        <f t="shared" ref="G15:O15" si="4">G14-0.005</f>
        <v>0.36199999999999999</v>
      </c>
      <c r="H15" s="25">
        <f t="shared" si="4"/>
        <v>0.36199999999999999</v>
      </c>
      <c r="I15" s="25">
        <f t="shared" si="4"/>
        <v>0.35499999999999998</v>
      </c>
      <c r="J15" s="25">
        <f t="shared" si="4"/>
        <v>0.35499999999999998</v>
      </c>
      <c r="K15" s="25">
        <f t="shared" si="4"/>
        <v>0.35499999999999998</v>
      </c>
      <c r="L15" s="25">
        <f t="shared" si="4"/>
        <v>0.34499999999999997</v>
      </c>
      <c r="M15" s="25">
        <f t="shared" si="4"/>
        <v>0.34499999999999997</v>
      </c>
      <c r="N15" s="25">
        <f t="shared" si="4"/>
        <v>0.34499999999999997</v>
      </c>
      <c r="O15" s="26">
        <f t="shared" si="4"/>
        <v>0.33500000000000002</v>
      </c>
    </row>
    <row r="17" spans="2:15" x14ac:dyDescent="0.2">
      <c r="B17" s="29" t="s">
        <v>49</v>
      </c>
      <c r="F17" s="33">
        <f>_xlfn.XLOOKUP(DCF!$C$5,'A1'!$B18:$B20,'A1'!F18:F20)</f>
        <v>3.5999999999999997E-2</v>
      </c>
      <c r="G17" s="33">
        <f>_xlfn.XLOOKUP(DCF!$C$5,'A1'!$B18:$B20,'A1'!G18:G20)</f>
        <v>3.5999999999999997E-2</v>
      </c>
      <c r="H17" s="33">
        <f>_xlfn.XLOOKUP(DCF!$C$5,'A1'!$B18:$B20,'A1'!H18:H20)</f>
        <v>3.5999999999999997E-2</v>
      </c>
      <c r="I17" s="33">
        <f>_xlfn.XLOOKUP(DCF!$C$5,'A1'!$B18:$B20,'A1'!I18:I20)</f>
        <v>3.4000000000000002E-2</v>
      </c>
      <c r="J17" s="33">
        <f>_xlfn.XLOOKUP(DCF!$C$5,'A1'!$B18:$B20,'A1'!J18:J20)</f>
        <v>3.4000000000000002E-2</v>
      </c>
      <c r="K17" s="33">
        <f>_xlfn.XLOOKUP(DCF!$C$5,'A1'!$B18:$B20,'A1'!K18:K20)</f>
        <v>3.4000000000000002E-2</v>
      </c>
      <c r="L17" s="33">
        <f>_xlfn.XLOOKUP(DCF!$C$5,'A1'!$B18:$B20,'A1'!L18:L20)</f>
        <v>3.2000000000000001E-2</v>
      </c>
      <c r="M17" s="33">
        <f>_xlfn.XLOOKUP(DCF!$C$5,'A1'!$B18:$B20,'A1'!M18:M20)</f>
        <v>3.2000000000000001E-2</v>
      </c>
      <c r="N17" s="33">
        <f>_xlfn.XLOOKUP(DCF!$C$5,'A1'!$B18:$B20,'A1'!N18:N20)</f>
        <v>3.2000000000000001E-2</v>
      </c>
      <c r="O17" s="33">
        <f>_xlfn.XLOOKUP(DCF!$C$5,'A1'!$B18:$B20,'A1'!O18:O20)</f>
        <v>3.1E-2</v>
      </c>
    </row>
    <row r="18" spans="2:15" x14ac:dyDescent="0.2">
      <c r="B18" s="30" t="s">
        <v>45</v>
      </c>
      <c r="F18" s="24">
        <f>F19+0.005</f>
        <v>4.0999999999999995E-2</v>
      </c>
      <c r="G18" s="25">
        <f t="shared" ref="G18:O18" si="5">G19+0.005</f>
        <v>4.0999999999999995E-2</v>
      </c>
      <c r="H18" s="25">
        <f t="shared" si="5"/>
        <v>4.0999999999999995E-2</v>
      </c>
      <c r="I18" s="25">
        <f t="shared" si="5"/>
        <v>3.9E-2</v>
      </c>
      <c r="J18" s="25">
        <f t="shared" si="5"/>
        <v>3.9E-2</v>
      </c>
      <c r="K18" s="25">
        <f t="shared" si="5"/>
        <v>3.9E-2</v>
      </c>
      <c r="L18" s="25">
        <f t="shared" si="5"/>
        <v>3.6999999999999998E-2</v>
      </c>
      <c r="M18" s="25">
        <f t="shared" si="5"/>
        <v>3.6999999999999998E-2</v>
      </c>
      <c r="N18" s="25">
        <f t="shared" si="5"/>
        <v>3.6999999999999998E-2</v>
      </c>
      <c r="O18" s="26">
        <f t="shared" si="5"/>
        <v>3.5999999999999997E-2</v>
      </c>
    </row>
    <row r="19" spans="2:15" x14ac:dyDescent="0.2">
      <c r="B19" s="30" t="s">
        <v>3</v>
      </c>
      <c r="F19" s="24">
        <v>3.5999999999999997E-2</v>
      </c>
      <c r="G19" s="25">
        <v>3.5999999999999997E-2</v>
      </c>
      <c r="H19" s="25">
        <v>3.5999999999999997E-2</v>
      </c>
      <c r="I19" s="25">
        <v>3.4000000000000002E-2</v>
      </c>
      <c r="J19" s="25">
        <v>3.4000000000000002E-2</v>
      </c>
      <c r="K19" s="25">
        <v>3.4000000000000002E-2</v>
      </c>
      <c r="L19" s="25">
        <v>3.2000000000000001E-2</v>
      </c>
      <c r="M19" s="25">
        <v>3.2000000000000001E-2</v>
      </c>
      <c r="N19" s="25">
        <v>3.2000000000000001E-2</v>
      </c>
      <c r="O19" s="26">
        <v>3.1E-2</v>
      </c>
    </row>
    <row r="20" spans="2:15" x14ac:dyDescent="0.2">
      <c r="B20" s="30" t="s">
        <v>46</v>
      </c>
      <c r="F20" s="24">
        <f>F19-0.005</f>
        <v>3.0999999999999996E-2</v>
      </c>
      <c r="G20" s="25">
        <f>G19-0.005</f>
        <v>3.0999999999999996E-2</v>
      </c>
      <c r="H20" s="25">
        <f t="shared" ref="H20:O20" si="6">H19-0.005</f>
        <v>3.0999999999999996E-2</v>
      </c>
      <c r="I20" s="25">
        <f t="shared" si="6"/>
        <v>2.9000000000000001E-2</v>
      </c>
      <c r="J20" s="25">
        <f t="shared" si="6"/>
        <v>2.9000000000000001E-2</v>
      </c>
      <c r="K20" s="25">
        <f t="shared" si="6"/>
        <v>2.9000000000000001E-2</v>
      </c>
      <c r="L20" s="25">
        <f t="shared" si="6"/>
        <v>2.7E-2</v>
      </c>
      <c r="M20" s="25">
        <f t="shared" si="6"/>
        <v>2.7E-2</v>
      </c>
      <c r="N20" s="25">
        <f t="shared" si="6"/>
        <v>2.7E-2</v>
      </c>
      <c r="O20" s="26">
        <f t="shared" si="6"/>
        <v>2.5999999999999999E-2</v>
      </c>
    </row>
    <row r="22" spans="2:15" x14ac:dyDescent="0.2">
      <c r="B22" s="29" t="s">
        <v>50</v>
      </c>
      <c r="F22" s="33">
        <f>_xlfn.XLOOKUP(DCF!$C$5,'A1'!$B23:$B25,'A1'!F23:F25)</f>
        <v>8.5999999999999993E-2</v>
      </c>
      <c r="G22" s="33">
        <f>_xlfn.XLOOKUP(DCF!$C$5,'A1'!$B23:$B25,'A1'!G23:G25)</f>
        <v>8.5999999999999993E-2</v>
      </c>
      <c r="H22" s="33">
        <f>_xlfn.XLOOKUP(DCF!$C$5,'A1'!$B23:$B25,'A1'!H23:H25)</f>
        <v>8.5999999999999993E-2</v>
      </c>
      <c r="I22" s="33">
        <f>_xlfn.XLOOKUP(DCF!$C$5,'A1'!$B23:$B25,'A1'!I23:I25)</f>
        <v>8.5999999999999993E-2</v>
      </c>
      <c r="J22" s="33">
        <f>_xlfn.XLOOKUP(DCF!$C$5,'A1'!$B23:$B25,'A1'!J23:J25)</f>
        <v>8.5999999999999993E-2</v>
      </c>
      <c r="K22" s="33">
        <f>_xlfn.XLOOKUP(DCF!$C$5,'A1'!$B23:$B25,'A1'!K23:K25)</f>
        <v>8.5999999999999993E-2</v>
      </c>
      <c r="L22" s="33">
        <f>_xlfn.XLOOKUP(DCF!$C$5,'A1'!$B23:$B25,'A1'!L23:L25)</f>
        <v>8.5999999999999993E-2</v>
      </c>
      <c r="M22" s="33">
        <f>_xlfn.XLOOKUP(DCF!$C$5,'A1'!$B23:$B25,'A1'!M23:M25)</f>
        <v>8.5999999999999993E-2</v>
      </c>
      <c r="N22" s="33">
        <f>_xlfn.XLOOKUP(DCF!$C$5,'A1'!$B23:$B25,'A1'!N23:N25)</f>
        <v>8.5999999999999993E-2</v>
      </c>
      <c r="O22" s="33">
        <f>_xlfn.XLOOKUP(DCF!$C$5,'A1'!$B23:$B25,'A1'!O23:O25)</f>
        <v>8.5999999999999993E-2</v>
      </c>
    </row>
    <row r="23" spans="2:15" x14ac:dyDescent="0.2">
      <c r="B23" s="30" t="s">
        <v>45</v>
      </c>
      <c r="F23" s="24">
        <f>F24+0.005</f>
        <v>9.0999999999999998E-2</v>
      </c>
      <c r="G23" s="25">
        <f t="shared" ref="G23:O23" si="7">G24+0.005</f>
        <v>9.0999999999999998E-2</v>
      </c>
      <c r="H23" s="25">
        <f t="shared" si="7"/>
        <v>9.0999999999999998E-2</v>
      </c>
      <c r="I23" s="25">
        <f t="shared" si="7"/>
        <v>9.0999999999999998E-2</v>
      </c>
      <c r="J23" s="25">
        <f t="shared" si="7"/>
        <v>9.0999999999999998E-2</v>
      </c>
      <c r="K23" s="25">
        <f t="shared" si="7"/>
        <v>9.0999999999999998E-2</v>
      </c>
      <c r="L23" s="25">
        <f t="shared" si="7"/>
        <v>9.0999999999999998E-2</v>
      </c>
      <c r="M23" s="25">
        <f t="shared" si="7"/>
        <v>9.0999999999999998E-2</v>
      </c>
      <c r="N23" s="25">
        <f t="shared" si="7"/>
        <v>9.0999999999999998E-2</v>
      </c>
      <c r="O23" s="26">
        <f t="shared" si="7"/>
        <v>9.0999999999999998E-2</v>
      </c>
    </row>
    <row r="24" spans="2:15" x14ac:dyDescent="0.2">
      <c r="B24" s="30" t="s">
        <v>3</v>
      </c>
      <c r="F24" s="24">
        <v>8.5999999999999993E-2</v>
      </c>
      <c r="G24" s="25">
        <v>8.5999999999999993E-2</v>
      </c>
      <c r="H24" s="25">
        <v>8.5999999999999993E-2</v>
      </c>
      <c r="I24" s="25">
        <v>8.5999999999999993E-2</v>
      </c>
      <c r="J24" s="25">
        <v>8.5999999999999993E-2</v>
      </c>
      <c r="K24" s="25">
        <v>8.5999999999999993E-2</v>
      </c>
      <c r="L24" s="25">
        <v>8.5999999999999993E-2</v>
      </c>
      <c r="M24" s="25">
        <v>8.5999999999999993E-2</v>
      </c>
      <c r="N24" s="25">
        <v>8.5999999999999993E-2</v>
      </c>
      <c r="O24" s="26">
        <v>8.5999999999999993E-2</v>
      </c>
    </row>
    <row r="25" spans="2:15" x14ac:dyDescent="0.2">
      <c r="B25" s="30" t="s">
        <v>46</v>
      </c>
      <c r="F25" s="24">
        <f>F24-0.005</f>
        <v>8.0999999999999989E-2</v>
      </c>
      <c r="G25" s="25">
        <f t="shared" ref="G25:O25" si="8">G24-0.005</f>
        <v>8.0999999999999989E-2</v>
      </c>
      <c r="H25" s="25">
        <f t="shared" si="8"/>
        <v>8.0999999999999989E-2</v>
      </c>
      <c r="I25" s="25">
        <f t="shared" si="8"/>
        <v>8.0999999999999989E-2</v>
      </c>
      <c r="J25" s="25">
        <f t="shared" si="8"/>
        <v>8.0999999999999989E-2</v>
      </c>
      <c r="K25" s="25">
        <f t="shared" si="8"/>
        <v>8.0999999999999989E-2</v>
      </c>
      <c r="L25" s="25">
        <f t="shared" si="8"/>
        <v>8.0999999999999989E-2</v>
      </c>
      <c r="M25" s="25">
        <f t="shared" si="8"/>
        <v>8.0999999999999989E-2</v>
      </c>
      <c r="N25" s="25">
        <f t="shared" si="8"/>
        <v>8.0999999999999989E-2</v>
      </c>
      <c r="O25" s="26">
        <f t="shared" si="8"/>
        <v>8.0999999999999989E-2</v>
      </c>
    </row>
    <row r="27" spans="2:15" x14ac:dyDescent="0.2">
      <c r="B27" s="8" t="s">
        <v>48</v>
      </c>
    </row>
    <row r="28" spans="2:15" x14ac:dyDescent="0.2">
      <c r="B28" s="29" t="s">
        <v>60</v>
      </c>
      <c r="F28" s="33">
        <f>_xlfn.XLOOKUP(DCF!$C$5,'A1'!$B29:$B31,'A1'!F29:F31)</f>
        <v>0.157</v>
      </c>
      <c r="G28" s="33">
        <f>_xlfn.XLOOKUP(DCF!$C$5,'A1'!$B29:$B31,'A1'!G29:G31)</f>
        <v>0.157</v>
      </c>
      <c r="H28" s="33">
        <f>_xlfn.XLOOKUP(DCF!$C$5,'A1'!$B29:$B31,'A1'!H29:H31)</f>
        <v>0.157</v>
      </c>
      <c r="I28" s="33">
        <f>_xlfn.XLOOKUP(DCF!$C$5,'A1'!$B29:$B31,'A1'!I29:I31)</f>
        <v>0.157</v>
      </c>
      <c r="J28" s="33">
        <f>_xlfn.XLOOKUP(DCF!$C$5,'A1'!$B29:$B31,'A1'!J29:J31)</f>
        <v>0.157</v>
      </c>
      <c r="K28" s="33">
        <f>_xlfn.XLOOKUP(DCF!$C$5,'A1'!$B29:$B31,'A1'!K29:K31)</f>
        <v>0.157</v>
      </c>
      <c r="L28" s="33">
        <f>_xlfn.XLOOKUP(DCF!$C$5,'A1'!$B29:$B31,'A1'!L29:L31)</f>
        <v>0.157</v>
      </c>
      <c r="M28" s="33">
        <f>_xlfn.XLOOKUP(DCF!$C$5,'A1'!$B29:$B31,'A1'!M29:M31)</f>
        <v>0.157</v>
      </c>
      <c r="N28" s="33">
        <f>_xlfn.XLOOKUP(DCF!$C$5,'A1'!$B29:$B31,'A1'!N29:N31)</f>
        <v>0.157</v>
      </c>
      <c r="O28" s="33">
        <f>_xlfn.XLOOKUP(DCF!$C$5,'A1'!$B29:$B31,'A1'!O29:O31)</f>
        <v>0.157</v>
      </c>
    </row>
    <row r="29" spans="2:15" x14ac:dyDescent="0.2">
      <c r="B29" s="30" t="s">
        <v>45</v>
      </c>
      <c r="F29" s="24">
        <f>F30+0.005</f>
        <v>0.16200000000000001</v>
      </c>
      <c r="G29" s="25">
        <f t="shared" ref="G29:O29" si="9">G30+0.005</f>
        <v>0.16200000000000001</v>
      </c>
      <c r="H29" s="25">
        <f t="shared" si="9"/>
        <v>0.16200000000000001</v>
      </c>
      <c r="I29" s="25">
        <f t="shared" si="9"/>
        <v>0.16200000000000001</v>
      </c>
      <c r="J29" s="25">
        <f t="shared" si="9"/>
        <v>0.16200000000000001</v>
      </c>
      <c r="K29" s="25">
        <f t="shared" si="9"/>
        <v>0.16200000000000001</v>
      </c>
      <c r="L29" s="25">
        <f t="shared" si="9"/>
        <v>0.16200000000000001</v>
      </c>
      <c r="M29" s="25">
        <f t="shared" si="9"/>
        <v>0.16200000000000001</v>
      </c>
      <c r="N29" s="25">
        <f t="shared" si="9"/>
        <v>0.16200000000000001</v>
      </c>
      <c r="O29" s="26">
        <f t="shared" si="9"/>
        <v>0.16200000000000001</v>
      </c>
    </row>
    <row r="30" spans="2:15" x14ac:dyDescent="0.2">
      <c r="B30" s="31" t="s">
        <v>3</v>
      </c>
      <c r="F30" s="24">
        <v>0.157</v>
      </c>
      <c r="G30" s="25">
        <v>0.157</v>
      </c>
      <c r="H30" s="25">
        <v>0.157</v>
      </c>
      <c r="I30" s="25">
        <v>0.157</v>
      </c>
      <c r="J30" s="25">
        <v>0.157</v>
      </c>
      <c r="K30" s="25">
        <v>0.157</v>
      </c>
      <c r="L30" s="25">
        <v>0.157</v>
      </c>
      <c r="M30" s="25">
        <v>0.157</v>
      </c>
      <c r="N30" s="25">
        <v>0.157</v>
      </c>
      <c r="O30" s="26">
        <v>0.157</v>
      </c>
    </row>
    <row r="31" spans="2:15" x14ac:dyDescent="0.2">
      <c r="B31" s="31" t="s">
        <v>46</v>
      </c>
      <c r="F31" s="24">
        <f>F30-0.005</f>
        <v>0.152</v>
      </c>
      <c r="G31" s="25">
        <f t="shared" ref="G31:O31" si="10">G30-0.005</f>
        <v>0.152</v>
      </c>
      <c r="H31" s="25">
        <f t="shared" si="10"/>
        <v>0.152</v>
      </c>
      <c r="I31" s="25">
        <f t="shared" si="10"/>
        <v>0.152</v>
      </c>
      <c r="J31" s="25">
        <f t="shared" si="10"/>
        <v>0.152</v>
      </c>
      <c r="K31" s="25">
        <f t="shared" si="10"/>
        <v>0.152</v>
      </c>
      <c r="L31" s="25">
        <f t="shared" si="10"/>
        <v>0.152</v>
      </c>
      <c r="M31" s="25">
        <f t="shared" si="10"/>
        <v>0.152</v>
      </c>
      <c r="N31" s="25">
        <f t="shared" si="10"/>
        <v>0.152</v>
      </c>
      <c r="O31" s="26">
        <f t="shared" si="10"/>
        <v>0.152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DA2F-9C80-4FC1-85F2-5AFA46A489D9}">
  <dimension ref="A1:O32"/>
  <sheetViews>
    <sheetView showGridLines="0" workbookViewId="0">
      <selection activeCell="G34" sqref="G34"/>
    </sheetView>
  </sheetViews>
  <sheetFormatPr defaultColWidth="9" defaultRowHeight="12.75" x14ac:dyDescent="0.2"/>
  <cols>
    <col min="1" max="1" width="0.85546875" style="1" customWidth="1"/>
    <col min="2" max="5" width="9" style="1"/>
    <col min="6" max="6" width="9.28515625" style="1" bestFit="1" customWidth="1"/>
    <col min="7" max="16384" width="9" style="1"/>
  </cols>
  <sheetData>
    <row r="1" spans="1:15" x14ac:dyDescent="0.2">
      <c r="A1" s="55"/>
      <c r="B1" s="56" t="s">
        <v>96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x14ac:dyDescent="0.2">
      <c r="F2" s="20" t="s">
        <v>10</v>
      </c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F3" s="22">
        <v>45657</v>
      </c>
      <c r="G3" s="22">
        <f>EOMONTH(F3,12)</f>
        <v>46022</v>
      </c>
      <c r="H3" s="22">
        <f t="shared" ref="H3:O3" si="0">EOMONTH(G3,12)</f>
        <v>46387</v>
      </c>
      <c r="I3" s="22">
        <f t="shared" si="0"/>
        <v>46752</v>
      </c>
      <c r="J3" s="22">
        <f t="shared" si="0"/>
        <v>47118</v>
      </c>
      <c r="K3" s="22">
        <f t="shared" si="0"/>
        <v>47483</v>
      </c>
      <c r="L3" s="22">
        <f t="shared" si="0"/>
        <v>47848</v>
      </c>
      <c r="M3" s="22">
        <f t="shared" si="0"/>
        <v>48213</v>
      </c>
      <c r="N3" s="22">
        <f t="shared" si="0"/>
        <v>48579</v>
      </c>
      <c r="O3" s="22">
        <f t="shared" si="0"/>
        <v>48944</v>
      </c>
    </row>
    <row r="6" spans="1:15" x14ac:dyDescent="0.2">
      <c r="B6" s="36" t="s">
        <v>24</v>
      </c>
    </row>
    <row r="7" spans="1:15" x14ac:dyDescent="0.2">
      <c r="B7" s="35" t="s">
        <v>52</v>
      </c>
      <c r="C7" s="8"/>
      <c r="D7" s="8"/>
      <c r="F7" s="37">
        <f>_xlfn.XLOOKUP(DCF!$C$5,'A2'!$B8:$B10,'A2'!F8:F10)</f>
        <v>74</v>
      </c>
      <c r="G7" s="37">
        <f>_xlfn.XLOOKUP(DCF!$C$5,'A2'!$B8:$B10,'A2'!G8:G10)</f>
        <v>74</v>
      </c>
      <c r="H7" s="37">
        <f>_xlfn.XLOOKUP(DCF!$C$5,'A2'!$B8:$B10,'A2'!H8:H10)</f>
        <v>74</v>
      </c>
      <c r="I7" s="37">
        <f>_xlfn.XLOOKUP(DCF!$C$5,'A2'!$B8:$B10,'A2'!I8:I10)</f>
        <v>74</v>
      </c>
      <c r="J7" s="37">
        <f>_xlfn.XLOOKUP(DCF!$C$5,'A2'!$B8:$B10,'A2'!J8:J10)</f>
        <v>74</v>
      </c>
      <c r="K7" s="37">
        <f>_xlfn.XLOOKUP(DCF!$C$5,'A2'!$B8:$B10,'A2'!K8:K10)</f>
        <v>74</v>
      </c>
      <c r="L7" s="37">
        <f>_xlfn.XLOOKUP(DCF!$C$5,'A2'!$B8:$B10,'A2'!L8:L10)</f>
        <v>74</v>
      </c>
      <c r="M7" s="37">
        <f>_xlfn.XLOOKUP(DCF!$C$5,'A2'!$B8:$B10,'A2'!M8:M10)</f>
        <v>74</v>
      </c>
      <c r="N7" s="37">
        <f>_xlfn.XLOOKUP(DCF!$C$5,'A2'!$B8:$B10,'A2'!N8:N10)</f>
        <v>74</v>
      </c>
      <c r="O7" s="37">
        <f>_xlfn.XLOOKUP(DCF!$C$5,'A2'!$B8:$B10,'A2'!O8:O10)</f>
        <v>74</v>
      </c>
    </row>
    <row r="8" spans="1:15" x14ac:dyDescent="0.2">
      <c r="B8" s="30" t="s">
        <v>45</v>
      </c>
      <c r="F8" s="38">
        <f>F9+2</f>
        <v>76</v>
      </c>
      <c r="G8" s="39">
        <f>G9+2</f>
        <v>76</v>
      </c>
      <c r="H8" s="39">
        <f t="shared" ref="H8:O8" si="1">H9+2</f>
        <v>76</v>
      </c>
      <c r="I8" s="39">
        <f t="shared" si="1"/>
        <v>76</v>
      </c>
      <c r="J8" s="39">
        <f t="shared" si="1"/>
        <v>76</v>
      </c>
      <c r="K8" s="39">
        <f t="shared" si="1"/>
        <v>76</v>
      </c>
      <c r="L8" s="39">
        <f t="shared" si="1"/>
        <v>76</v>
      </c>
      <c r="M8" s="39">
        <f t="shared" si="1"/>
        <v>76</v>
      </c>
      <c r="N8" s="39">
        <f t="shared" si="1"/>
        <v>76</v>
      </c>
      <c r="O8" s="40">
        <f t="shared" si="1"/>
        <v>76</v>
      </c>
    </row>
    <row r="9" spans="1:15" x14ac:dyDescent="0.2">
      <c r="B9" s="30" t="s">
        <v>3</v>
      </c>
      <c r="F9" s="38">
        <v>74</v>
      </c>
      <c r="G9" s="39">
        <v>74</v>
      </c>
      <c r="H9" s="39">
        <v>74</v>
      </c>
      <c r="I9" s="39">
        <v>74</v>
      </c>
      <c r="J9" s="39">
        <v>74</v>
      </c>
      <c r="K9" s="39">
        <v>74</v>
      </c>
      <c r="L9" s="39">
        <v>74</v>
      </c>
      <c r="M9" s="39">
        <v>74</v>
      </c>
      <c r="N9" s="39">
        <v>74</v>
      </c>
      <c r="O9" s="40">
        <v>74</v>
      </c>
    </row>
    <row r="10" spans="1:15" x14ac:dyDescent="0.2">
      <c r="B10" s="30" t="s">
        <v>46</v>
      </c>
      <c r="F10" s="38">
        <f>F9-2</f>
        <v>72</v>
      </c>
      <c r="G10" s="39">
        <f t="shared" ref="G10:O10" si="2">G9-2</f>
        <v>72</v>
      </c>
      <c r="H10" s="39">
        <f t="shared" si="2"/>
        <v>72</v>
      </c>
      <c r="I10" s="39">
        <f t="shared" si="2"/>
        <v>72</v>
      </c>
      <c r="J10" s="39">
        <f t="shared" si="2"/>
        <v>72</v>
      </c>
      <c r="K10" s="39">
        <f t="shared" si="2"/>
        <v>72</v>
      </c>
      <c r="L10" s="39">
        <f t="shared" si="2"/>
        <v>72</v>
      </c>
      <c r="M10" s="39">
        <f t="shared" si="2"/>
        <v>72</v>
      </c>
      <c r="N10" s="39">
        <f t="shared" si="2"/>
        <v>72</v>
      </c>
      <c r="O10" s="40">
        <f t="shared" si="2"/>
        <v>72</v>
      </c>
    </row>
    <row r="11" spans="1:15" x14ac:dyDescent="0.2">
      <c r="B11" s="30"/>
      <c r="F11" s="41"/>
      <c r="G11" s="41"/>
      <c r="H11" s="41"/>
      <c r="I11" s="41"/>
      <c r="J11" s="41"/>
      <c r="K11" s="41"/>
      <c r="L11" s="41"/>
      <c r="M11" s="41"/>
      <c r="N11" s="41"/>
      <c r="O11" s="41"/>
    </row>
    <row r="12" spans="1:15" x14ac:dyDescent="0.2">
      <c r="B12" s="35" t="s">
        <v>55</v>
      </c>
      <c r="F12" s="42">
        <f>_xlfn.XLOOKUP(DCF!$C$5,'A2'!$B13:$B15,'A2'!F13:F15)</f>
        <v>0.29499999999999998</v>
      </c>
      <c r="G12" s="42">
        <f>_xlfn.XLOOKUP(DCF!$C$5,'A2'!$B13:$B15,'A2'!G13:G15)</f>
        <v>0.29499999999999998</v>
      </c>
      <c r="H12" s="42">
        <f>_xlfn.XLOOKUP(DCF!$C$5,'A2'!$B13:$B15,'A2'!H13:H15)</f>
        <v>0.29499999999999998</v>
      </c>
      <c r="I12" s="42">
        <f>_xlfn.XLOOKUP(DCF!$C$5,'A2'!$B13:$B15,'A2'!I13:I15)</f>
        <v>0.29499999999999998</v>
      </c>
      <c r="J12" s="42">
        <f>_xlfn.XLOOKUP(DCF!$C$5,'A2'!$B13:$B15,'A2'!J13:J15)</f>
        <v>0.29499999999999998</v>
      </c>
      <c r="K12" s="42">
        <f>_xlfn.XLOOKUP(DCF!$C$5,'A2'!$B13:$B15,'A2'!K13:K15)</f>
        <v>0.29499999999999998</v>
      </c>
      <c r="L12" s="42">
        <f>_xlfn.XLOOKUP(DCF!$C$5,'A2'!$B13:$B15,'A2'!L13:L15)</f>
        <v>0.29499999999999998</v>
      </c>
      <c r="M12" s="42">
        <f>_xlfn.XLOOKUP(DCF!$C$5,'A2'!$B13:$B15,'A2'!M13:M15)</f>
        <v>0.29499999999999998</v>
      </c>
      <c r="N12" s="42">
        <f>_xlfn.XLOOKUP(DCF!$C$5,'A2'!$B13:$B15,'A2'!N13:N15)</f>
        <v>0.29499999999999998</v>
      </c>
      <c r="O12" s="42">
        <f>_xlfn.XLOOKUP(DCF!$C$5,'A2'!$B13:$B15,'A2'!O13:O15)</f>
        <v>0.29499999999999998</v>
      </c>
    </row>
    <row r="13" spans="1:15" x14ac:dyDescent="0.2">
      <c r="B13" s="30" t="s">
        <v>45</v>
      </c>
      <c r="F13" s="43">
        <f>F14-0.005</f>
        <v>0.28999999999999998</v>
      </c>
      <c r="G13" s="44">
        <f t="shared" ref="G13:O13" si="3">G14-0.005</f>
        <v>0.28999999999999998</v>
      </c>
      <c r="H13" s="44">
        <f t="shared" si="3"/>
        <v>0.28999999999999998</v>
      </c>
      <c r="I13" s="44">
        <f t="shared" si="3"/>
        <v>0.28999999999999998</v>
      </c>
      <c r="J13" s="44">
        <f t="shared" si="3"/>
        <v>0.28999999999999998</v>
      </c>
      <c r="K13" s="44">
        <f t="shared" si="3"/>
        <v>0.28999999999999998</v>
      </c>
      <c r="L13" s="44">
        <f t="shared" si="3"/>
        <v>0.28999999999999998</v>
      </c>
      <c r="M13" s="44">
        <f t="shared" si="3"/>
        <v>0.28999999999999998</v>
      </c>
      <c r="N13" s="44">
        <f t="shared" si="3"/>
        <v>0.28999999999999998</v>
      </c>
      <c r="O13" s="45">
        <f t="shared" si="3"/>
        <v>0.28999999999999998</v>
      </c>
    </row>
    <row r="14" spans="1:15" x14ac:dyDescent="0.2">
      <c r="B14" s="30" t="s">
        <v>3</v>
      </c>
      <c r="F14" s="43">
        <v>0.29499999999999998</v>
      </c>
      <c r="G14" s="44">
        <v>0.29499999999999998</v>
      </c>
      <c r="H14" s="44">
        <v>0.29499999999999998</v>
      </c>
      <c r="I14" s="44">
        <v>0.29499999999999998</v>
      </c>
      <c r="J14" s="44">
        <v>0.29499999999999998</v>
      </c>
      <c r="K14" s="44">
        <v>0.29499999999999998</v>
      </c>
      <c r="L14" s="44">
        <v>0.29499999999999998</v>
      </c>
      <c r="M14" s="44">
        <v>0.29499999999999998</v>
      </c>
      <c r="N14" s="44">
        <v>0.29499999999999998</v>
      </c>
      <c r="O14" s="45">
        <v>0.29499999999999998</v>
      </c>
    </row>
    <row r="15" spans="1:15" x14ac:dyDescent="0.2">
      <c r="B15" s="30" t="s">
        <v>46</v>
      </c>
      <c r="F15" s="43">
        <f>F14+0.005</f>
        <v>0.3</v>
      </c>
      <c r="G15" s="44">
        <f t="shared" ref="G15:O15" si="4">G14+0.005</f>
        <v>0.3</v>
      </c>
      <c r="H15" s="44">
        <f t="shared" si="4"/>
        <v>0.3</v>
      </c>
      <c r="I15" s="44">
        <f t="shared" si="4"/>
        <v>0.3</v>
      </c>
      <c r="J15" s="44">
        <f t="shared" si="4"/>
        <v>0.3</v>
      </c>
      <c r="K15" s="44">
        <f t="shared" si="4"/>
        <v>0.3</v>
      </c>
      <c r="L15" s="44">
        <f t="shared" si="4"/>
        <v>0.3</v>
      </c>
      <c r="M15" s="44">
        <f t="shared" si="4"/>
        <v>0.3</v>
      </c>
      <c r="N15" s="44">
        <f t="shared" si="4"/>
        <v>0.3</v>
      </c>
      <c r="O15" s="45">
        <f t="shared" si="4"/>
        <v>0.3</v>
      </c>
    </row>
    <row r="16" spans="1:15" x14ac:dyDescent="0.2">
      <c r="B16" s="30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2:15" x14ac:dyDescent="0.2">
      <c r="B17" s="34" t="s">
        <v>25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2:15" x14ac:dyDescent="0.2">
      <c r="B18" s="35" t="s">
        <v>53</v>
      </c>
      <c r="F18" s="37">
        <f>_xlfn.XLOOKUP(DCF!$C$5,'A2'!$B19:$B21,'A2'!F19:F21)</f>
        <v>50.3</v>
      </c>
      <c r="G18" s="37">
        <f>_xlfn.XLOOKUP(DCF!$C$5,'A2'!$B19:$B21,'A2'!G19:G21)</f>
        <v>50.3</v>
      </c>
      <c r="H18" s="37">
        <f>_xlfn.XLOOKUP(DCF!$C$5,'A2'!$B19:$B21,'A2'!H19:H21)</f>
        <v>50.3</v>
      </c>
      <c r="I18" s="37">
        <f>_xlfn.XLOOKUP(DCF!$C$5,'A2'!$B19:$B21,'A2'!I19:I21)</f>
        <v>50.3</v>
      </c>
      <c r="J18" s="37">
        <f>_xlfn.XLOOKUP(DCF!$C$5,'A2'!$B19:$B21,'A2'!J19:J21)</f>
        <v>50.3</v>
      </c>
      <c r="K18" s="37">
        <f>_xlfn.XLOOKUP(DCF!$C$5,'A2'!$B19:$B21,'A2'!K19:K21)</f>
        <v>50.3</v>
      </c>
      <c r="L18" s="37">
        <f>_xlfn.XLOOKUP(DCF!$C$5,'A2'!$B19:$B21,'A2'!L19:L21)</f>
        <v>50.3</v>
      </c>
      <c r="M18" s="37">
        <f>_xlfn.XLOOKUP(DCF!$C$5,'A2'!$B19:$B21,'A2'!M19:M21)</f>
        <v>50.3</v>
      </c>
      <c r="N18" s="37">
        <f>_xlfn.XLOOKUP(DCF!$C$5,'A2'!$B19:$B21,'A2'!N19:N21)</f>
        <v>50.3</v>
      </c>
      <c r="O18" s="37">
        <f>_xlfn.XLOOKUP(DCF!$C$5,'A2'!$B19:$B21,'A2'!O19:O21)</f>
        <v>50.3</v>
      </c>
    </row>
    <row r="19" spans="2:15" x14ac:dyDescent="0.2">
      <c r="B19" s="30" t="s">
        <v>45</v>
      </c>
      <c r="F19" s="38">
        <f>F20-8</f>
        <v>42.3</v>
      </c>
      <c r="G19" s="39">
        <f t="shared" ref="G19:O19" si="5">G20-8</f>
        <v>42.3</v>
      </c>
      <c r="H19" s="39">
        <f t="shared" si="5"/>
        <v>42.3</v>
      </c>
      <c r="I19" s="39">
        <f t="shared" si="5"/>
        <v>42.3</v>
      </c>
      <c r="J19" s="39">
        <f t="shared" si="5"/>
        <v>42.3</v>
      </c>
      <c r="K19" s="39">
        <f t="shared" si="5"/>
        <v>42.3</v>
      </c>
      <c r="L19" s="39">
        <f t="shared" si="5"/>
        <v>42.3</v>
      </c>
      <c r="M19" s="39">
        <f t="shared" si="5"/>
        <v>42.3</v>
      </c>
      <c r="N19" s="39">
        <f t="shared" si="5"/>
        <v>42.3</v>
      </c>
      <c r="O19" s="40">
        <f t="shared" si="5"/>
        <v>42.3</v>
      </c>
    </row>
    <row r="20" spans="2:15" x14ac:dyDescent="0.2">
      <c r="B20" s="30" t="s">
        <v>3</v>
      </c>
      <c r="F20" s="38">
        <v>50.3</v>
      </c>
      <c r="G20" s="39">
        <v>50.3</v>
      </c>
      <c r="H20" s="39">
        <v>50.3</v>
      </c>
      <c r="I20" s="39">
        <v>50.3</v>
      </c>
      <c r="J20" s="39">
        <v>50.3</v>
      </c>
      <c r="K20" s="39">
        <v>50.3</v>
      </c>
      <c r="L20" s="39">
        <v>50.3</v>
      </c>
      <c r="M20" s="39">
        <v>50.3</v>
      </c>
      <c r="N20" s="39">
        <v>50.3</v>
      </c>
      <c r="O20" s="40">
        <v>50.3</v>
      </c>
    </row>
    <row r="21" spans="2:15" x14ac:dyDescent="0.2">
      <c r="B21" s="30" t="s">
        <v>46</v>
      </c>
      <c r="F21" s="38">
        <f>F20+8</f>
        <v>58.3</v>
      </c>
      <c r="G21" s="39">
        <f t="shared" ref="G21:O21" si="6">G20+8</f>
        <v>58.3</v>
      </c>
      <c r="H21" s="39">
        <f t="shared" si="6"/>
        <v>58.3</v>
      </c>
      <c r="I21" s="39">
        <f t="shared" si="6"/>
        <v>58.3</v>
      </c>
      <c r="J21" s="39">
        <f t="shared" si="6"/>
        <v>58.3</v>
      </c>
      <c r="K21" s="39">
        <f t="shared" si="6"/>
        <v>58.3</v>
      </c>
      <c r="L21" s="39">
        <f t="shared" si="6"/>
        <v>58.3</v>
      </c>
      <c r="M21" s="39">
        <f t="shared" si="6"/>
        <v>58.3</v>
      </c>
      <c r="N21" s="39">
        <f t="shared" si="6"/>
        <v>58.3</v>
      </c>
      <c r="O21" s="40">
        <f t="shared" si="6"/>
        <v>58.3</v>
      </c>
    </row>
    <row r="22" spans="2:15" x14ac:dyDescent="0.2"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spans="2:15" x14ac:dyDescent="0.2">
      <c r="B23" s="8" t="s">
        <v>33</v>
      </c>
      <c r="F23" s="42">
        <f>_xlfn.XLOOKUP(DCF!$C$5,'A2'!$B24:$B26,'A2'!F24:F26)</f>
        <v>1.7999999999999999E-2</v>
      </c>
      <c r="G23" s="42">
        <f>_xlfn.XLOOKUP(DCF!$C$5,'A2'!$B24:$B26,'A2'!G24:G26)</f>
        <v>1.7999999999999999E-2</v>
      </c>
      <c r="H23" s="42">
        <f>_xlfn.XLOOKUP(DCF!$C$5,'A2'!$B24:$B26,'A2'!H24:H26)</f>
        <v>1.7999999999999999E-2</v>
      </c>
      <c r="I23" s="42">
        <f>_xlfn.XLOOKUP(DCF!$C$5,'A2'!$B24:$B26,'A2'!I24:I26)</f>
        <v>1.7999999999999999E-2</v>
      </c>
      <c r="J23" s="42">
        <f>_xlfn.XLOOKUP(DCF!$C$5,'A2'!$B24:$B26,'A2'!J24:J26)</f>
        <v>1.7999999999999999E-2</v>
      </c>
      <c r="K23" s="42">
        <f>_xlfn.XLOOKUP(DCF!$C$5,'A2'!$B24:$B26,'A2'!K24:K26)</f>
        <v>1.7999999999999999E-2</v>
      </c>
      <c r="L23" s="42">
        <f>_xlfn.XLOOKUP(DCF!$C$5,'A2'!$B24:$B26,'A2'!L24:L26)</f>
        <v>1.7999999999999999E-2</v>
      </c>
      <c r="M23" s="42">
        <f>_xlfn.XLOOKUP(DCF!$C$5,'A2'!$B24:$B26,'A2'!M24:M26)</f>
        <v>1.7999999999999999E-2</v>
      </c>
      <c r="N23" s="42">
        <f>_xlfn.XLOOKUP(DCF!$C$5,'A2'!$B24:$B26,'A2'!N24:N26)</f>
        <v>1.7999999999999999E-2</v>
      </c>
      <c r="O23" s="42">
        <f>_xlfn.XLOOKUP(DCF!$C$5,'A2'!$B24:$B26,'A2'!O24:O26)</f>
        <v>1.7999999999999999E-2</v>
      </c>
    </row>
    <row r="24" spans="2:15" x14ac:dyDescent="0.2">
      <c r="B24" s="30" t="s">
        <v>45</v>
      </c>
      <c r="F24" s="43">
        <f>F25+0.002</f>
        <v>1.9999999999999997E-2</v>
      </c>
      <c r="G24" s="44">
        <f t="shared" ref="G24:O24" si="7">G25+0.002</f>
        <v>1.9999999999999997E-2</v>
      </c>
      <c r="H24" s="44">
        <f t="shared" si="7"/>
        <v>1.9999999999999997E-2</v>
      </c>
      <c r="I24" s="44">
        <f t="shared" si="7"/>
        <v>1.9999999999999997E-2</v>
      </c>
      <c r="J24" s="44">
        <f t="shared" si="7"/>
        <v>1.9999999999999997E-2</v>
      </c>
      <c r="K24" s="44">
        <f t="shared" si="7"/>
        <v>1.9999999999999997E-2</v>
      </c>
      <c r="L24" s="44">
        <f t="shared" si="7"/>
        <v>1.9999999999999997E-2</v>
      </c>
      <c r="M24" s="44">
        <f t="shared" si="7"/>
        <v>1.9999999999999997E-2</v>
      </c>
      <c r="N24" s="44">
        <f t="shared" si="7"/>
        <v>1.9999999999999997E-2</v>
      </c>
      <c r="O24" s="45">
        <f t="shared" si="7"/>
        <v>1.9999999999999997E-2</v>
      </c>
    </row>
    <row r="25" spans="2:15" x14ac:dyDescent="0.2">
      <c r="B25" s="30" t="s">
        <v>3</v>
      </c>
      <c r="F25" s="43">
        <v>1.7999999999999999E-2</v>
      </c>
      <c r="G25" s="44">
        <v>1.7999999999999999E-2</v>
      </c>
      <c r="H25" s="44">
        <v>1.7999999999999999E-2</v>
      </c>
      <c r="I25" s="44">
        <v>1.7999999999999999E-2</v>
      </c>
      <c r="J25" s="44">
        <v>1.7999999999999999E-2</v>
      </c>
      <c r="K25" s="44">
        <v>1.7999999999999999E-2</v>
      </c>
      <c r="L25" s="44">
        <v>1.7999999999999999E-2</v>
      </c>
      <c r="M25" s="44">
        <v>1.7999999999999999E-2</v>
      </c>
      <c r="N25" s="44">
        <v>1.7999999999999999E-2</v>
      </c>
      <c r="O25" s="45">
        <v>1.7999999999999999E-2</v>
      </c>
    </row>
    <row r="26" spans="2:15" x14ac:dyDescent="0.2">
      <c r="B26" s="30" t="s">
        <v>46</v>
      </c>
      <c r="F26" s="43">
        <f>F25-0.002</f>
        <v>1.6E-2</v>
      </c>
      <c r="G26" s="44">
        <f t="shared" ref="G26:O26" si="8">G25-0.002</f>
        <v>1.6E-2</v>
      </c>
      <c r="H26" s="44">
        <f t="shared" si="8"/>
        <v>1.6E-2</v>
      </c>
      <c r="I26" s="44">
        <f t="shared" si="8"/>
        <v>1.6E-2</v>
      </c>
      <c r="J26" s="44">
        <f t="shared" si="8"/>
        <v>1.6E-2</v>
      </c>
      <c r="K26" s="44">
        <f t="shared" si="8"/>
        <v>1.6E-2</v>
      </c>
      <c r="L26" s="44">
        <f t="shared" si="8"/>
        <v>1.6E-2</v>
      </c>
      <c r="M26" s="44">
        <f t="shared" si="8"/>
        <v>1.6E-2</v>
      </c>
      <c r="N26" s="44">
        <f t="shared" si="8"/>
        <v>1.6E-2</v>
      </c>
      <c r="O26" s="45">
        <f t="shared" si="8"/>
        <v>1.6E-2</v>
      </c>
    </row>
    <row r="27" spans="2:15" x14ac:dyDescent="0.2">
      <c r="F27" s="41"/>
      <c r="G27" s="41"/>
      <c r="H27" s="41"/>
      <c r="I27" s="41"/>
      <c r="J27" s="41"/>
      <c r="K27" s="41"/>
      <c r="L27" s="41"/>
      <c r="M27" s="41"/>
      <c r="N27" s="41"/>
      <c r="O27" s="41"/>
    </row>
    <row r="28" spans="2:15" x14ac:dyDescent="0.2">
      <c r="B28" s="30"/>
      <c r="F28" s="41"/>
      <c r="G28" s="41"/>
      <c r="H28" s="41"/>
      <c r="I28" s="41"/>
      <c r="J28" s="41"/>
      <c r="K28" s="41"/>
      <c r="L28" s="41"/>
      <c r="M28" s="41"/>
      <c r="N28" s="41"/>
      <c r="O28" s="41"/>
    </row>
    <row r="29" spans="2:15" x14ac:dyDescent="0.2">
      <c r="B29" s="35" t="s">
        <v>54</v>
      </c>
      <c r="F29" s="42">
        <f>_xlfn.XLOOKUP(DCF!$C$5,'A2'!$B30:$B32,'A2'!F30:F32)</f>
        <v>0.20200000000000001</v>
      </c>
      <c r="G29" s="42">
        <f>_xlfn.XLOOKUP(DCF!$C$5,'A2'!$B30:$B32,'A2'!G30:G32)</f>
        <v>0.20200000000000001</v>
      </c>
      <c r="H29" s="42">
        <f>_xlfn.XLOOKUP(DCF!$C$5,'A2'!$B30:$B32,'A2'!H30:H32)</f>
        <v>0.20200000000000001</v>
      </c>
      <c r="I29" s="42">
        <f>_xlfn.XLOOKUP(DCF!$C$5,'A2'!$B30:$B32,'A2'!I30:I32)</f>
        <v>0.20200000000000001</v>
      </c>
      <c r="J29" s="42">
        <f>_xlfn.XLOOKUP(DCF!$C$5,'A2'!$B30:$B32,'A2'!J30:J32)</f>
        <v>0.20200000000000001</v>
      </c>
      <c r="K29" s="42">
        <f>_xlfn.XLOOKUP(DCF!$C$5,'A2'!$B30:$B32,'A2'!K30:K32)</f>
        <v>0.20200000000000001</v>
      </c>
      <c r="L29" s="42">
        <f>_xlfn.XLOOKUP(DCF!$C$5,'A2'!$B30:$B32,'A2'!L30:L32)</f>
        <v>0.20200000000000001</v>
      </c>
      <c r="M29" s="42">
        <f>_xlfn.XLOOKUP(DCF!$C$5,'A2'!$B30:$B32,'A2'!M30:M32)</f>
        <v>0.20200000000000001</v>
      </c>
      <c r="N29" s="42">
        <f>_xlfn.XLOOKUP(DCF!$C$5,'A2'!$B30:$B32,'A2'!N30:N32)</f>
        <v>0.20200000000000001</v>
      </c>
      <c r="O29" s="42">
        <f>_xlfn.XLOOKUP(DCF!$C$5,'A2'!$B30:$B32,'A2'!O30:O32)</f>
        <v>0.20200000000000001</v>
      </c>
    </row>
    <row r="30" spans="2:15" x14ac:dyDescent="0.2">
      <c r="B30" s="30" t="s">
        <v>45</v>
      </c>
      <c r="F30" s="43">
        <f>F31-0.005</f>
        <v>0.19700000000000001</v>
      </c>
      <c r="G30" s="44">
        <f t="shared" ref="G30:O30" si="9">G31-0.005</f>
        <v>0.19700000000000001</v>
      </c>
      <c r="H30" s="44">
        <f t="shared" si="9"/>
        <v>0.19700000000000001</v>
      </c>
      <c r="I30" s="44">
        <f t="shared" si="9"/>
        <v>0.19700000000000001</v>
      </c>
      <c r="J30" s="44">
        <f t="shared" si="9"/>
        <v>0.19700000000000001</v>
      </c>
      <c r="K30" s="44">
        <f t="shared" si="9"/>
        <v>0.19700000000000001</v>
      </c>
      <c r="L30" s="44">
        <f t="shared" si="9"/>
        <v>0.19700000000000001</v>
      </c>
      <c r="M30" s="44">
        <f t="shared" si="9"/>
        <v>0.19700000000000001</v>
      </c>
      <c r="N30" s="44">
        <f t="shared" si="9"/>
        <v>0.19700000000000001</v>
      </c>
      <c r="O30" s="45">
        <f t="shared" si="9"/>
        <v>0.19700000000000001</v>
      </c>
    </row>
    <row r="31" spans="2:15" x14ac:dyDescent="0.2">
      <c r="B31" s="30" t="s">
        <v>3</v>
      </c>
      <c r="F31" s="43">
        <v>0.20200000000000001</v>
      </c>
      <c r="G31" s="44">
        <v>0.20200000000000001</v>
      </c>
      <c r="H31" s="44">
        <v>0.20200000000000001</v>
      </c>
      <c r="I31" s="44">
        <v>0.20200000000000001</v>
      </c>
      <c r="J31" s="44">
        <v>0.20200000000000001</v>
      </c>
      <c r="K31" s="44">
        <v>0.20200000000000001</v>
      </c>
      <c r="L31" s="44">
        <v>0.20200000000000001</v>
      </c>
      <c r="M31" s="44">
        <v>0.20200000000000001</v>
      </c>
      <c r="N31" s="44">
        <v>0.20200000000000001</v>
      </c>
      <c r="O31" s="45">
        <v>0.20200000000000001</v>
      </c>
    </row>
    <row r="32" spans="2:15" x14ac:dyDescent="0.2">
      <c r="B32" s="30" t="s">
        <v>46</v>
      </c>
      <c r="F32" s="43">
        <f>F31+0.005</f>
        <v>0.20700000000000002</v>
      </c>
      <c r="G32" s="44">
        <f t="shared" ref="G32:O32" si="10">G31+0.005</f>
        <v>0.20700000000000002</v>
      </c>
      <c r="H32" s="44">
        <f t="shared" si="10"/>
        <v>0.20700000000000002</v>
      </c>
      <c r="I32" s="44">
        <f t="shared" si="10"/>
        <v>0.20700000000000002</v>
      </c>
      <c r="J32" s="44">
        <f t="shared" si="10"/>
        <v>0.20700000000000002</v>
      </c>
      <c r="K32" s="44">
        <f t="shared" si="10"/>
        <v>0.20700000000000002</v>
      </c>
      <c r="L32" s="44">
        <f t="shared" si="10"/>
        <v>0.20700000000000002</v>
      </c>
      <c r="M32" s="44">
        <f t="shared" si="10"/>
        <v>0.20700000000000002</v>
      </c>
      <c r="N32" s="44">
        <f t="shared" si="10"/>
        <v>0.20700000000000002</v>
      </c>
      <c r="O32" s="45">
        <f t="shared" si="10"/>
        <v>0.20700000000000002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D1A-E24A-4789-9800-F9862B475159}">
  <dimension ref="B2:C7"/>
  <sheetViews>
    <sheetView showGridLines="0" workbookViewId="0">
      <selection activeCell="H34" sqref="H34"/>
    </sheetView>
  </sheetViews>
  <sheetFormatPr defaultColWidth="9" defaultRowHeight="12.75" x14ac:dyDescent="0.2"/>
  <cols>
    <col min="1" max="1" width="0.85546875" style="1" customWidth="1"/>
    <col min="2" max="16384" width="9" style="1"/>
  </cols>
  <sheetData>
    <row r="2" spans="2:3" x14ac:dyDescent="0.2">
      <c r="B2" s="1" t="s">
        <v>102</v>
      </c>
      <c r="C2" s="67">
        <f ca="1">DCF!E34</f>
        <v>17726.501128449028</v>
      </c>
    </row>
    <row r="3" spans="2:3" x14ac:dyDescent="0.2">
      <c r="B3" s="1" t="s">
        <v>103</v>
      </c>
      <c r="C3" s="67">
        <f>DCF!E41</f>
        <v>40793.045794647995</v>
      </c>
    </row>
    <row r="4" spans="2:3" x14ac:dyDescent="0.2">
      <c r="B4" s="1" t="s">
        <v>104</v>
      </c>
      <c r="C4" s="67">
        <f ca="1">EV</f>
        <v>58519.546923097019</v>
      </c>
    </row>
    <row r="5" spans="2:3" x14ac:dyDescent="0.2">
      <c r="B5" s="1" t="s">
        <v>106</v>
      </c>
      <c r="C5" s="67">
        <f>DCF!J38</f>
        <v>5343</v>
      </c>
    </row>
    <row r="6" spans="2:3" x14ac:dyDescent="0.2">
      <c r="B6" s="1" t="s">
        <v>105</v>
      </c>
      <c r="C6" s="67">
        <f>DCF!J35</f>
        <v>-26210</v>
      </c>
    </row>
    <row r="7" spans="2:3" x14ac:dyDescent="0.2">
      <c r="B7" s="1" t="s">
        <v>107</v>
      </c>
      <c r="C7" s="67">
        <f ca="1">DCF!J40</f>
        <v>37652.546923097019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DCF</vt:lpstr>
      <vt:lpstr>WCP</vt:lpstr>
      <vt:lpstr>WACC</vt:lpstr>
      <vt:lpstr>A1</vt:lpstr>
      <vt:lpstr>A2</vt:lpstr>
      <vt:lpstr>Charts</vt:lpstr>
      <vt:lpstr>EV</vt:lpstr>
      <vt:lpstr>TV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SADRAQUE AUGUSTO OLIVEIRA DE MELO CARVAL</dc:creator>
  <cp:lastModifiedBy>SADRAQUE AUGUSTO OLIVEIRA DE MELO CARVAL</cp:lastModifiedBy>
  <dcterms:created xsi:type="dcterms:W3CDTF">2024-09-17T06:33:30Z</dcterms:created>
  <dcterms:modified xsi:type="dcterms:W3CDTF">2024-10-22T18:44:11Z</dcterms:modified>
</cp:coreProperties>
</file>