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o\Downloads\"/>
    </mc:Choice>
  </mc:AlternateContent>
  <xr:revisionPtr revIDLastSave="0" documentId="8_{D8386A81-DEEE-452D-BBF4-B95117054717}" xr6:coauthVersionLast="47" xr6:coauthVersionMax="47" xr10:uidLastSave="{00000000-0000-0000-0000-000000000000}"/>
  <bookViews>
    <workbookView xWindow="-120" yWindow="-120" windowWidth="29040" windowHeight="15840" xr2:uid="{D08A8C3D-7594-4096-BEC7-71DA56693BDE}"/>
  </bookViews>
  <sheets>
    <sheet name="LBO Analysi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55" i="1" s="1"/>
  <c r="C129" i="1"/>
  <c r="C130" i="1" s="1"/>
  <c r="C131" i="1" s="1"/>
  <c r="C132" i="1" s="1"/>
  <c r="C133" i="1" s="1"/>
  <c r="C134" i="1" s="1"/>
  <c r="C135" i="1" s="1"/>
  <c r="C136" i="1" s="1"/>
  <c r="G102" i="1"/>
  <c r="H102" i="1"/>
  <c r="I102" i="1"/>
  <c r="J102" i="1"/>
  <c r="F102" i="1"/>
  <c r="C117" i="1" l="1"/>
  <c r="C118" i="1" s="1"/>
  <c r="C119" i="1" s="1"/>
  <c r="C120" i="1" s="1"/>
  <c r="C121" i="1" s="1"/>
  <c r="C122" i="1" s="1"/>
  <c r="C123" i="1" s="1"/>
  <c r="C124" i="1" s="1"/>
  <c r="E107" i="1"/>
  <c r="F100" i="1"/>
  <c r="G100" i="1" s="1"/>
  <c r="H100" i="1" s="1"/>
  <c r="I100" i="1" s="1"/>
  <c r="J100" i="1" s="1"/>
  <c r="G91" i="1"/>
  <c r="H91" i="1" s="1"/>
  <c r="I91" i="1" s="1"/>
  <c r="J91" i="1" s="1"/>
  <c r="F77" i="1"/>
  <c r="E56" i="1"/>
  <c r="E62" i="1"/>
  <c r="E69" i="1" s="1"/>
  <c r="E54" i="1"/>
  <c r="F46" i="1"/>
  <c r="G46" i="1" s="1"/>
  <c r="H46" i="1" s="1"/>
  <c r="I46" i="1" s="1"/>
  <c r="J46" i="1" s="1"/>
  <c r="G44" i="1"/>
  <c r="H44" i="1" s="1"/>
  <c r="I44" i="1" s="1"/>
  <c r="J44" i="1" s="1"/>
  <c r="E44" i="1"/>
  <c r="E38" i="1"/>
  <c r="G36" i="1"/>
  <c r="H36" i="1" s="1"/>
  <c r="I36" i="1" s="1"/>
  <c r="J36" i="1" s="1"/>
  <c r="E35" i="1"/>
  <c r="F35" i="1" s="1"/>
  <c r="F33" i="1"/>
  <c r="G33" i="1" s="1"/>
  <c r="F32" i="1"/>
  <c r="G32" i="1" s="1"/>
  <c r="H32" i="1" s="1"/>
  <c r="I32" i="1" s="1"/>
  <c r="J32" i="1" s="1"/>
  <c r="F51" i="1"/>
  <c r="G51" i="1" s="1"/>
  <c r="H51" i="1" s="1"/>
  <c r="I51" i="1" s="1"/>
  <c r="J51" i="1" s="1"/>
  <c r="J27" i="1"/>
  <c r="F76" i="1" s="1"/>
  <c r="E9" i="1"/>
  <c r="E25" i="1" s="1"/>
  <c r="E85" i="1" s="1"/>
  <c r="H103" i="1" l="1"/>
  <c r="H105" i="1"/>
  <c r="H106" i="1"/>
  <c r="G103" i="1"/>
  <c r="I105" i="1"/>
  <c r="G106" i="1"/>
  <c r="I103" i="1"/>
  <c r="G105" i="1"/>
  <c r="I106" i="1"/>
  <c r="F103" i="1"/>
  <c r="F105" i="1"/>
  <c r="F106" i="1"/>
  <c r="F93" i="1"/>
  <c r="F75" i="1"/>
  <c r="E47" i="1"/>
  <c r="E57" i="1" s="1"/>
  <c r="F37" i="1"/>
  <c r="H33" i="1"/>
  <c r="G37" i="1"/>
  <c r="E26" i="1"/>
  <c r="E86" i="1" s="1"/>
  <c r="E27" i="1"/>
  <c r="E87" i="1" s="1"/>
  <c r="G35" i="1"/>
  <c r="F53" i="1"/>
  <c r="E11" i="1"/>
  <c r="F95" i="1" l="1"/>
  <c r="F86" i="1"/>
  <c r="F96" i="1"/>
  <c r="F87" i="1"/>
  <c r="F45" i="1"/>
  <c r="F55" i="1" s="1"/>
  <c r="G77" i="1"/>
  <c r="F71" i="1"/>
  <c r="F56" i="1"/>
  <c r="G41" i="1"/>
  <c r="G72" i="1" s="1"/>
  <c r="F41" i="1"/>
  <c r="F72" i="1" s="1"/>
  <c r="F94" i="1"/>
  <c r="F47" i="1"/>
  <c r="F57" i="1" s="1"/>
  <c r="F59" i="1" s="1"/>
  <c r="F101" i="1" s="1"/>
  <c r="E59" i="1"/>
  <c r="E65" i="1" s="1"/>
  <c r="F54" i="1"/>
  <c r="F43" i="1"/>
  <c r="F62" i="1" s="1"/>
  <c r="F69" i="1" s="1"/>
  <c r="I33" i="1"/>
  <c r="H37" i="1"/>
  <c r="H35" i="1"/>
  <c r="G53" i="1"/>
  <c r="E12" i="1"/>
  <c r="J26" i="1" s="1"/>
  <c r="J25" i="1"/>
  <c r="G96" i="1" l="1"/>
  <c r="G87" i="1" s="1"/>
  <c r="G45" i="1"/>
  <c r="G55" i="1" s="1"/>
  <c r="F63" i="1"/>
  <c r="F42" i="1"/>
  <c r="G95" i="1"/>
  <c r="G70" i="1" s="1"/>
  <c r="F70" i="1"/>
  <c r="G94" i="1"/>
  <c r="G54" i="1"/>
  <c r="H77" i="1"/>
  <c r="G71" i="1"/>
  <c r="H41" i="1"/>
  <c r="H72" i="1" s="1"/>
  <c r="G47" i="1"/>
  <c r="F65" i="1"/>
  <c r="F66" i="1" s="1"/>
  <c r="E60" i="1"/>
  <c r="J28" i="1"/>
  <c r="E28" i="1" s="1"/>
  <c r="E110" i="1" s="1"/>
  <c r="G43" i="1"/>
  <c r="G62" i="1" s="1"/>
  <c r="G69" i="1" s="1"/>
  <c r="G42" i="1"/>
  <c r="J33" i="1"/>
  <c r="J37" i="1" s="1"/>
  <c r="I37" i="1"/>
  <c r="I41" i="1" s="1"/>
  <c r="I72" i="1" s="1"/>
  <c r="I35" i="1"/>
  <c r="H53" i="1"/>
  <c r="H96" i="1" l="1"/>
  <c r="H87" i="1"/>
  <c r="I96" i="1" s="1"/>
  <c r="H71" i="1"/>
  <c r="H45" i="1"/>
  <c r="G56" i="1"/>
  <c r="G86" i="1"/>
  <c r="H95" i="1" s="1"/>
  <c r="I87" i="1"/>
  <c r="J96" i="1" s="1"/>
  <c r="F60" i="1"/>
  <c r="E29" i="1"/>
  <c r="J41" i="1"/>
  <c r="J72" i="1" s="1"/>
  <c r="H54" i="1"/>
  <c r="I77" i="1"/>
  <c r="E66" i="1"/>
  <c r="E67" i="1" s="1"/>
  <c r="H47" i="1"/>
  <c r="G57" i="1"/>
  <c r="G59" i="1" s="1"/>
  <c r="G101" i="1" s="1"/>
  <c r="H42" i="1"/>
  <c r="H43" i="1"/>
  <c r="H62" i="1" s="1"/>
  <c r="H69" i="1" s="1"/>
  <c r="H55" i="1"/>
  <c r="H56" i="1" s="1"/>
  <c r="J35" i="1"/>
  <c r="J53" i="1" s="1"/>
  <c r="J45" i="1" s="1"/>
  <c r="I53" i="1"/>
  <c r="H86" i="1" l="1"/>
  <c r="H70" i="1"/>
  <c r="J77" i="1"/>
  <c r="I45" i="1"/>
  <c r="I55" i="1" s="1"/>
  <c r="I56" i="1" s="1"/>
  <c r="J87" i="1"/>
  <c r="H94" i="1"/>
  <c r="G60" i="1"/>
  <c r="I95" i="1"/>
  <c r="I70" i="1" s="1"/>
  <c r="I54" i="1"/>
  <c r="J71" i="1"/>
  <c r="I71" i="1"/>
  <c r="J54" i="1"/>
  <c r="J55" i="1"/>
  <c r="J56" i="1" s="1"/>
  <c r="I47" i="1"/>
  <c r="H57" i="1"/>
  <c r="H59" i="1" s="1"/>
  <c r="H101" i="1" s="1"/>
  <c r="J42" i="1"/>
  <c r="I43" i="1"/>
  <c r="I62" i="1" s="1"/>
  <c r="I69" i="1" s="1"/>
  <c r="J43" i="1"/>
  <c r="J62" i="1" s="1"/>
  <c r="J69" i="1" s="1"/>
  <c r="I42" i="1"/>
  <c r="I86" i="1" l="1"/>
  <c r="H60" i="1"/>
  <c r="I94" i="1"/>
  <c r="J95" i="1"/>
  <c r="J70" i="1" s="1"/>
  <c r="I57" i="1"/>
  <c r="I59" i="1" s="1"/>
  <c r="I101" i="1" s="1"/>
  <c r="J47" i="1"/>
  <c r="J57" i="1" s="1"/>
  <c r="J59" i="1" s="1"/>
  <c r="J101" i="1" s="1"/>
  <c r="J86" i="1" l="1"/>
  <c r="I60" i="1"/>
  <c r="J94" i="1"/>
  <c r="J60" i="1"/>
  <c r="J103" i="1"/>
  <c r="F67" i="1" l="1"/>
  <c r="F73" i="1" l="1"/>
  <c r="F78" i="1" s="1"/>
  <c r="F79" i="1" s="1"/>
  <c r="F81" i="1" s="1"/>
  <c r="F85" i="1" s="1"/>
  <c r="F82" i="1" l="1"/>
  <c r="G93" i="1"/>
  <c r="G75" i="1"/>
  <c r="G76" i="1" l="1"/>
  <c r="F107" i="1"/>
  <c r="G63" i="1"/>
  <c r="G65" i="1" s="1"/>
  <c r="F108" i="1" l="1"/>
  <c r="F109" i="1" s="1"/>
  <c r="G66" i="1" l="1"/>
  <c r="G67" i="1" s="1"/>
  <c r="G73" i="1" s="1"/>
  <c r="F110" i="1"/>
  <c r="G78" i="1" l="1"/>
  <c r="G79" i="1" s="1"/>
  <c r="G81" i="1" s="1"/>
  <c r="G85" i="1" s="1"/>
  <c r="G107" i="1"/>
  <c r="G108" i="1" s="1"/>
  <c r="G109" i="1" s="1"/>
  <c r="G82" i="1" l="1"/>
  <c r="H76" i="1" s="1"/>
  <c r="H93" i="1"/>
  <c r="H63" i="1" s="1"/>
  <c r="H75" i="1"/>
  <c r="G110" i="1"/>
  <c r="H65" i="1" l="1"/>
  <c r="H66" i="1" s="1"/>
  <c r="H67" i="1" s="1"/>
  <c r="H107" i="1"/>
  <c r="H73" i="1" l="1"/>
  <c r="H78" i="1" s="1"/>
  <c r="H79" i="1" s="1"/>
  <c r="H81" i="1" s="1"/>
  <c r="H85" i="1" s="1"/>
  <c r="H108" i="1"/>
  <c r="H109" i="1" s="1"/>
  <c r="H82" i="1" l="1"/>
  <c r="I76" i="1" s="1"/>
  <c r="I93" i="1"/>
  <c r="I63" i="1" s="1"/>
  <c r="I65" i="1" s="1"/>
  <c r="I66" i="1" s="1"/>
  <c r="I67" i="1" s="1"/>
  <c r="I75" i="1"/>
  <c r="H110" i="1"/>
  <c r="I73" i="1" l="1"/>
  <c r="I78" i="1" s="1"/>
  <c r="I79" i="1" s="1"/>
  <c r="I81" i="1" s="1"/>
  <c r="I82" i="1" s="1"/>
  <c r="J76" i="1" s="1"/>
  <c r="I85" i="1" l="1"/>
  <c r="J75" i="1" s="1"/>
  <c r="I107" i="1"/>
  <c r="J93" i="1" l="1"/>
  <c r="J63" i="1" s="1"/>
  <c r="J65" i="1" s="1"/>
  <c r="J66" i="1" s="1"/>
  <c r="J67" i="1" s="1"/>
  <c r="I108" i="1"/>
  <c r="I109" i="1" s="1"/>
  <c r="J73" i="1" l="1"/>
  <c r="J78" i="1" s="1"/>
  <c r="I110" i="1"/>
  <c r="J79" i="1" l="1"/>
  <c r="J81" i="1" s="1"/>
  <c r="J85" i="1" s="1"/>
  <c r="J105" i="1" s="1"/>
  <c r="J82" i="1"/>
  <c r="J106" i="1" s="1"/>
  <c r="J107" i="1" s="1"/>
  <c r="J108" i="1" s="1"/>
  <c r="J109" i="1" s="1"/>
  <c r="J110" i="1" l="1"/>
  <c r="E113" i="1" s="1"/>
  <c r="C127" i="1" s="1"/>
  <c r="E112" i="1" a="1"/>
  <c r="E112" i="1" s="1"/>
  <c r="C11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<sst xmlns="http://schemas.openxmlformats.org/spreadsheetml/2006/main" count="109" uniqueCount="86">
  <si>
    <t>Widget Co.</t>
  </si>
  <si>
    <t>Assumptions</t>
  </si>
  <si>
    <t>Leveraged Buyout Analysis</t>
  </si>
  <si>
    <t>LTM EBITDA</t>
  </si>
  <si>
    <t>Entry Multiple</t>
  </si>
  <si>
    <t>Purchase Enterprise Value</t>
  </si>
  <si>
    <t>Advisory and Financing Fees</t>
  </si>
  <si>
    <t>Term Loans</t>
  </si>
  <si>
    <t>Senior Notes</t>
  </si>
  <si>
    <t>Subordinated Notes</t>
  </si>
  <si>
    <t>EBITDA x</t>
  </si>
  <si>
    <t>PIK</t>
  </si>
  <si>
    <t>LTM Revenue</t>
  </si>
  <si>
    <t>EBITDA Margin</t>
  </si>
  <si>
    <t>Management Options Pool</t>
  </si>
  <si>
    <t>Spread</t>
  </si>
  <si>
    <t>Sweep</t>
  </si>
  <si>
    <t>Fix Cash</t>
  </si>
  <si>
    <t>Tax Rate</t>
  </si>
  <si>
    <t>Equity</t>
  </si>
  <si>
    <t>Min Cash as % of Revenue</t>
  </si>
  <si>
    <t>Inventory as % of Revenue</t>
  </si>
  <si>
    <t>Receivables as % of Revenue</t>
  </si>
  <si>
    <t>Payables as % of Revenue</t>
  </si>
  <si>
    <t>Sources &amp; Uses</t>
  </si>
  <si>
    <t>Sources</t>
  </si>
  <si>
    <t>Cash to B/S</t>
  </si>
  <si>
    <t>Total Sources</t>
  </si>
  <si>
    <t>Uses</t>
  </si>
  <si>
    <t>Total Uses</t>
  </si>
  <si>
    <t xml:space="preserve"> </t>
  </si>
  <si>
    <t>Cashflow Projections</t>
  </si>
  <si>
    <t>Revenue</t>
  </si>
  <si>
    <t>Growth %</t>
  </si>
  <si>
    <t>Cost of Goods Sold</t>
  </si>
  <si>
    <t>Drivers</t>
  </si>
  <si>
    <t>Unit Widget Sales</t>
  </si>
  <si>
    <t>Factories</t>
  </si>
  <si>
    <t>Average Price per Unit</t>
  </si>
  <si>
    <t>Units per Factory</t>
  </si>
  <si>
    <t>Growth for Built New Factory</t>
  </si>
  <si>
    <t>CapEx</t>
  </si>
  <si>
    <t>Mtc CapEx per Factory</t>
  </si>
  <si>
    <t>Margin %</t>
  </si>
  <si>
    <t>Depreciation &amp; Amotisation</t>
  </si>
  <si>
    <t>Gross Margin %</t>
  </si>
  <si>
    <t>SG&amp;A Expenses</t>
  </si>
  <si>
    <t>Income Statement</t>
  </si>
  <si>
    <t>EDITDA</t>
  </si>
  <si>
    <t>(-) Depreciation &amp; Amotisation</t>
  </si>
  <si>
    <t>(-) Interest</t>
  </si>
  <si>
    <t>EBT</t>
  </si>
  <si>
    <t>(-) Taxes</t>
  </si>
  <si>
    <t>Net Income</t>
  </si>
  <si>
    <t>(+) Depreciation &amp; Amotisation</t>
  </si>
  <si>
    <t>(+) Non-cash Interest</t>
  </si>
  <si>
    <t>(+) Changes in Working Capital</t>
  </si>
  <si>
    <t>(-) CapEx</t>
  </si>
  <si>
    <t>Free Cash Flow</t>
  </si>
  <si>
    <t>(-) Mandatory Repayment</t>
  </si>
  <si>
    <t>Cash Balance</t>
  </si>
  <si>
    <t>Min Cash</t>
  </si>
  <si>
    <t>(+) Free Cash Flow</t>
  </si>
  <si>
    <t>Debt Repayment</t>
  </si>
  <si>
    <t>Ending Cash</t>
  </si>
  <si>
    <t>Cash Available</t>
  </si>
  <si>
    <t>Debt Balances</t>
  </si>
  <si>
    <t>Term Loan Repayment</t>
  </si>
  <si>
    <t>Benchmark Rate</t>
  </si>
  <si>
    <t>Senior Notes - PIK</t>
  </si>
  <si>
    <t>Subordinated Notes - PIK</t>
  </si>
  <si>
    <t>Returns Calculation</t>
  </si>
  <si>
    <t>Exit Multiple</t>
  </si>
  <si>
    <t>Exit Enterprise Value</t>
  </si>
  <si>
    <t>(-) Debt</t>
  </si>
  <si>
    <t>(+) Cash</t>
  </si>
  <si>
    <t>Exit Equity Value</t>
  </si>
  <si>
    <t>(-) Equity (Management Options)</t>
  </si>
  <si>
    <t>Equity to Sponsor</t>
  </si>
  <si>
    <t>Sponsor Multiple</t>
  </si>
  <si>
    <t>Sponsor IRR</t>
  </si>
  <si>
    <t>EBITDA Exit Multiple</t>
  </si>
  <si>
    <t>Exit Year</t>
  </si>
  <si>
    <t>(+) Cash (Management Options)</t>
  </si>
  <si>
    <t>($ in millions)</t>
  </si>
  <si>
    <t>Debt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</si>
</sst>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;\(#,##0.0\);\-"/>
    <numFmt numFmtId="165" formatCode="#,##0.0\x;\(#,##0.0\x\);\-"/>
    <numFmt numFmtId="167" formatCode="#,##0.00%;\(#,##0.00%\);\-"/>
    <numFmt numFmtId="168" formatCode="#,##0.0%;\(#,##0.0%\);\-"/>
    <numFmt numFmtId="169" formatCode="yyyy&quot;A&quot;"/>
    <numFmt numFmtId="170" formatCode="yyyy&quot;E&quot;"/>
    <numFmt numFmtId="172" formatCode="#,##0.0_);\(#,##0.0\)"/>
    <numFmt numFmtId="180" formatCode="\L\ \+\ #,##0.00;\(#,##0.00\);\-"/>
    <numFmt numFmtId="182" formatCode="#,##0.0_);\(#,##0.0\);\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4" fillId="0" borderId="1" xfId="0" applyFont="1" applyBorder="1"/>
    <xf numFmtId="164" fontId="4" fillId="0" borderId="0" xfId="0" applyNumberFormat="1" applyFont="1"/>
    <xf numFmtId="164" fontId="5" fillId="0" borderId="0" xfId="0" applyNumberFormat="1" applyFont="1"/>
    <xf numFmtId="165" fontId="4" fillId="0" borderId="1" xfId="0" applyNumberFormat="1" applyFont="1" applyBorder="1"/>
    <xf numFmtId="165" fontId="4" fillId="0" borderId="0" xfId="0" applyNumberFormat="1" applyFont="1"/>
    <xf numFmtId="167" fontId="4" fillId="0" borderId="0" xfId="1" applyNumberFormat="1" applyFont="1"/>
    <xf numFmtId="168" fontId="4" fillId="0" borderId="0" xfId="1" applyNumberFormat="1" applyFont="1"/>
    <xf numFmtId="0" fontId="3" fillId="0" borderId="0" xfId="0" applyFont="1"/>
    <xf numFmtId="168" fontId="4" fillId="0" borderId="1" xfId="1" applyNumberFormat="1" applyFont="1" applyBorder="1"/>
    <xf numFmtId="167" fontId="4" fillId="0" borderId="1" xfId="1" applyNumberFormat="1" applyFont="1" applyBorder="1"/>
    <xf numFmtId="164" fontId="4" fillId="0" borderId="1" xfId="0" applyNumberFormat="1" applyFont="1" applyBorder="1"/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169" fontId="5" fillId="3" borderId="2" xfId="0" applyNumberFormat="1" applyFont="1" applyFill="1" applyBorder="1" applyAlignment="1">
      <alignment horizontal="center"/>
    </xf>
    <xf numFmtId="170" fontId="5" fillId="3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168" fontId="9" fillId="0" borderId="0" xfId="1" applyNumberFormat="1" applyFont="1"/>
    <xf numFmtId="0" fontId="10" fillId="0" borderId="0" xfId="0" applyFont="1"/>
    <xf numFmtId="172" fontId="4" fillId="0" borderId="0" xfId="0" applyNumberFormat="1" applyFont="1"/>
    <xf numFmtId="172" fontId="5" fillId="0" borderId="0" xfId="0" applyNumberFormat="1" applyFont="1"/>
    <xf numFmtId="0" fontId="4" fillId="0" borderId="0" xfId="0" quotePrefix="1" applyFont="1"/>
    <xf numFmtId="0" fontId="4" fillId="0" borderId="0" xfId="0" applyFont="1" applyBorder="1"/>
    <xf numFmtId="172" fontId="4" fillId="0" borderId="1" xfId="0" applyNumberFormat="1" applyFont="1" applyBorder="1"/>
    <xf numFmtId="180" fontId="4" fillId="0" borderId="0" xfId="0" applyNumberFormat="1" applyFont="1"/>
    <xf numFmtId="0" fontId="5" fillId="0" borderId="0" xfId="0" applyFont="1" applyAlignment="1">
      <alignment horizontal="left" indent="1"/>
    </xf>
    <xf numFmtId="165" fontId="4" fillId="0" borderId="0" xfId="0" applyNumberFormat="1" applyFont="1" applyBorder="1"/>
    <xf numFmtId="170" fontId="4" fillId="0" borderId="0" xfId="0" applyNumberFormat="1" applyFont="1" applyFill="1" applyBorder="1" applyAlignment="1">
      <alignment horizontal="center"/>
    </xf>
    <xf numFmtId="182" fontId="4" fillId="0" borderId="0" xfId="0" applyNumberFormat="1" applyFont="1"/>
    <xf numFmtId="182" fontId="4" fillId="0" borderId="1" xfId="0" applyNumberFormat="1" applyFont="1" applyBorder="1"/>
    <xf numFmtId="182" fontId="5" fillId="0" borderId="0" xfId="0" applyNumberFormat="1" applyFont="1"/>
    <xf numFmtId="165" fontId="5" fillId="0" borderId="0" xfId="0" applyNumberFormat="1" applyFont="1" applyBorder="1"/>
    <xf numFmtId="9" fontId="5" fillId="0" borderId="0" xfId="0" applyNumberFormat="1" applyFont="1"/>
    <xf numFmtId="165" fontId="3" fillId="0" borderId="0" xfId="0" applyNumberFormat="1" applyFont="1"/>
    <xf numFmtId="170" fontId="5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 textRotation="90"/>
    </xf>
    <xf numFmtId="165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C812-03AA-40D8-9349-6B574980F1AC}">
  <dimension ref="A1:K136"/>
  <sheetViews>
    <sheetView showGridLines="0" tabSelected="1" workbookViewId="0">
      <selection activeCell="F116" sqref="F116"/>
    </sheetView>
  </sheetViews>
  <sheetFormatPr defaultRowHeight="12.75" x14ac:dyDescent="0.2"/>
  <cols>
    <col min="1" max="1" width="0.85546875" style="3" customWidth="1"/>
    <col min="2" max="3" width="9.140625" style="3" customWidth="1"/>
    <col min="4" max="16384" width="9.140625" style="3"/>
  </cols>
  <sheetData>
    <row r="1" spans="1:10" ht="20.25" x14ac:dyDescent="0.3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6" t="s">
        <v>2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44" t="s">
        <v>84</v>
      </c>
      <c r="B3" s="2"/>
      <c r="C3" s="2"/>
      <c r="D3" s="2"/>
      <c r="E3" s="2"/>
      <c r="F3" s="2"/>
      <c r="G3" s="2"/>
      <c r="H3" s="2"/>
      <c r="I3" s="2"/>
      <c r="J3" s="2"/>
    </row>
    <row r="5" spans="1:10" x14ac:dyDescent="0.2">
      <c r="A5" s="1" t="s">
        <v>1</v>
      </c>
      <c r="B5" s="1"/>
      <c r="C5" s="1"/>
      <c r="D5" s="2"/>
      <c r="E5" s="2"/>
      <c r="F5" s="2"/>
      <c r="G5" s="2"/>
      <c r="H5" s="2"/>
      <c r="I5" s="2"/>
      <c r="J5" s="2"/>
    </row>
    <row r="7" spans="1:10" x14ac:dyDescent="0.2">
      <c r="B7" s="3" t="s">
        <v>12</v>
      </c>
      <c r="C7" s="14"/>
      <c r="D7" s="14"/>
      <c r="E7" s="8">
        <v>500</v>
      </c>
      <c r="G7" s="3" t="s">
        <v>20</v>
      </c>
      <c r="J7" s="13">
        <v>0.05</v>
      </c>
    </row>
    <row r="8" spans="1:10" x14ac:dyDescent="0.2">
      <c r="B8" s="3" t="s">
        <v>13</v>
      </c>
      <c r="E8" s="13">
        <v>0.2</v>
      </c>
      <c r="G8" s="3" t="s">
        <v>21</v>
      </c>
      <c r="J8" s="13">
        <v>0.2</v>
      </c>
    </row>
    <row r="9" spans="1:10" x14ac:dyDescent="0.2">
      <c r="B9" s="3" t="s">
        <v>3</v>
      </c>
      <c r="E9" s="8">
        <f>E7*E8</f>
        <v>100</v>
      </c>
      <c r="G9" s="3" t="s">
        <v>22</v>
      </c>
      <c r="J9" s="13">
        <v>0.1</v>
      </c>
    </row>
    <row r="10" spans="1:10" x14ac:dyDescent="0.2">
      <c r="B10" s="3" t="s">
        <v>4</v>
      </c>
      <c r="E10" s="10">
        <v>12</v>
      </c>
      <c r="G10" s="3" t="s">
        <v>23</v>
      </c>
      <c r="J10" s="13">
        <v>0.15</v>
      </c>
    </row>
    <row r="11" spans="1:10" x14ac:dyDescent="0.2">
      <c r="B11" s="31" t="s">
        <v>5</v>
      </c>
      <c r="C11" s="4"/>
      <c r="D11" s="4"/>
      <c r="E11" s="9">
        <f>E10*E9</f>
        <v>1200</v>
      </c>
    </row>
    <row r="12" spans="1:10" x14ac:dyDescent="0.2">
      <c r="B12" s="3" t="s">
        <v>6</v>
      </c>
      <c r="E12" s="8">
        <f>E11*2%</f>
        <v>24</v>
      </c>
      <c r="G12" s="3" t="s">
        <v>18</v>
      </c>
      <c r="J12" s="13">
        <v>0.25</v>
      </c>
    </row>
    <row r="13" spans="1:10" x14ac:dyDescent="0.2">
      <c r="G13" s="3" t="s">
        <v>14</v>
      </c>
      <c r="J13" s="13">
        <v>0.05</v>
      </c>
    </row>
    <row r="14" spans="1:10" x14ac:dyDescent="0.2">
      <c r="B14" s="3" t="s">
        <v>81</v>
      </c>
      <c r="E14" s="32">
        <v>10</v>
      </c>
      <c r="J14" s="13"/>
    </row>
    <row r="15" spans="1:10" x14ac:dyDescent="0.2">
      <c r="B15" s="3" t="s">
        <v>82</v>
      </c>
      <c r="E15" s="33">
        <v>47483</v>
      </c>
      <c r="J15" s="13"/>
    </row>
    <row r="16" spans="1:10" x14ac:dyDescent="0.2">
      <c r="E16" s="8"/>
      <c r="J16" s="13"/>
    </row>
    <row r="17" spans="1:11" x14ac:dyDescent="0.2">
      <c r="C17" s="18" t="s">
        <v>85</v>
      </c>
      <c r="D17" s="19"/>
      <c r="E17" s="19" t="s">
        <v>10</v>
      </c>
      <c r="F17" s="19" t="s">
        <v>17</v>
      </c>
      <c r="G17" s="19" t="s">
        <v>11</v>
      </c>
      <c r="H17" s="19" t="s">
        <v>15</v>
      </c>
      <c r="I17" s="19" t="s">
        <v>16</v>
      </c>
    </row>
    <row r="18" spans="1:11" x14ac:dyDescent="0.2">
      <c r="C18" s="3" t="s">
        <v>7</v>
      </c>
      <c r="E18" s="11">
        <v>3</v>
      </c>
      <c r="F18" s="13">
        <v>0</v>
      </c>
      <c r="G18" s="12">
        <v>0</v>
      </c>
      <c r="H18" s="30">
        <v>0.03</v>
      </c>
      <c r="I18" s="13">
        <v>0.5</v>
      </c>
    </row>
    <row r="19" spans="1:11" x14ac:dyDescent="0.2">
      <c r="C19" s="3" t="s">
        <v>8</v>
      </c>
      <c r="E19" s="11">
        <v>1</v>
      </c>
      <c r="F19" s="13">
        <v>0.03</v>
      </c>
      <c r="G19" s="13">
        <v>0.05</v>
      </c>
      <c r="H19" s="12">
        <v>0</v>
      </c>
      <c r="I19" s="12">
        <v>0</v>
      </c>
    </row>
    <row r="20" spans="1:11" x14ac:dyDescent="0.2">
      <c r="C20" s="7" t="s">
        <v>9</v>
      </c>
      <c r="D20" s="7"/>
      <c r="E20" s="10">
        <v>1</v>
      </c>
      <c r="F20" s="15">
        <v>0</v>
      </c>
      <c r="G20" s="15">
        <v>0.1</v>
      </c>
      <c r="H20" s="16">
        <v>0</v>
      </c>
      <c r="I20" s="16">
        <v>0</v>
      </c>
    </row>
    <row r="22" spans="1:11" x14ac:dyDescent="0.2">
      <c r="A22" s="1" t="s">
        <v>24</v>
      </c>
      <c r="B22" s="1"/>
      <c r="C22" s="1"/>
      <c r="D22" s="2"/>
      <c r="E22" s="2"/>
      <c r="F22" s="2"/>
      <c r="G22" s="2"/>
      <c r="H22" s="2"/>
      <c r="I22" s="2"/>
      <c r="J22" s="2"/>
    </row>
    <row r="24" spans="1:11" x14ac:dyDescent="0.2">
      <c r="B24" s="18" t="s">
        <v>25</v>
      </c>
      <c r="C24" s="18"/>
      <c r="D24" s="18"/>
      <c r="E24" s="18"/>
      <c r="G24" s="18" t="s">
        <v>28</v>
      </c>
      <c r="H24" s="18"/>
      <c r="I24" s="18"/>
      <c r="J24" s="18"/>
    </row>
    <row r="25" spans="1:11" x14ac:dyDescent="0.2">
      <c r="B25" s="3" t="s">
        <v>7</v>
      </c>
      <c r="E25" s="8">
        <f>E18*$E$9</f>
        <v>300</v>
      </c>
      <c r="G25" s="3" t="s">
        <v>5</v>
      </c>
      <c r="J25" s="8">
        <f>E11</f>
        <v>1200</v>
      </c>
    </row>
    <row r="26" spans="1:11" x14ac:dyDescent="0.2">
      <c r="B26" s="3" t="s">
        <v>8</v>
      </c>
      <c r="E26" s="8">
        <f>E19*$E$9</f>
        <v>100</v>
      </c>
      <c r="G26" s="3" t="s">
        <v>6</v>
      </c>
      <c r="J26" s="8">
        <f>E12</f>
        <v>24</v>
      </c>
    </row>
    <row r="27" spans="1:11" x14ac:dyDescent="0.2">
      <c r="B27" s="3" t="s">
        <v>9</v>
      </c>
      <c r="E27" s="8">
        <f>E20*$E$9</f>
        <v>100</v>
      </c>
      <c r="G27" s="7" t="s">
        <v>26</v>
      </c>
      <c r="H27" s="7"/>
      <c r="I27" s="7"/>
      <c r="J27" s="7">
        <f>E7*J7</f>
        <v>25</v>
      </c>
    </row>
    <row r="28" spans="1:11" x14ac:dyDescent="0.2">
      <c r="B28" s="7" t="s">
        <v>19</v>
      </c>
      <c r="C28" s="7"/>
      <c r="D28" s="7"/>
      <c r="E28" s="17">
        <f>J28-SUM(E25:E27)</f>
        <v>749</v>
      </c>
      <c r="G28" s="4" t="s">
        <v>29</v>
      </c>
      <c r="H28" s="4"/>
      <c r="I28" s="4"/>
      <c r="J28" s="9">
        <f>SUM(J25:J27)</f>
        <v>1249</v>
      </c>
      <c r="K28" s="3" t="s">
        <v>30</v>
      </c>
    </row>
    <row r="29" spans="1:11" x14ac:dyDescent="0.2">
      <c r="B29" s="4" t="s">
        <v>27</v>
      </c>
      <c r="C29" s="4"/>
      <c r="D29" s="4"/>
      <c r="E29" s="9">
        <f>SUM(E25:E28)</f>
        <v>1249</v>
      </c>
      <c r="F29" s="4"/>
    </row>
    <row r="31" spans="1:11" x14ac:dyDescent="0.2">
      <c r="A31" s="1" t="s">
        <v>35</v>
      </c>
      <c r="B31" s="1"/>
      <c r="C31" s="1"/>
      <c r="D31" s="2"/>
      <c r="E31" s="2"/>
      <c r="F31" s="2"/>
      <c r="G31" s="2"/>
      <c r="H31" s="2"/>
      <c r="I31" s="2"/>
      <c r="J31" s="2"/>
    </row>
    <row r="32" spans="1:11" x14ac:dyDescent="0.2">
      <c r="E32" s="20">
        <v>45627</v>
      </c>
      <c r="F32" s="21">
        <f>EOMONTH(E32, 12)</f>
        <v>46022</v>
      </c>
      <c r="G32" s="21">
        <f t="shared" ref="G32:J32" si="0">EOMONTH(F32, 12)</f>
        <v>46387</v>
      </c>
      <c r="H32" s="21">
        <f t="shared" si="0"/>
        <v>46752</v>
      </c>
      <c r="I32" s="21">
        <f t="shared" si="0"/>
        <v>47118</v>
      </c>
      <c r="J32" s="21">
        <f t="shared" si="0"/>
        <v>47483</v>
      </c>
    </row>
    <row r="33" spans="2:10" x14ac:dyDescent="0.2">
      <c r="B33" s="3" t="s">
        <v>36</v>
      </c>
      <c r="E33" s="8">
        <v>4</v>
      </c>
      <c r="F33" s="8">
        <f>E33*(1+F34)</f>
        <v>4.4000000000000004</v>
      </c>
      <c r="G33" s="8">
        <f t="shared" ref="G33:J33" si="1">F33*(1+G34)</f>
        <v>4.7960000000000012</v>
      </c>
      <c r="H33" s="8">
        <f t="shared" si="1"/>
        <v>5.1796800000000012</v>
      </c>
      <c r="I33" s="8">
        <f t="shared" si="1"/>
        <v>5.5422576000000019</v>
      </c>
      <c r="J33" s="8">
        <f t="shared" si="1"/>
        <v>5.8747930560000023</v>
      </c>
    </row>
    <row r="34" spans="2:10" x14ac:dyDescent="0.2">
      <c r="B34" s="22" t="s">
        <v>33</v>
      </c>
      <c r="E34" s="23">
        <v>0</v>
      </c>
      <c r="F34" s="23">
        <v>0.1</v>
      </c>
      <c r="G34" s="23">
        <v>0.09</v>
      </c>
      <c r="H34" s="23">
        <v>0.08</v>
      </c>
      <c r="I34" s="23">
        <v>7.0000000000000007E-2</v>
      </c>
      <c r="J34" s="23">
        <v>0.06</v>
      </c>
    </row>
    <row r="35" spans="2:10" x14ac:dyDescent="0.2">
      <c r="B35" s="3" t="s">
        <v>38</v>
      </c>
      <c r="E35" s="8">
        <f>E53/E33</f>
        <v>125</v>
      </c>
      <c r="F35" s="8">
        <f>E35*(1+F36)</f>
        <v>131.25</v>
      </c>
      <c r="G35" s="8">
        <f t="shared" ref="G35:J35" si="2">F35*(1+G36)</f>
        <v>137.15625</v>
      </c>
      <c r="H35" s="8">
        <f t="shared" si="2"/>
        <v>142.64250000000001</v>
      </c>
      <c r="I35" s="8">
        <f t="shared" si="2"/>
        <v>147.63498749999999</v>
      </c>
      <c r="J35" s="8">
        <f t="shared" si="2"/>
        <v>152.064037125</v>
      </c>
    </row>
    <row r="36" spans="2:10" x14ac:dyDescent="0.2">
      <c r="B36" s="22" t="s">
        <v>33</v>
      </c>
      <c r="E36" s="23">
        <v>0</v>
      </c>
      <c r="F36" s="23">
        <v>0.05</v>
      </c>
      <c r="G36" s="23">
        <f>F36-0.005</f>
        <v>4.5000000000000005E-2</v>
      </c>
      <c r="H36" s="23">
        <f t="shared" ref="H36:J36" si="3">G36-0.005</f>
        <v>4.0000000000000008E-2</v>
      </c>
      <c r="I36" s="23">
        <f t="shared" si="3"/>
        <v>3.500000000000001E-2</v>
      </c>
      <c r="J36" s="23">
        <f t="shared" si="3"/>
        <v>3.0000000000000009E-2</v>
      </c>
    </row>
    <row r="37" spans="2:10" x14ac:dyDescent="0.2">
      <c r="B37" s="3" t="s">
        <v>37</v>
      </c>
      <c r="E37" s="8">
        <v>8</v>
      </c>
      <c r="F37" s="8">
        <f>F33/F38</f>
        <v>8.8000000000000007</v>
      </c>
      <c r="G37" s="8">
        <f t="shared" ref="G37:J37" si="4">G33/G38</f>
        <v>9.5920000000000023</v>
      </c>
      <c r="H37" s="8">
        <f t="shared" si="4"/>
        <v>10.359360000000002</v>
      </c>
      <c r="I37" s="8">
        <f t="shared" si="4"/>
        <v>11.084515200000004</v>
      </c>
      <c r="J37" s="8">
        <f t="shared" si="4"/>
        <v>11.749586112000005</v>
      </c>
    </row>
    <row r="38" spans="2:10" x14ac:dyDescent="0.2">
      <c r="B38" s="22" t="s">
        <v>39</v>
      </c>
      <c r="E38" s="24">
        <f>E33/E37</f>
        <v>0.5</v>
      </c>
      <c r="F38" s="24">
        <v>0.5</v>
      </c>
      <c r="G38" s="24">
        <v>0.5</v>
      </c>
      <c r="H38" s="24">
        <v>0.5</v>
      </c>
      <c r="I38" s="24">
        <v>0.5</v>
      </c>
      <c r="J38" s="24">
        <v>0.5</v>
      </c>
    </row>
    <row r="39" spans="2:10" x14ac:dyDescent="0.2">
      <c r="B39" s="3" t="s">
        <v>42</v>
      </c>
      <c r="E39" s="8">
        <v>2</v>
      </c>
      <c r="F39" s="8"/>
      <c r="G39" s="8"/>
      <c r="H39" s="8"/>
      <c r="I39" s="8"/>
      <c r="J39" s="8"/>
    </row>
    <row r="40" spans="2:10" x14ac:dyDescent="0.2">
      <c r="B40" s="22" t="s">
        <v>40</v>
      </c>
      <c r="E40" s="8">
        <v>25</v>
      </c>
    </row>
    <row r="41" spans="2:10" x14ac:dyDescent="0.2">
      <c r="B41" s="3" t="s">
        <v>41</v>
      </c>
      <c r="E41" s="8"/>
      <c r="F41" s="8">
        <f>E37*$E$39+(F37-E37)*$E$40</f>
        <v>36.000000000000014</v>
      </c>
      <c r="G41" s="8">
        <f t="shared" ref="G41:J41" si="5">F37*$E$39+(G37-F37)*$E$40</f>
        <v>37.400000000000041</v>
      </c>
      <c r="H41" s="8">
        <f t="shared" si="5"/>
        <v>38.368000000000009</v>
      </c>
      <c r="I41" s="8">
        <f t="shared" si="5"/>
        <v>38.847600000000043</v>
      </c>
      <c r="J41" s="8">
        <f t="shared" si="5"/>
        <v>38.79580320000003</v>
      </c>
    </row>
    <row r="42" spans="2:10" x14ac:dyDescent="0.2">
      <c r="B42" s="22" t="s">
        <v>43</v>
      </c>
      <c r="E42" s="23"/>
      <c r="F42" s="23">
        <f>F41/F53</f>
        <v>6.2337662337662365E-2</v>
      </c>
      <c r="G42" s="23">
        <f>G41/G53</f>
        <v>5.6856068444673037E-2</v>
      </c>
      <c r="H42" s="23">
        <f>H41/H53</f>
        <v>5.1929876491279996E-2</v>
      </c>
      <c r="I42" s="23">
        <f>I41/I53</f>
        <v>4.7477538441844817E-2</v>
      </c>
      <c r="J42" s="23">
        <f>J41/J53</f>
        <v>4.3427582943080849E-2</v>
      </c>
    </row>
    <row r="43" spans="2:10" x14ac:dyDescent="0.2">
      <c r="B43" s="3" t="s">
        <v>44</v>
      </c>
      <c r="E43" s="8">
        <v>20</v>
      </c>
      <c r="F43" s="8">
        <f>F44*F53</f>
        <v>23.1</v>
      </c>
      <c r="G43" s="8">
        <f>G44*G53</f>
        <v>24.996452250000004</v>
      </c>
      <c r="H43" s="8">
        <f>H44*H53</f>
        <v>26.598330158400007</v>
      </c>
      <c r="I43" s="8">
        <f>I44*I53</f>
        <v>27.819858470924522</v>
      </c>
      <c r="J43" s="8">
        <f>J44*J53</f>
        <v>29.480376729186123</v>
      </c>
    </row>
    <row r="44" spans="2:10" x14ac:dyDescent="0.2">
      <c r="B44" s="22" t="s">
        <v>43</v>
      </c>
      <c r="E44" s="23">
        <f>E43/E53</f>
        <v>0.04</v>
      </c>
      <c r="F44" s="23">
        <v>0.04</v>
      </c>
      <c r="G44" s="23">
        <f>F44-0.002</f>
        <v>3.7999999999999999E-2</v>
      </c>
      <c r="H44" s="23">
        <f t="shared" ref="H44:I44" si="6">G44-0.002</f>
        <v>3.5999999999999997E-2</v>
      </c>
      <c r="I44" s="23">
        <f t="shared" si="6"/>
        <v>3.3999999999999996E-2</v>
      </c>
      <c r="J44" s="23">
        <f>I44-0.001</f>
        <v>3.2999999999999995E-2</v>
      </c>
    </row>
    <row r="45" spans="2:10" x14ac:dyDescent="0.2">
      <c r="B45" s="3" t="s">
        <v>34</v>
      </c>
      <c r="E45" s="8">
        <f>E53*E46</f>
        <v>250</v>
      </c>
      <c r="F45" s="8">
        <f>F53*(1-F46)</f>
        <v>294.52499999999998</v>
      </c>
      <c r="G45" s="8">
        <f t="shared" ref="G45:J45" si="7">G53*(1-G46)</f>
        <v>342.05671500000005</v>
      </c>
      <c r="H45" s="8">
        <f t="shared" si="7"/>
        <v>391.58652733200017</v>
      </c>
      <c r="I45" s="8">
        <f t="shared" si="7"/>
        <v>441.84481100880134</v>
      </c>
      <c r="J45" s="8">
        <f t="shared" si="7"/>
        <v>491.33961215310211</v>
      </c>
    </row>
    <row r="46" spans="2:10" x14ac:dyDescent="0.2">
      <c r="B46" s="22" t="s">
        <v>45</v>
      </c>
      <c r="E46" s="23">
        <v>0.5</v>
      </c>
      <c r="F46" s="23">
        <f>E46-0.01</f>
        <v>0.49</v>
      </c>
      <c r="G46" s="23">
        <f t="shared" ref="G46:J46" si="8">F46-0.01</f>
        <v>0.48</v>
      </c>
      <c r="H46" s="23">
        <f t="shared" si="8"/>
        <v>0.47</v>
      </c>
      <c r="I46" s="23">
        <f t="shared" si="8"/>
        <v>0.45999999999999996</v>
      </c>
      <c r="J46" s="23">
        <f t="shared" si="8"/>
        <v>0.44999999999999996</v>
      </c>
    </row>
    <row r="47" spans="2:10" x14ac:dyDescent="0.2">
      <c r="B47" s="3" t="s">
        <v>46</v>
      </c>
      <c r="E47" s="8">
        <f>E53-E45-E9</f>
        <v>150</v>
      </c>
      <c r="F47" s="8">
        <f>E47*(1+F36)</f>
        <v>157.5</v>
      </c>
      <c r="G47" s="8">
        <f>F47*(1+G36)</f>
        <v>164.58749999999998</v>
      </c>
      <c r="H47" s="8">
        <f>G47*(1+H36)</f>
        <v>171.17099999999999</v>
      </c>
      <c r="I47" s="8">
        <f>H47*(1+I36)</f>
        <v>177.16198499999999</v>
      </c>
      <c r="J47" s="8">
        <f>I47*(1+J36)</f>
        <v>182.47684454999998</v>
      </c>
    </row>
    <row r="49" spans="1:10" x14ac:dyDescent="0.2">
      <c r="A49" s="1" t="s">
        <v>31</v>
      </c>
      <c r="B49" s="1"/>
      <c r="C49" s="1"/>
      <c r="D49" s="2"/>
      <c r="E49" s="2"/>
      <c r="F49" s="2"/>
      <c r="G49" s="2"/>
      <c r="H49" s="2"/>
      <c r="I49" s="2"/>
      <c r="J49" s="2"/>
    </row>
    <row r="51" spans="1:10" x14ac:dyDescent="0.2">
      <c r="B51" s="18" t="s">
        <v>47</v>
      </c>
      <c r="C51" s="18"/>
      <c r="D51" s="18"/>
      <c r="E51" s="20">
        <v>45627</v>
      </c>
      <c r="F51" s="21">
        <f>EOMONTH(E51, 12)</f>
        <v>46022</v>
      </c>
      <c r="G51" s="21">
        <f t="shared" ref="G51:J51" si="9">EOMONTH(F51, 12)</f>
        <v>46387</v>
      </c>
      <c r="H51" s="21">
        <f t="shared" si="9"/>
        <v>46752</v>
      </c>
      <c r="I51" s="21">
        <f t="shared" si="9"/>
        <v>47118</v>
      </c>
      <c r="J51" s="21">
        <f t="shared" si="9"/>
        <v>47483</v>
      </c>
    </row>
    <row r="53" spans="1:10" x14ac:dyDescent="0.2">
      <c r="B53" s="4" t="s">
        <v>32</v>
      </c>
      <c r="C53" s="4"/>
      <c r="D53" s="4"/>
      <c r="E53" s="9">
        <v>500</v>
      </c>
      <c r="F53" s="9">
        <f>F33*F35</f>
        <v>577.5</v>
      </c>
      <c r="G53" s="9">
        <f>G33*G35</f>
        <v>657.80137500000012</v>
      </c>
      <c r="H53" s="9">
        <f>H33*H35</f>
        <v>738.84250440000028</v>
      </c>
      <c r="I53" s="9">
        <f>I33*I35</f>
        <v>818.23113149778021</v>
      </c>
      <c r="J53" s="9">
        <f>J33*J35</f>
        <v>893.34474936927654</v>
      </c>
    </row>
    <row r="54" spans="1:10" x14ac:dyDescent="0.2">
      <c r="B54" s="22" t="s">
        <v>33</v>
      </c>
      <c r="E54" s="23">
        <f>IFERROR((E53-D53)/D53, 0)</f>
        <v>0</v>
      </c>
      <c r="F54" s="23">
        <f t="shared" ref="F54:J54" si="10">IFERROR((F53-E53)/E53, 0)</f>
        <v>0.155</v>
      </c>
      <c r="G54" s="23">
        <f t="shared" si="10"/>
        <v>0.1390500000000002</v>
      </c>
      <c r="H54" s="23">
        <f t="shared" si="10"/>
        <v>0.12320000000000021</v>
      </c>
      <c r="I54" s="23">
        <f t="shared" si="10"/>
        <v>0.10744999999999987</v>
      </c>
      <c r="J54" s="23">
        <f t="shared" si="10"/>
        <v>9.1800000000000131E-2</v>
      </c>
    </row>
    <row r="55" spans="1:10" x14ac:dyDescent="0.2">
      <c r="B55" s="3" t="s">
        <v>34</v>
      </c>
      <c r="E55" s="8">
        <f>E45</f>
        <v>250</v>
      </c>
      <c r="F55" s="8">
        <f>F45</f>
        <v>294.52499999999998</v>
      </c>
      <c r="G55" s="8">
        <f>G45</f>
        <v>342.05671500000005</v>
      </c>
      <c r="H55" s="8">
        <f t="shared" ref="H55:J55" si="11">H45</f>
        <v>391.58652733200017</v>
      </c>
      <c r="I55" s="8">
        <f t="shared" si="11"/>
        <v>441.84481100880134</v>
      </c>
      <c r="J55" s="8">
        <f t="shared" si="11"/>
        <v>491.33961215310211</v>
      </c>
    </row>
    <row r="56" spans="1:10" x14ac:dyDescent="0.2">
      <c r="B56" s="22" t="s">
        <v>43</v>
      </c>
      <c r="E56" s="23">
        <f>E55/E$53</f>
        <v>0.5</v>
      </c>
      <c r="F56" s="23">
        <f>F55/F$53</f>
        <v>0.51</v>
      </c>
      <c r="G56" s="23">
        <f>G55/G$53</f>
        <v>0.52</v>
      </c>
      <c r="H56" s="23">
        <f>H55/H$53</f>
        <v>0.53</v>
      </c>
      <c r="I56" s="23">
        <f t="shared" ref="I56:J56" si="12">I55/I$53</f>
        <v>0.54</v>
      </c>
      <c r="J56" s="23">
        <f t="shared" si="12"/>
        <v>0.55000000000000004</v>
      </c>
    </row>
    <row r="57" spans="1:10" x14ac:dyDescent="0.2">
      <c r="B57" s="7" t="s">
        <v>46</v>
      </c>
      <c r="C57" s="7"/>
      <c r="D57" s="7"/>
      <c r="E57" s="17">
        <f>E47</f>
        <v>150</v>
      </c>
      <c r="F57" s="17">
        <f>F47</f>
        <v>157.5</v>
      </c>
      <c r="G57" s="17">
        <f t="shared" ref="G57:J57" si="13">G47</f>
        <v>164.58749999999998</v>
      </c>
      <c r="H57" s="17">
        <f t="shared" si="13"/>
        <v>171.17099999999999</v>
      </c>
      <c r="I57" s="17">
        <f t="shared" si="13"/>
        <v>177.16198499999999</v>
      </c>
      <c r="J57" s="17">
        <f t="shared" si="13"/>
        <v>182.47684454999998</v>
      </c>
    </row>
    <row r="59" spans="1:10" x14ac:dyDescent="0.2">
      <c r="B59" s="4" t="s">
        <v>48</v>
      </c>
      <c r="C59" s="4"/>
      <c r="D59" s="4"/>
      <c r="E59" s="26">
        <f>E53-E55-E57</f>
        <v>100</v>
      </c>
      <c r="F59" s="26">
        <f>F53-F55-F57</f>
        <v>125.47500000000002</v>
      </c>
      <c r="G59" s="26">
        <f>G53-G55-G57</f>
        <v>151.15716000000009</v>
      </c>
      <c r="H59" s="26">
        <f t="shared" ref="H59:J59" si="14">H53-H55-H57</f>
        <v>176.08497706800011</v>
      </c>
      <c r="I59" s="26">
        <f t="shared" si="14"/>
        <v>199.22433548897888</v>
      </c>
      <c r="J59" s="26">
        <f t="shared" si="14"/>
        <v>219.52829266617445</v>
      </c>
    </row>
    <row r="60" spans="1:10" x14ac:dyDescent="0.2">
      <c r="B60" s="22" t="s">
        <v>43</v>
      </c>
      <c r="E60" s="23">
        <f>E59/E$53</f>
        <v>0.2</v>
      </c>
      <c r="F60" s="23">
        <f>F59/F$53</f>
        <v>0.21727272727272731</v>
      </c>
      <c r="G60" s="23">
        <f>G59/G$53</f>
        <v>0.22979149291075907</v>
      </c>
      <c r="H60" s="23">
        <f>H59/H$53</f>
        <v>0.23832545639885097</v>
      </c>
      <c r="I60" s="23">
        <f>I59/I$53</f>
        <v>0.24348173495219713</v>
      </c>
      <c r="J60" s="23">
        <f t="shared" ref="J60" si="15">J59/J$53</f>
        <v>0.2457374858039596</v>
      </c>
    </row>
    <row r="62" spans="1:10" x14ac:dyDescent="0.2">
      <c r="B62" s="3" t="s">
        <v>49</v>
      </c>
      <c r="E62" s="8">
        <f>-E43</f>
        <v>-20</v>
      </c>
      <c r="F62" s="8">
        <f t="shared" ref="F62:J62" si="16">-F43</f>
        <v>-23.1</v>
      </c>
      <c r="G62" s="8">
        <f t="shared" si="16"/>
        <v>-24.996452250000004</v>
      </c>
      <c r="H62" s="8">
        <f t="shared" si="16"/>
        <v>-26.598330158400007</v>
      </c>
      <c r="I62" s="8">
        <f t="shared" si="16"/>
        <v>-27.819858470924522</v>
      </c>
      <c r="J62" s="8">
        <f t="shared" si="16"/>
        <v>-29.480376729186123</v>
      </c>
    </row>
    <row r="63" spans="1:10" x14ac:dyDescent="0.2">
      <c r="B63" s="7" t="s">
        <v>50</v>
      </c>
      <c r="C63" s="7"/>
      <c r="D63" s="7"/>
      <c r="E63" s="29"/>
      <c r="F63" s="29">
        <f>-SUM(F93:F96)</f>
        <v>-31.5</v>
      </c>
      <c r="G63" s="29">
        <f>-SUM(G93:G96)</f>
        <v>-32.595863281250004</v>
      </c>
      <c r="H63" s="29">
        <f>-SUM(H93:H96)</f>
        <v>-32.442522698271489</v>
      </c>
      <c r="I63" s="29">
        <f>-SUM(I93:I96)</f>
        <v>-31.297928983880745</v>
      </c>
      <c r="J63" s="29">
        <f>-SUM(J93:J96)</f>
        <v>-28.378139370625998</v>
      </c>
    </row>
    <row r="65" spans="1:11" x14ac:dyDescent="0.2">
      <c r="B65" s="4" t="s">
        <v>51</v>
      </c>
      <c r="C65" s="4"/>
      <c r="D65" s="4"/>
      <c r="E65" s="26">
        <f>SUM(E59,E62,E63)</f>
        <v>80</v>
      </c>
      <c r="F65" s="26">
        <f>SUM(F59,F62,F63)</f>
        <v>70.875000000000028</v>
      </c>
      <c r="G65" s="26">
        <f>SUM(G59,G62,G63)</f>
        <v>93.564844468750081</v>
      </c>
      <c r="H65" s="26">
        <f>SUM(H59,H62,H63)</f>
        <v>117.04412421132861</v>
      </c>
      <c r="I65" s="26">
        <f>SUM(I59,I62,I63)</f>
        <v>140.10654803417361</v>
      </c>
      <c r="J65" s="26">
        <f>SUM(J59,J62,J63)</f>
        <v>161.66977656636232</v>
      </c>
    </row>
    <row r="66" spans="1:11" x14ac:dyDescent="0.2">
      <c r="B66" s="7" t="s">
        <v>52</v>
      </c>
      <c r="C66" s="7"/>
      <c r="D66" s="7"/>
      <c r="E66" s="17">
        <f>-E65*$J$12</f>
        <v>-20</v>
      </c>
      <c r="F66" s="17">
        <f>-F65*$J$12</f>
        <v>-17.718750000000007</v>
      </c>
      <c r="G66" s="17">
        <f t="shared" ref="G66:J66" si="17">-G65*$J$12</f>
        <v>-23.39121111718752</v>
      </c>
      <c r="H66" s="17">
        <f t="shared" si="17"/>
        <v>-29.261031052832152</v>
      </c>
      <c r="I66" s="17">
        <f t="shared" si="17"/>
        <v>-35.026637008543403</v>
      </c>
      <c r="J66" s="17">
        <f t="shared" si="17"/>
        <v>-40.417444141590579</v>
      </c>
    </row>
    <row r="67" spans="1:11" x14ac:dyDescent="0.2">
      <c r="B67" s="4" t="s">
        <v>53</v>
      </c>
      <c r="E67" s="26">
        <f>SUM(E65:E66)</f>
        <v>60</v>
      </c>
      <c r="F67" s="26">
        <f t="shared" ref="F67:J67" si="18">SUM(F65:F66)</f>
        <v>53.156250000000021</v>
      </c>
      <c r="G67" s="26">
        <f>SUM(G65:G66)</f>
        <v>70.173633351562557</v>
      </c>
      <c r="H67" s="26">
        <f t="shared" si="18"/>
        <v>87.783093158496456</v>
      </c>
      <c r="I67" s="26">
        <f t="shared" si="18"/>
        <v>105.07991102563021</v>
      </c>
      <c r="J67" s="26">
        <f t="shared" si="18"/>
        <v>121.25233242477174</v>
      </c>
    </row>
    <row r="69" spans="1:11" x14ac:dyDescent="0.2">
      <c r="B69" s="3" t="s">
        <v>54</v>
      </c>
      <c r="E69" s="25">
        <f>-E62</f>
        <v>20</v>
      </c>
      <c r="F69" s="25">
        <f t="shared" ref="F69:J69" si="19">-F62</f>
        <v>23.1</v>
      </c>
      <c r="G69" s="25">
        <f t="shared" si="19"/>
        <v>24.996452250000004</v>
      </c>
      <c r="H69" s="25">
        <f t="shared" si="19"/>
        <v>26.598330158400007</v>
      </c>
      <c r="I69" s="25">
        <f t="shared" si="19"/>
        <v>27.819858470924522</v>
      </c>
      <c r="J69" s="25">
        <f t="shared" si="19"/>
        <v>29.480376729186123</v>
      </c>
    </row>
    <row r="70" spans="1:11" x14ac:dyDescent="0.2">
      <c r="B70" s="3" t="s">
        <v>55</v>
      </c>
      <c r="F70" s="25">
        <f>SUM(F95:F96)</f>
        <v>15</v>
      </c>
      <c r="G70" s="25">
        <f>SUM(G95:G96)</f>
        <v>16.25</v>
      </c>
      <c r="H70" s="25">
        <f>SUM(H95:H96)</f>
        <v>17.612500000000001</v>
      </c>
      <c r="I70" s="25">
        <f>SUM(I95:I96)</f>
        <v>19.098125000000003</v>
      </c>
      <c r="J70" s="25">
        <f>SUM(J95:J96)</f>
        <v>20.718531249999998</v>
      </c>
    </row>
    <row r="71" spans="1:11" x14ac:dyDescent="0.2">
      <c r="B71" s="3" t="s">
        <v>56</v>
      </c>
      <c r="F71" s="25">
        <f>(E53-F53)*$J$8+(E53-F53)*$J$9+(F53-E53)*$J$10</f>
        <v>-11.625</v>
      </c>
      <c r="G71" s="25">
        <f t="shared" ref="G71:J71" si="20">(F53-G53)*$J$8+(F53-G53)*$J$9+(G53-F53)*$J$10</f>
        <v>-12.045206250000021</v>
      </c>
      <c r="H71" s="25">
        <f t="shared" si="20"/>
        <v>-12.156169410000027</v>
      </c>
      <c r="I71" s="25">
        <f t="shared" si="20"/>
        <v>-11.90829406466699</v>
      </c>
      <c r="J71" s="25">
        <f t="shared" si="20"/>
        <v>-11.267042680724453</v>
      </c>
      <c r="K71" s="25"/>
    </row>
    <row r="72" spans="1:11" x14ac:dyDescent="0.2">
      <c r="B72" s="7" t="s">
        <v>57</v>
      </c>
      <c r="C72" s="7"/>
      <c r="D72" s="7"/>
      <c r="E72" s="7"/>
      <c r="F72" s="17">
        <f>-F41</f>
        <v>-36.000000000000014</v>
      </c>
      <c r="G72" s="17">
        <f t="shared" ref="G72:J72" si="21">-G41</f>
        <v>-37.400000000000041</v>
      </c>
      <c r="H72" s="17">
        <f t="shared" si="21"/>
        <v>-38.368000000000009</v>
      </c>
      <c r="I72" s="17">
        <f t="shared" si="21"/>
        <v>-38.847600000000043</v>
      </c>
      <c r="J72" s="17">
        <f t="shared" si="21"/>
        <v>-38.79580320000003</v>
      </c>
    </row>
    <row r="73" spans="1:11" x14ac:dyDescent="0.2">
      <c r="A73" s="4"/>
      <c r="B73" s="4" t="s">
        <v>58</v>
      </c>
      <c r="C73" s="4"/>
      <c r="D73" s="4"/>
      <c r="E73" s="26"/>
      <c r="F73" s="26">
        <f>SUM(F67:F72)</f>
        <v>43.631250000000009</v>
      </c>
      <c r="G73" s="26">
        <f>SUM(G67:G72)</f>
        <v>61.9748793515625</v>
      </c>
      <c r="H73" s="26">
        <f>SUM(H67:H72)</f>
        <v>81.469753906896415</v>
      </c>
      <c r="I73" s="26">
        <f>SUM(I67:I72)</f>
        <v>101.24200043188772</v>
      </c>
      <c r="J73" s="26">
        <f>SUM(J67:J72)</f>
        <v>121.38839452323339</v>
      </c>
    </row>
    <row r="75" spans="1:11" x14ac:dyDescent="0.2">
      <c r="B75" s="3" t="s">
        <v>59</v>
      </c>
      <c r="E75" s="25"/>
      <c r="F75" s="25">
        <f>-MIN(F89*$E$85,E85)</f>
        <v>-15</v>
      </c>
      <c r="G75" s="25">
        <f t="shared" ref="G75:J75" si="22">-MIN(G89*$E$85,F85)</f>
        <v>-30</v>
      </c>
      <c r="H75" s="25">
        <f>-MIN(H89*$E$85,G85)</f>
        <v>-30</v>
      </c>
      <c r="I75" s="25">
        <f>-MIN(I89*$E$85,H85)</f>
        <v>-45</v>
      </c>
      <c r="J75" s="25">
        <f>-MIN(J89*$E$85,I85)</f>
        <v>-60</v>
      </c>
    </row>
    <row r="76" spans="1:11" x14ac:dyDescent="0.2">
      <c r="B76" s="3" t="s">
        <v>60</v>
      </c>
      <c r="E76" s="25"/>
      <c r="F76" s="25">
        <f>J27</f>
        <v>25</v>
      </c>
      <c r="G76" s="25">
        <f>F82</f>
        <v>39.315625000000004</v>
      </c>
      <c r="H76" s="25">
        <f>G82</f>
        <v>50.082752175781252</v>
      </c>
      <c r="I76" s="25">
        <f>H82</f>
        <v>67.221287416338839</v>
      </c>
      <c r="J76" s="25">
        <f>I82</f>
        <v>80.20270653411329</v>
      </c>
    </row>
    <row r="77" spans="1:11" x14ac:dyDescent="0.2">
      <c r="B77" s="3" t="s">
        <v>61</v>
      </c>
      <c r="E77" s="25"/>
      <c r="F77" s="25">
        <f>E53*-$J$7</f>
        <v>-25</v>
      </c>
      <c r="G77" s="25">
        <f t="shared" ref="G77:I77" si="23">F53*-$J$7</f>
        <v>-28.875</v>
      </c>
      <c r="H77" s="25">
        <f t="shared" si="23"/>
        <v>-32.890068750000005</v>
      </c>
      <c r="I77" s="25">
        <f t="shared" si="23"/>
        <v>-36.942125220000015</v>
      </c>
      <c r="J77" s="25">
        <f>I53*-$J$7</f>
        <v>-40.911556574889012</v>
      </c>
    </row>
    <row r="78" spans="1:11" x14ac:dyDescent="0.2">
      <c r="B78" s="7" t="s">
        <v>62</v>
      </c>
      <c r="C78" s="7"/>
      <c r="D78" s="7"/>
      <c r="E78" s="7"/>
      <c r="F78" s="29">
        <f>F73</f>
        <v>43.631250000000009</v>
      </c>
      <c r="G78" s="29">
        <f>G73</f>
        <v>61.9748793515625</v>
      </c>
      <c r="H78" s="29">
        <f t="shared" ref="H78" si="24">H73</f>
        <v>81.469753906896415</v>
      </c>
      <c r="I78" s="29">
        <f>I73</f>
        <v>101.24200043188772</v>
      </c>
      <c r="J78" s="29">
        <f>J73</f>
        <v>121.38839452323339</v>
      </c>
    </row>
    <row r="79" spans="1:11" x14ac:dyDescent="0.2">
      <c r="B79" s="4" t="s">
        <v>65</v>
      </c>
      <c r="C79" s="4"/>
      <c r="D79" s="4"/>
      <c r="E79" s="4"/>
      <c r="F79" s="26">
        <f>SUM(F75:F78)</f>
        <v>28.631250000000009</v>
      </c>
      <c r="G79" s="26">
        <f>SUM(G75:G78)</f>
        <v>42.415504351562504</v>
      </c>
      <c r="H79" s="26">
        <f t="shared" ref="H79:J79" si="25">SUM(H75:H78)</f>
        <v>68.662437332677655</v>
      </c>
      <c r="I79" s="26">
        <f t="shared" si="25"/>
        <v>86.521162628226534</v>
      </c>
      <c r="J79" s="26">
        <f t="shared" si="25"/>
        <v>100.67954448245766</v>
      </c>
    </row>
    <row r="81" spans="2:10" x14ac:dyDescent="0.2">
      <c r="B81" s="3" t="s">
        <v>63</v>
      </c>
      <c r="E81" s="25"/>
      <c r="F81" s="25">
        <f>-MIN(F79*$I$18,E85+F75)</f>
        <v>-14.315625000000004</v>
      </c>
      <c r="G81" s="25">
        <f>-MIN(G79*$I$18,F85+G75)</f>
        <v>-21.207752175781252</v>
      </c>
      <c r="H81" s="25">
        <f t="shared" ref="H81:J81" si="26">-MIN(H79*$I$18,G85+H75)</f>
        <v>-34.331218666338827</v>
      </c>
      <c r="I81" s="25">
        <f>-MIN(I79*$I$18,H85+I75)</f>
        <v>-43.260581314113267</v>
      </c>
      <c r="J81" s="25">
        <f>-MIN(J79*$I$18,I85+J75)</f>
        <v>-6.8848228437666421</v>
      </c>
    </row>
    <row r="82" spans="2:10" x14ac:dyDescent="0.2">
      <c r="B82" s="3" t="s">
        <v>64</v>
      </c>
      <c r="E82" s="25"/>
      <c r="F82" s="25">
        <f>SUM(F75,F76,F78,F81)</f>
        <v>39.315625000000004</v>
      </c>
      <c r="G82" s="25">
        <f t="shared" ref="G82:J82" si="27">SUM(G75,G76,G78,G81)</f>
        <v>50.082752175781252</v>
      </c>
      <c r="H82" s="25">
        <f t="shared" si="27"/>
        <v>67.221287416338839</v>
      </c>
      <c r="I82" s="25">
        <f t="shared" si="27"/>
        <v>80.20270653411329</v>
      </c>
      <c r="J82" s="25">
        <f>SUM(J75,J76,J78,J81)</f>
        <v>134.70627821358005</v>
      </c>
    </row>
    <row r="84" spans="2:10" x14ac:dyDescent="0.2">
      <c r="B84" s="4" t="s">
        <v>66</v>
      </c>
      <c r="C84" s="27"/>
    </row>
    <row r="85" spans="2:10" x14ac:dyDescent="0.2">
      <c r="B85" s="3" t="s">
        <v>7</v>
      </c>
      <c r="E85" s="8">
        <f>E25</f>
        <v>300</v>
      </c>
      <c r="F85" s="25">
        <f>E85+F75+F81</f>
        <v>270.68437499999999</v>
      </c>
      <c r="G85" s="25">
        <f>F85+G75+G81</f>
        <v>219.47662282421874</v>
      </c>
      <c r="H85" s="25">
        <f>G85+H75+H81</f>
        <v>155.14540415787991</v>
      </c>
      <c r="I85" s="25">
        <f>H85+I75+I81</f>
        <v>66.884822843766642</v>
      </c>
      <c r="J85" s="25">
        <f>I85+J75+J81</f>
        <v>0</v>
      </c>
    </row>
    <row r="86" spans="2:10" x14ac:dyDescent="0.2">
      <c r="B86" s="3" t="s">
        <v>8</v>
      </c>
      <c r="E86" s="8">
        <f>E26</f>
        <v>100</v>
      </c>
      <c r="F86" s="25">
        <f>E86+F95</f>
        <v>105</v>
      </c>
      <c r="G86" s="25">
        <f t="shared" ref="G86:J86" si="28">F86+G95</f>
        <v>110.25</v>
      </c>
      <c r="H86" s="25">
        <f t="shared" si="28"/>
        <v>115.7625</v>
      </c>
      <c r="I86" s="25">
        <f t="shared" si="28"/>
        <v>121.550625</v>
      </c>
      <c r="J86" s="25">
        <f t="shared" si="28"/>
        <v>127.62815624999999</v>
      </c>
    </row>
    <row r="87" spans="2:10" x14ac:dyDescent="0.2">
      <c r="B87" s="3" t="s">
        <v>9</v>
      </c>
      <c r="E87" s="8">
        <f>E27</f>
        <v>100</v>
      </c>
      <c r="F87" s="25">
        <f>E87+F96</f>
        <v>110</v>
      </c>
      <c r="G87" s="25">
        <f t="shared" ref="G87:J87" si="29">F87+G96</f>
        <v>121</v>
      </c>
      <c r="H87" s="25">
        <f t="shared" si="29"/>
        <v>133.1</v>
      </c>
      <c r="I87" s="25">
        <f t="shared" si="29"/>
        <v>146.41</v>
      </c>
      <c r="J87" s="25">
        <f t="shared" si="29"/>
        <v>161.05099999999999</v>
      </c>
    </row>
    <row r="88" spans="2:10" x14ac:dyDescent="0.2">
      <c r="B88" s="28"/>
    </row>
    <row r="89" spans="2:10" x14ac:dyDescent="0.2">
      <c r="B89" s="3" t="s">
        <v>67</v>
      </c>
      <c r="F89" s="13">
        <v>0.05</v>
      </c>
      <c r="G89" s="13">
        <v>0.1</v>
      </c>
      <c r="H89" s="13">
        <v>0.1</v>
      </c>
      <c r="I89" s="13">
        <v>0.15</v>
      </c>
      <c r="J89" s="13">
        <v>0.2</v>
      </c>
    </row>
    <row r="91" spans="2:10" x14ac:dyDescent="0.2">
      <c r="B91" s="3" t="s">
        <v>68</v>
      </c>
      <c r="E91" s="13"/>
      <c r="F91" s="13">
        <v>1.4999999999999999E-2</v>
      </c>
      <c r="G91" s="13">
        <f>F91+(0.015/4)</f>
        <v>1.8749999999999999E-2</v>
      </c>
      <c r="H91" s="13">
        <f>G91+(0.015/4)</f>
        <v>2.2499999999999999E-2</v>
      </c>
      <c r="I91" s="13">
        <f>H91+(0.015/4)</f>
        <v>2.6249999999999999E-2</v>
      </c>
      <c r="J91" s="13">
        <f>I91+(0.015/4)</f>
        <v>0.03</v>
      </c>
    </row>
    <row r="93" spans="2:10" x14ac:dyDescent="0.2">
      <c r="B93" s="3" t="s">
        <v>7</v>
      </c>
      <c r="E93" s="25"/>
      <c r="F93" s="25">
        <f>E85*(F91+$H$18)</f>
        <v>13.5</v>
      </c>
      <c r="G93" s="25">
        <f>F85*(G91+$H$18)</f>
        <v>13.19586328125</v>
      </c>
      <c r="H93" s="25">
        <f>G85*(H91+$H$18)</f>
        <v>11.522522698271484</v>
      </c>
      <c r="I93" s="25">
        <f>H85*(I91+$H$18)</f>
        <v>8.7269289838807449</v>
      </c>
      <c r="J93" s="25">
        <f>I85*(J91+$H$18)</f>
        <v>4.0130893706259982</v>
      </c>
    </row>
    <row r="94" spans="2:10" x14ac:dyDescent="0.2">
      <c r="B94" s="3" t="s">
        <v>8</v>
      </c>
      <c r="E94" s="25"/>
      <c r="F94" s="25">
        <f>E86*$F$19</f>
        <v>3</v>
      </c>
      <c r="G94" s="25">
        <f>F86*$F$19</f>
        <v>3.15</v>
      </c>
      <c r="H94" s="25">
        <f>G86*$F$19</f>
        <v>3.3074999999999997</v>
      </c>
      <c r="I94" s="25">
        <f>H86*$F$19</f>
        <v>3.4728750000000002</v>
      </c>
      <c r="J94" s="25">
        <f>I86*$F$19</f>
        <v>3.6465187499999998</v>
      </c>
    </row>
    <row r="95" spans="2:10" x14ac:dyDescent="0.2">
      <c r="B95" s="3" t="s">
        <v>69</v>
      </c>
      <c r="E95" s="25"/>
      <c r="F95" s="25">
        <f>E86*$G$19</f>
        <v>5</v>
      </c>
      <c r="G95" s="25">
        <f>F86*$G$19</f>
        <v>5.25</v>
      </c>
      <c r="H95" s="25">
        <f>G86*$G$19</f>
        <v>5.5125000000000002</v>
      </c>
      <c r="I95" s="25">
        <f>H86*$G$19</f>
        <v>5.7881250000000009</v>
      </c>
      <c r="J95" s="25">
        <f>I86*$G$19</f>
        <v>6.0775312499999998</v>
      </c>
    </row>
    <row r="96" spans="2:10" x14ac:dyDescent="0.2">
      <c r="B96" s="3" t="s">
        <v>70</v>
      </c>
      <c r="E96" s="25"/>
      <c r="F96" s="25">
        <f>E87*$G$20</f>
        <v>10</v>
      </c>
      <c r="G96" s="25">
        <f>F87*$G$20</f>
        <v>11</v>
      </c>
      <c r="H96" s="25">
        <f>G87*$G$20</f>
        <v>12.100000000000001</v>
      </c>
      <c r="I96" s="25">
        <f>H87*$G$20</f>
        <v>13.31</v>
      </c>
      <c r="J96" s="25">
        <f>I87*$G$20</f>
        <v>14.641</v>
      </c>
    </row>
    <row r="98" spans="1:10" x14ac:dyDescent="0.2">
      <c r="A98" s="1" t="s">
        <v>71</v>
      </c>
      <c r="B98" s="1"/>
      <c r="C98" s="1"/>
      <c r="D98" s="2"/>
      <c r="E98" s="2"/>
      <c r="F98" s="2"/>
      <c r="G98" s="2"/>
      <c r="H98" s="2"/>
      <c r="I98" s="2"/>
      <c r="J98" s="2"/>
    </row>
    <row r="100" spans="1:10" x14ac:dyDescent="0.2">
      <c r="B100" s="18" t="s">
        <v>71</v>
      </c>
      <c r="C100" s="18"/>
      <c r="D100" s="18"/>
      <c r="E100" s="20">
        <v>45627</v>
      </c>
      <c r="F100" s="21">
        <f>EOMONTH(E100, 12)</f>
        <v>46022</v>
      </c>
      <c r="G100" s="21">
        <f t="shared" ref="G100" si="30">EOMONTH(F100, 12)</f>
        <v>46387</v>
      </c>
      <c r="H100" s="21">
        <f t="shared" ref="H100" si="31">EOMONTH(G100, 12)</f>
        <v>46752</v>
      </c>
      <c r="I100" s="21">
        <f t="shared" ref="I100" si="32">EOMONTH(H100, 12)</f>
        <v>47118</v>
      </c>
      <c r="J100" s="21">
        <f t="shared" ref="J100" si="33">EOMONTH(I100, 12)</f>
        <v>47483</v>
      </c>
    </row>
    <row r="101" spans="1:10" x14ac:dyDescent="0.2">
      <c r="B101" s="3" t="s">
        <v>3</v>
      </c>
      <c r="F101" s="25">
        <f>F59</f>
        <v>125.47500000000002</v>
      </c>
      <c r="G101" s="25">
        <f>G59</f>
        <v>151.15716000000009</v>
      </c>
      <c r="H101" s="25">
        <f>H59</f>
        <v>176.08497706800011</v>
      </c>
      <c r="I101" s="25">
        <f>I59</f>
        <v>199.22433548897888</v>
      </c>
      <c r="J101" s="25">
        <f>J59</f>
        <v>219.52829266617445</v>
      </c>
    </row>
    <row r="102" spans="1:10" x14ac:dyDescent="0.2">
      <c r="B102" s="7" t="s">
        <v>72</v>
      </c>
      <c r="C102" s="7"/>
      <c r="D102" s="7"/>
      <c r="E102" s="7"/>
      <c r="F102" s="10">
        <f>$E$14</f>
        <v>10</v>
      </c>
      <c r="G102" s="10">
        <f t="shared" ref="G102:J102" si="34">$E$14</f>
        <v>10</v>
      </c>
      <c r="H102" s="10">
        <f t="shared" si="34"/>
        <v>10</v>
      </c>
      <c r="I102" s="10">
        <f t="shared" si="34"/>
        <v>10</v>
      </c>
      <c r="J102" s="10">
        <f t="shared" si="34"/>
        <v>10</v>
      </c>
    </row>
    <row r="103" spans="1:10" x14ac:dyDescent="0.2">
      <c r="B103" s="4" t="s">
        <v>73</v>
      </c>
      <c r="C103" s="4"/>
      <c r="D103" s="4"/>
      <c r="E103" s="4"/>
      <c r="F103" s="26">
        <f>IF(F51=$E$15,F101*F102,0)</f>
        <v>0</v>
      </c>
      <c r="G103" s="26">
        <f t="shared" ref="G103:J103" si="35">IF(G51=$E$15,G101*G102,0)</f>
        <v>0</v>
      </c>
      <c r="H103" s="26">
        <f t="shared" si="35"/>
        <v>0</v>
      </c>
      <c r="I103" s="26">
        <f t="shared" si="35"/>
        <v>0</v>
      </c>
      <c r="J103" s="26">
        <f t="shared" si="35"/>
        <v>2195.2829266617446</v>
      </c>
    </row>
    <row r="105" spans="1:10" x14ac:dyDescent="0.2">
      <c r="B105" s="3" t="s">
        <v>74</v>
      </c>
      <c r="E105" s="34"/>
      <c r="F105" s="34">
        <f>IF(F51=$E$15,-SUM(F85:F87),0)</f>
        <v>0</v>
      </c>
      <c r="G105" s="34">
        <f>IF(G51=$E$15,-SUM(G85:G87),0)</f>
        <v>0</v>
      </c>
      <c r="H105" s="34">
        <f>IF(H51=$E$15,-SUM(H85:H87),0)</f>
        <v>0</v>
      </c>
      <c r="I105" s="34">
        <f>IF(I51=$E$15,-SUM(I85:I87),0)</f>
        <v>0</v>
      </c>
      <c r="J105" s="34">
        <f t="shared" ref="J105" si="36">IF(J51=$E$15,-SUM(J85:J87),0)</f>
        <v>-288.67915625000001</v>
      </c>
    </row>
    <row r="106" spans="1:10" x14ac:dyDescent="0.2">
      <c r="B106" s="7" t="s">
        <v>75</v>
      </c>
      <c r="C106" s="7"/>
      <c r="D106" s="7"/>
      <c r="E106" s="35"/>
      <c r="F106" s="35">
        <f>IF(F51=$E$15,F82,0)</f>
        <v>0</v>
      </c>
      <c r="G106" s="35">
        <f t="shared" ref="G106:J106" si="37">IF(G51=$E$15,G82,0)</f>
        <v>0</v>
      </c>
      <c r="H106" s="35">
        <f t="shared" si="37"/>
        <v>0</v>
      </c>
      <c r="I106" s="35">
        <f t="shared" si="37"/>
        <v>0</v>
      </c>
      <c r="J106" s="35">
        <f t="shared" si="37"/>
        <v>134.70627821358005</v>
      </c>
    </row>
    <row r="107" spans="1:10" x14ac:dyDescent="0.2">
      <c r="B107" s="4" t="s">
        <v>76</v>
      </c>
      <c r="E107" s="36">
        <f>SUM(E103:E106)</f>
        <v>0</v>
      </c>
      <c r="F107" s="36">
        <f>SUM(F103:F106)</f>
        <v>0</v>
      </c>
      <c r="G107" s="36">
        <f t="shared" ref="G107:J107" si="38">SUM(G103:G106)</f>
        <v>0</v>
      </c>
      <c r="H107" s="36">
        <f t="shared" si="38"/>
        <v>0</v>
      </c>
      <c r="I107" s="36">
        <f t="shared" si="38"/>
        <v>0</v>
      </c>
      <c r="J107" s="36">
        <f t="shared" si="38"/>
        <v>2041.3100486253247</v>
      </c>
    </row>
    <row r="108" spans="1:10" x14ac:dyDescent="0.2">
      <c r="B108" s="3" t="s">
        <v>83</v>
      </c>
      <c r="E108" s="34"/>
      <c r="F108" s="34">
        <f>IF(F107&gt;$E$28,$E$28*$J$13,0)</f>
        <v>0</v>
      </c>
      <c r="G108" s="34">
        <f>IF(G107&gt;$E$28,$E$28*$J$13,0)</f>
        <v>0</v>
      </c>
      <c r="H108" s="34">
        <f>IF(H107&gt;$E$28,$E$28*$J$13,0)</f>
        <v>0</v>
      </c>
      <c r="I108" s="34">
        <f>IF(I107&gt;$E$28,$E$28*$J$13,0)</f>
        <v>0</v>
      </c>
      <c r="J108" s="34">
        <f>IF(J107&gt;$E$28,$E$28*$J$13,0)</f>
        <v>37.450000000000003</v>
      </c>
    </row>
    <row r="109" spans="1:10" x14ac:dyDescent="0.2">
      <c r="B109" s="7" t="s">
        <v>77</v>
      </c>
      <c r="C109" s="7"/>
      <c r="D109" s="7"/>
      <c r="E109" s="35"/>
      <c r="F109" s="35">
        <f>IF(F108&gt;0, -$J$7/(1+$J$7)*SUM(F107:F108),0)</f>
        <v>0</v>
      </c>
      <c r="G109" s="35">
        <f>IF(G108&gt;0, -$J$7/(1+$J$7)*SUM(G107:G108),0)</f>
        <v>0</v>
      </c>
      <c r="H109" s="35">
        <f t="shared" ref="H109:J109" si="39">IF(H108&gt;0, -$J$7/(1+$J$7)*SUM(H107:H108),0)</f>
        <v>0</v>
      </c>
      <c r="I109" s="35">
        <f t="shared" si="39"/>
        <v>0</v>
      </c>
      <c r="J109" s="35">
        <f t="shared" si="39"/>
        <v>-98.988573744063075</v>
      </c>
    </row>
    <row r="110" spans="1:10" x14ac:dyDescent="0.2">
      <c r="B110" s="4" t="s">
        <v>78</v>
      </c>
      <c r="E110" s="36">
        <f>-E28</f>
        <v>-749</v>
      </c>
      <c r="F110" s="36">
        <f>SUM(F107:F109)</f>
        <v>0</v>
      </c>
      <c r="G110" s="36">
        <f t="shared" ref="G110:J110" si="40">SUM(G107:G109)</f>
        <v>0</v>
      </c>
      <c r="H110" s="36">
        <f t="shared" si="40"/>
        <v>0</v>
      </c>
      <c r="I110" s="36">
        <f t="shared" si="40"/>
        <v>0</v>
      </c>
      <c r="J110" s="36">
        <f t="shared" si="40"/>
        <v>1979.7714748812614</v>
      </c>
    </row>
    <row r="112" spans="1:10" x14ac:dyDescent="0.2">
      <c r="B112" s="4" t="s">
        <v>79</v>
      </c>
      <c r="C112" s="4"/>
      <c r="D112" s="4"/>
      <c r="E112" s="37" cm="1">
        <f t="array" ref="E112">-SUM(F110:J110/E110)</f>
        <v>2.6432195926318576</v>
      </c>
    </row>
    <row r="113" spans="2:9" x14ac:dyDescent="0.2">
      <c r="B113" s="4" t="s">
        <v>80</v>
      </c>
      <c r="C113" s="4"/>
      <c r="D113" s="4"/>
      <c r="E113" s="38">
        <f>IRR(E110:J110)</f>
        <v>0.21458146397950428</v>
      </c>
    </row>
    <row r="114" spans="2:9" x14ac:dyDescent="0.2">
      <c r="D114" s="47" t="s">
        <v>79</v>
      </c>
      <c r="E114" s="48"/>
      <c r="F114" s="48"/>
      <c r="G114" s="48"/>
      <c r="H114" s="48"/>
    </row>
    <row r="115" spans="2:9" x14ac:dyDescent="0.2">
      <c r="C115" s="39">
        <f>E112</f>
        <v>2.6432195926318576</v>
      </c>
      <c r="D115" s="40">
        <v>46022</v>
      </c>
      <c r="E115" s="40">
        <v>46387</v>
      </c>
      <c r="F115" s="40">
        <v>46752</v>
      </c>
      <c r="G115" s="40">
        <v>47118</v>
      </c>
      <c r="H115" s="40">
        <v>47483</v>
      </c>
      <c r="I115" s="40"/>
    </row>
    <row r="116" spans="2:9" x14ac:dyDescent="0.2">
      <c r="B116" s="41" t="s">
        <v>72</v>
      </c>
      <c r="C116" s="37">
        <v>12</v>
      </c>
      <c r="D116" s="42">
        <f t="dataTable" ref="D116:H124" dt2D="1" dtr="1" r1="E15" r2="E14" ca="1"/>
        <v>1.3945975586496282</v>
      </c>
      <c r="E116" s="42">
        <v>1.8446081115793294</v>
      </c>
      <c r="F116" s="42">
        <v>2.3061645471097467</v>
      </c>
      <c r="G116" s="42">
        <v>2.7636840035070165</v>
      </c>
      <c r="H116" s="42">
        <v>3.2014961332032201</v>
      </c>
    </row>
    <row r="117" spans="2:9" x14ac:dyDescent="0.2">
      <c r="B117" s="41"/>
      <c r="C117" s="37">
        <f>C116-0.5</f>
        <v>11.5</v>
      </c>
      <c r="D117" s="42">
        <v>1.3148245279420183</v>
      </c>
      <c r="E117" s="42">
        <v>1.7485071769998899</v>
      </c>
      <c r="F117" s="42">
        <v>2.1942152960016026</v>
      </c>
      <c r="G117" s="42">
        <v>2.6370234812303437</v>
      </c>
      <c r="H117" s="42">
        <v>3.0619269980603807</v>
      </c>
    </row>
    <row r="118" spans="2:9" x14ac:dyDescent="0.2">
      <c r="B118" s="41"/>
      <c r="C118" s="37">
        <f t="shared" ref="C118:C124" si="41">C117-0.5</f>
        <v>11</v>
      </c>
      <c r="D118" s="42">
        <v>1.2350514972344082</v>
      </c>
      <c r="E118" s="42">
        <v>1.6524062424204506</v>
      </c>
      <c r="F118" s="42">
        <v>2.082266044893458</v>
      </c>
      <c r="G118" s="42">
        <v>2.5103629589536709</v>
      </c>
      <c r="H118" s="42">
        <v>2.9223578629175395</v>
      </c>
    </row>
    <row r="119" spans="2:9" x14ac:dyDescent="0.2">
      <c r="B119" s="41"/>
      <c r="C119" s="37">
        <f t="shared" si="41"/>
        <v>10.5</v>
      </c>
      <c r="D119" s="42">
        <v>1.1552784665267979</v>
      </c>
      <c r="E119" s="42">
        <v>1.5563053078410114</v>
      </c>
      <c r="F119" s="42">
        <v>1.9703167937853139</v>
      </c>
      <c r="G119" s="42">
        <v>2.3837024366769977</v>
      </c>
      <c r="H119" s="42">
        <v>2.7827887277746988</v>
      </c>
    </row>
    <row r="120" spans="2:9" x14ac:dyDescent="0.2">
      <c r="B120" s="41"/>
      <c r="C120" s="37">
        <f t="shared" si="41"/>
        <v>10</v>
      </c>
      <c r="D120" s="42">
        <v>1.0755054358191876</v>
      </c>
      <c r="E120" s="42">
        <v>1.4602043732615719</v>
      </c>
      <c r="F120" s="42">
        <v>1.8583675426771697</v>
      </c>
      <c r="G120" s="42">
        <v>2.2570419144003249</v>
      </c>
      <c r="H120" s="42">
        <v>2.6432195926318576</v>
      </c>
    </row>
    <row r="121" spans="2:9" x14ac:dyDescent="0.2">
      <c r="B121" s="41"/>
      <c r="C121" s="37">
        <f t="shared" si="41"/>
        <v>9.5</v>
      </c>
      <c r="D121" s="42">
        <v>0.99551902536715642</v>
      </c>
      <c r="E121" s="42">
        <v>1.3641034386821327</v>
      </c>
      <c r="F121" s="42">
        <v>1.7464182915690254</v>
      </c>
      <c r="G121" s="42">
        <v>2.1303813921236521</v>
      </c>
      <c r="H121" s="42">
        <v>2.5036504574890168</v>
      </c>
    </row>
    <row r="122" spans="2:9" x14ac:dyDescent="0.2">
      <c r="B122" s="41"/>
      <c r="C122" s="37">
        <f t="shared" si="41"/>
        <v>9</v>
      </c>
      <c r="D122" s="42">
        <v>0.91175734312416556</v>
      </c>
      <c r="E122" s="42">
        <v>1.2680025041026937</v>
      </c>
      <c r="F122" s="42">
        <v>1.634469040460881</v>
      </c>
      <c r="G122" s="42">
        <v>2.0037208698469793</v>
      </c>
      <c r="H122" s="42">
        <v>2.3640813223461756</v>
      </c>
    </row>
    <row r="123" spans="2:9" x14ac:dyDescent="0.2">
      <c r="B123" s="41"/>
      <c r="C123" s="37">
        <f t="shared" si="41"/>
        <v>8.5</v>
      </c>
      <c r="D123" s="42">
        <v>0.82799566088117493</v>
      </c>
      <c r="E123" s="42">
        <v>1.1719015695232542</v>
      </c>
      <c r="F123" s="42">
        <v>1.5225197893527367</v>
      </c>
      <c r="G123" s="42">
        <v>1.877060347570306</v>
      </c>
      <c r="H123" s="42">
        <v>2.2245121872033353</v>
      </c>
    </row>
    <row r="124" spans="2:9" x14ac:dyDescent="0.2">
      <c r="B124" s="41"/>
      <c r="C124" s="37">
        <f t="shared" si="41"/>
        <v>8</v>
      </c>
      <c r="D124" s="42">
        <v>0.74423397863818441</v>
      </c>
      <c r="E124" s="42">
        <v>1.0758006349438149</v>
      </c>
      <c r="F124" s="42">
        <v>1.4105705382445928</v>
      </c>
      <c r="G124" s="42">
        <v>1.750399825293633</v>
      </c>
      <c r="H124" s="42">
        <v>2.0849430520604941</v>
      </c>
    </row>
    <row r="126" spans="2:9" x14ac:dyDescent="0.2">
      <c r="D126" s="45" t="s">
        <v>80</v>
      </c>
      <c r="E126" s="46"/>
      <c r="F126" s="46"/>
      <c r="G126" s="46"/>
      <c r="H126" s="46"/>
    </row>
    <row r="127" spans="2:9" x14ac:dyDescent="0.2">
      <c r="C127" s="39">
        <f>$E$113</f>
        <v>0.21458146397950428</v>
      </c>
      <c r="D127" s="40">
        <v>46022</v>
      </c>
      <c r="E127" s="40">
        <v>46387</v>
      </c>
      <c r="F127" s="40">
        <v>46752</v>
      </c>
      <c r="G127" s="40">
        <v>47118</v>
      </c>
      <c r="H127" s="40">
        <v>47483</v>
      </c>
    </row>
    <row r="128" spans="2:9" x14ac:dyDescent="0.2">
      <c r="B128" s="41" t="s">
        <v>72</v>
      </c>
      <c r="C128" s="37">
        <v>12</v>
      </c>
      <c r="D128" s="43">
        <f t="dataTable" ref="D128:H136" dt2D="1" dtr="1" r1="E15" r2="E14"/>
        <v>0.39459755864962798</v>
      </c>
      <c r="E128" s="43">
        <v>0.35816350693790766</v>
      </c>
      <c r="F128" s="43">
        <v>0.32118437988516391</v>
      </c>
      <c r="G128" s="43">
        <v>0.28935377519348582</v>
      </c>
      <c r="H128" s="43">
        <v>0.26203266642759382</v>
      </c>
    </row>
    <row r="129" spans="2:8" x14ac:dyDescent="0.2">
      <c r="B129" s="41"/>
      <c r="C129" s="37">
        <f>C128-0.5</f>
        <v>11.5</v>
      </c>
      <c r="D129" s="43">
        <v>0.3148245279420181</v>
      </c>
      <c r="E129" s="43">
        <v>0.32231130109352435</v>
      </c>
      <c r="F129" s="43">
        <v>0.29945051649550969</v>
      </c>
      <c r="G129" s="43">
        <v>0.27431999994861878</v>
      </c>
      <c r="H129" s="43">
        <v>0.25083195151442372</v>
      </c>
    </row>
    <row r="130" spans="2:8" x14ac:dyDescent="0.2">
      <c r="B130" s="41"/>
      <c r="C130" s="37">
        <f t="shared" ref="C130:C136" si="42">C129-0.5</f>
        <v>11</v>
      </c>
      <c r="D130" s="43">
        <v>0.23505149723440799</v>
      </c>
      <c r="E130" s="43">
        <v>0.28545954522902983</v>
      </c>
      <c r="F130" s="43">
        <v>0.27696425054835316</v>
      </c>
      <c r="G130" s="43">
        <v>0.25873448211477523</v>
      </c>
      <c r="H130" s="43">
        <v>0.23921505070468063</v>
      </c>
    </row>
    <row r="131" spans="2:8" x14ac:dyDescent="0.2">
      <c r="B131" s="41"/>
      <c r="C131" s="37">
        <f t="shared" si="42"/>
        <v>10.5</v>
      </c>
      <c r="D131" s="43">
        <v>0.15527846652679789</v>
      </c>
      <c r="E131" s="43">
        <v>0.24751966230637445</v>
      </c>
      <c r="F131" s="43">
        <v>0.25365687405624615</v>
      </c>
      <c r="G131" s="43">
        <v>0.24254752921415412</v>
      </c>
      <c r="H131" s="43">
        <v>0.22714546597216856</v>
      </c>
    </row>
    <row r="132" spans="2:8" x14ac:dyDescent="0.2">
      <c r="B132" s="41"/>
      <c r="C132" s="37">
        <f t="shared" si="42"/>
        <v>10</v>
      </c>
      <c r="D132" s="43">
        <v>7.5505435819187783E-2</v>
      </c>
      <c r="E132" s="43">
        <v>0.20838916465746737</v>
      </c>
      <c r="F132" s="43">
        <v>0.22944905430535201</v>
      </c>
      <c r="G132" s="43">
        <v>0.22570203192100657</v>
      </c>
      <c r="H132" s="43">
        <v>0.21458146397950428</v>
      </c>
    </row>
    <row r="133" spans="2:8" x14ac:dyDescent="0.2">
      <c r="B133" s="41"/>
      <c r="C133" s="37">
        <f t="shared" si="42"/>
        <v>9.5</v>
      </c>
      <c r="D133" s="43">
        <v>-4.4809746328435818E-3</v>
      </c>
      <c r="E133" s="43">
        <v>0.16794838870484941</v>
      </c>
      <c r="F133" s="43">
        <v>0.2042484346709057</v>
      </c>
      <c r="G133" s="43">
        <v>0.208131867331244</v>
      </c>
      <c r="H133" s="43">
        <v>0.20147500157886777</v>
      </c>
    </row>
    <row r="134" spans="2:8" x14ac:dyDescent="0.2">
      <c r="B134" s="41"/>
      <c r="C134" s="37">
        <f t="shared" si="42"/>
        <v>9</v>
      </c>
      <c r="D134" s="43">
        <v>-8.8242656875834657E-2</v>
      </c>
      <c r="E134" s="43">
        <v>0.12605617271195291</v>
      </c>
      <c r="F134" s="43">
        <v>0.17794650039105608</v>
      </c>
      <c r="G134" s="43">
        <v>0.1897598401476055</v>
      </c>
      <c r="H134" s="43">
        <v>0.18777035673682674</v>
      </c>
    </row>
    <row r="135" spans="2:8" x14ac:dyDescent="0.2">
      <c r="B135" s="41"/>
      <c r="C135" s="37">
        <f t="shared" si="42"/>
        <v>8.5</v>
      </c>
      <c r="D135" s="43">
        <v>-0.17200433911882496</v>
      </c>
      <c r="E135" s="43">
        <v>8.2544026598112108E-2</v>
      </c>
      <c r="F135" s="43">
        <v>0.15041441632652508</v>
      </c>
      <c r="G135" s="43">
        <v>0.17049498920805206</v>
      </c>
      <c r="H135" s="43">
        <v>0.17340236142803134</v>
      </c>
    </row>
    <row r="136" spans="2:8" x14ac:dyDescent="0.2">
      <c r="B136" s="41"/>
      <c r="C136" s="37">
        <f t="shared" si="42"/>
        <v>8</v>
      </c>
      <c r="D136" s="43">
        <v>-0.25576602136181559</v>
      </c>
      <c r="E136" s="43">
        <v>3.7208096257059564E-2</v>
      </c>
      <c r="F136" s="43">
        <v>0.12149739612863364</v>
      </c>
      <c r="G136" s="43">
        <v>0.1502290061800915</v>
      </c>
      <c r="H136" s="43">
        <v>0.15829408734212858</v>
      </c>
    </row>
  </sheetData>
  <mergeCells count="2">
    <mergeCell ref="B116:B124"/>
    <mergeCell ref="B128:B136"/>
  </mergeCells>
  <conditionalFormatting sqref="D116:E12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8:E136 E128:H135 D136:H1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6:H1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6:H12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8:H1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1">
    <dataValidation type="list" allowBlank="1" showInputMessage="1" showErrorMessage="1" sqref="E15" xr:uid="{B7520E4F-910C-4DC5-9C94-0F5F76AEA873}">
      <formula1>$E$32:$J$32</formula1>
    </dataValidation>
  </dataValidations>
  <pageMargins left="0.7" right="0.7" top="0.75" bottom="0.75" header="0.3" footer="0.3"/>
  <ignoredErrors>
    <ignoredError sqref="E56:J5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SADRAQUE AUGUSTO OLIVEIRA DE MELO CARVAL</dc:creator>
  <cp:lastModifiedBy>SADRAQUE AUGUSTO OLIVEIRA DE MELO CARVAL</cp:lastModifiedBy>
  <dcterms:created xsi:type="dcterms:W3CDTF">2024-10-22T20:35:10Z</dcterms:created>
  <dcterms:modified xsi:type="dcterms:W3CDTF">2024-10-24T11:46:27Z</dcterms:modified>
</cp:coreProperties>
</file>