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uggus\Downloads\"/>
    </mc:Choice>
  </mc:AlternateContent>
  <xr:revisionPtr revIDLastSave="0" documentId="13_ncr:1_{B6C11676-F49C-4D16-A473-88BD5E11E67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E34" i="1" l="1"/>
  <c r="D34" i="1"/>
  <c r="C34" i="1"/>
  <c r="N23" i="1" l="1"/>
  <c r="C29" i="1"/>
  <c r="C9" i="1" s="1"/>
  <c r="D12" i="1"/>
  <c r="E12" i="1"/>
  <c r="C12" i="1"/>
  <c r="D11" i="1"/>
  <c r="E11" i="1"/>
  <c r="C11" i="1"/>
  <c r="D29" i="1"/>
  <c r="D9" i="1" s="1"/>
  <c r="E29" i="1"/>
  <c r="E9" i="1" s="1"/>
  <c r="D30" i="1"/>
  <c r="D10" i="1" s="1"/>
  <c r="E30" i="1"/>
  <c r="E10" i="1" s="1"/>
  <c r="C30" i="1"/>
  <c r="C10" i="1" s="1"/>
  <c r="M7" i="1"/>
  <c r="M3" i="1"/>
  <c r="H20" i="1"/>
  <c r="H18" i="1"/>
  <c r="I18" i="1" s="1"/>
  <c r="M19" i="1"/>
  <c r="N19" i="1" s="1"/>
  <c r="M18" i="1"/>
  <c r="N18" i="1" s="1"/>
  <c r="N20" i="1" s="1"/>
  <c r="J18" i="1" l="1"/>
  <c r="I20" i="1"/>
  <c r="L32" i="1" l="1"/>
  <c r="L30" i="1"/>
  <c r="J29" i="1"/>
  <c r="J42" i="1"/>
  <c r="E6" i="1" s="1"/>
  <c r="J30" i="1"/>
  <c r="C6" i="1" s="1"/>
  <c r="J35" i="1"/>
  <c r="D5" i="1" s="1"/>
  <c r="J41" i="1"/>
  <c r="J36" i="1"/>
  <c r="J20" i="1"/>
  <c r="J43" i="1" l="1"/>
  <c r="E5" i="1"/>
  <c r="E7" i="1" s="1"/>
  <c r="E33" i="1" s="1"/>
  <c r="E13" i="1" s="1"/>
  <c r="J31" i="1"/>
  <c r="C5" i="1"/>
  <c r="C7" i="1" s="1"/>
  <c r="C33" i="1" s="1"/>
  <c r="J37" i="1"/>
  <c r="D6" i="1"/>
  <c r="D7" i="1" s="1"/>
  <c r="C13" i="1" l="1"/>
  <c r="C15" i="1"/>
  <c r="E15" i="1"/>
  <c r="E17" i="1" s="1"/>
  <c r="E20" i="1" s="1"/>
  <c r="C17" i="1"/>
  <c r="C20" i="1" s="1"/>
  <c r="D33" i="1"/>
  <c r="D13" i="1" l="1"/>
  <c r="D15" i="1"/>
  <c r="D17" i="1" l="1"/>
  <c r="D20" i="1" s="1"/>
</calcChain>
</file>

<file path=xl/sharedStrings.xml><?xml version="1.0" encoding="utf-8"?>
<sst xmlns="http://schemas.openxmlformats.org/spreadsheetml/2006/main" count="84" uniqueCount="65">
  <si>
    <t>Résultat brut (Bénefice brut)</t>
  </si>
  <si>
    <t>-</t>
  </si>
  <si>
    <t>=</t>
  </si>
  <si>
    <t>Rémunérations et indemnités</t>
  </si>
  <si>
    <t>Frais de locaux</t>
  </si>
  <si>
    <t>Frais de fondation</t>
  </si>
  <si>
    <t>Assurances de choses, taxes, droits, autorisations</t>
  </si>
  <si>
    <t>Charges administratives et informatiques</t>
  </si>
  <si>
    <t>EBITDA</t>
  </si>
  <si>
    <t>Compte de résultats prévisionnel en CHF</t>
  </si>
  <si>
    <t>Reduc MIN/MAX</t>
  </si>
  <si>
    <t>Prix Final</t>
  </si>
  <si>
    <t>Prix Original</t>
  </si>
  <si>
    <t>Moyenne</t>
  </si>
  <si>
    <t>Commision</t>
  </si>
  <si>
    <t>(25% du prix final)</t>
  </si>
  <si>
    <t>Prix avec contracts - Bcp de trafic + value</t>
  </si>
  <si>
    <t>Prix avec clés délocalisés/réduction</t>
  </si>
  <si>
    <t>Années</t>
  </si>
  <si>
    <t>Réduction maximun 
par revente de nos jeux :</t>
  </si>
  <si>
    <t>Réduction minimum
 par revente de nos jeu :</t>
  </si>
  <si>
    <t>Prix moyen entre 20 CHF et 80 CHF</t>
  </si>
  <si>
    <t>Prix de revente moyen</t>
  </si>
  <si>
    <t>Reduc moyen par rapport au PO</t>
  </si>
  <si>
    <t>Chiffres par mois en 2025</t>
  </si>
  <si>
    <t>Chiffres par mois en 2026</t>
  </si>
  <si>
    <t>Réduction maximun 
par achat de nos jeux :</t>
  </si>
  <si>
    <t>Réduction minimum
 par achat de nos jeu :</t>
  </si>
  <si>
    <t>Prix moyen final à l'achat</t>
  </si>
  <si>
    <t xml:space="preserve">Reduc moyenne </t>
  </si>
  <si>
    <t>Réduction moyenne
 à la revente</t>
  </si>
  <si>
    <t>Réduction moyenne
 à l'achat</t>
  </si>
  <si>
    <t>Chiffres par mois en 2027</t>
  </si>
  <si>
    <t>Inclure meme si cave</t>
  </si>
  <si>
    <t>Création entreprise prix</t>
  </si>
  <si>
    <t xml:space="preserve">Assurance commercialle, RC PRO, </t>
  </si>
  <si>
    <t>Frais de remboursement, Service après vente</t>
  </si>
  <si>
    <t>Maintenance  site WEB, licence, prix hébergement</t>
  </si>
  <si>
    <t>Investissements</t>
  </si>
  <si>
    <t>FCF Proxy</t>
  </si>
  <si>
    <t xml:space="preserve">Années </t>
  </si>
  <si>
    <t>Prix site Web</t>
  </si>
  <si>
    <t>Salaires pour deux personnes</t>
  </si>
  <si>
    <t>Loyer</t>
  </si>
  <si>
    <t>Prix de craft WEB</t>
  </si>
  <si>
    <t xml:space="preserve">Pub et Indicateur COCA </t>
  </si>
  <si>
    <t>Estimations remboursements clients</t>
  </si>
  <si>
    <t>Revenu totale mesuel (CA)</t>
  </si>
  <si>
    <t>Coût mesuel (PRAMV)</t>
  </si>
  <si>
    <t>Bénéfices mensuel (Bénefice brut)</t>
  </si>
  <si>
    <t>Estimation de notre nombre de ventes par mois</t>
  </si>
  <si>
    <t>Salaires Employés Année 2-3 | Année 1</t>
  </si>
  <si>
    <r>
      <rPr>
        <b/>
        <sz val="11"/>
        <color theme="1"/>
        <rFont val="Calibri"/>
        <family val="2"/>
        <scheme val="minor"/>
      </rPr>
      <t>CA</t>
    </r>
    <r>
      <rPr>
        <sz val="11"/>
        <color theme="1"/>
        <rFont val="Calibri"/>
        <family val="2"/>
        <scheme val="minor"/>
      </rPr>
      <t xml:space="preserve"> (Vente de produits fabriqués et de marchandises)</t>
    </r>
  </si>
  <si>
    <r>
      <rPr>
        <b/>
        <sz val="11"/>
        <color theme="1"/>
        <rFont val="Calibri"/>
        <family val="2"/>
        <scheme val="minor"/>
      </rPr>
      <t>PRAMV</t>
    </r>
    <r>
      <rPr>
        <sz val="11"/>
        <color theme="1"/>
        <rFont val="Calibri"/>
        <family val="2"/>
        <scheme val="minor"/>
      </rPr>
      <t xml:space="preserve"> (Frais de matériel et marchandises)</t>
    </r>
  </si>
  <si>
    <t>Autres charges d'exploitation</t>
  </si>
  <si>
    <t>DATA</t>
  </si>
  <si>
    <t>Bénéfices moyens par revente</t>
  </si>
  <si>
    <t>Coût Hebergement par mois | Nom de domaine</t>
  </si>
  <si>
    <t>MB par produit</t>
  </si>
  <si>
    <t>MB%</t>
  </si>
  <si>
    <t>37,5 % de MB ?</t>
  </si>
  <si>
    <t xml:space="preserve">Indicateur COCA pour Hobbies </t>
  </si>
  <si>
    <t>59$</t>
  </si>
  <si>
    <t>SRC : https://firstpagesage.com/reports/average-cac-for-ecommerce-companies/</t>
  </si>
  <si>
    <t>Marketing et frais de prospection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</si>
</sst>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CHF&quot;;[Red]\-#,##0\ &quot;CHF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7" xfId="0" applyBorder="1"/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3" fontId="0" fillId="0" borderId="0" xfId="0" applyNumberFormat="1"/>
    <xf numFmtId="6" fontId="0" fillId="0" borderId="0" xfId="0" applyNumberFormat="1"/>
    <xf numFmtId="10" fontId="0" fillId="0" borderId="0" xfId="0" applyNumberFormat="1"/>
    <xf numFmtId="9" fontId="0" fillId="0" borderId="0" xfId="0" applyNumberFormat="1"/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/>
    <xf numFmtId="0" fontId="0" fillId="2" borderId="1" xfId="0" applyFill="1" applyBorder="1"/>
    <xf numFmtId="0" fontId="0" fillId="2" borderId="9" xfId="0" applyFill="1" applyBorder="1" applyAlignment="1">
      <alignment horizontal="center" vertical="center"/>
    </xf>
    <xf numFmtId="9" fontId="0" fillId="2" borderId="3" xfId="0" applyNumberFormat="1" applyFill="1" applyBorder="1" applyAlignment="1">
      <alignment horizontal="center" vertical="center"/>
    </xf>
    <xf numFmtId="0" fontId="0" fillId="2" borderId="9" xfId="0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0" fontId="0" fillId="2" borderId="9" xfId="0" applyNumberForma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7" xfId="0" applyFill="1" applyBorder="1"/>
    <xf numFmtId="0" fontId="0" fillId="2" borderId="0" xfId="0" applyFill="1"/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2" xfId="0" applyFill="1" applyBorder="1"/>
    <xf numFmtId="0" fontId="0" fillId="3" borderId="14" xfId="0" applyFill="1" applyBorder="1" applyAlignment="1">
      <alignment vertical="center"/>
    </xf>
    <xf numFmtId="3" fontId="0" fillId="3" borderId="14" xfId="0" applyNumberFormat="1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 applyAlignment="1">
      <alignment vertical="center"/>
    </xf>
    <xf numFmtId="3" fontId="0" fillId="4" borderId="1" xfId="0" applyNumberFormat="1" applyFill="1" applyBorder="1"/>
    <xf numFmtId="0" fontId="0" fillId="4" borderId="7" xfId="0" applyFill="1" applyBorder="1"/>
    <xf numFmtId="0" fontId="0" fillId="4" borderId="0" xfId="0" applyFill="1" applyAlignment="1">
      <alignment vertical="center"/>
    </xf>
    <xf numFmtId="0" fontId="0" fillId="4" borderId="9" xfId="0" applyFill="1" applyBorder="1"/>
    <xf numFmtId="0" fontId="1" fillId="4" borderId="10" xfId="0" applyFont="1" applyFill="1" applyBorder="1" applyAlignment="1">
      <alignment vertical="center"/>
    </xf>
    <xf numFmtId="0" fontId="0" fillId="5" borderId="4" xfId="0" applyFill="1" applyBorder="1"/>
    <xf numFmtId="0" fontId="0" fillId="5" borderId="5" xfId="0" applyFill="1" applyBorder="1" applyAlignment="1">
      <alignment vertical="center"/>
    </xf>
    <xf numFmtId="3" fontId="0" fillId="5" borderId="1" xfId="0" applyNumberFormat="1" applyFill="1" applyBorder="1"/>
    <xf numFmtId="0" fontId="0" fillId="5" borderId="7" xfId="0" applyFill="1" applyBorder="1"/>
    <xf numFmtId="0" fontId="0" fillId="5" borderId="0" xfId="0" applyFill="1" applyAlignment="1">
      <alignment vertical="center"/>
    </xf>
    <xf numFmtId="0" fontId="0" fillId="5" borderId="10" xfId="0" applyFill="1" applyBorder="1"/>
    <xf numFmtId="0" fontId="0" fillId="5" borderId="10" xfId="0" applyFill="1" applyBorder="1" applyAlignment="1">
      <alignment vertical="center"/>
    </xf>
    <xf numFmtId="0" fontId="0" fillId="6" borderId="1" xfId="0" applyFill="1" applyBorder="1"/>
    <xf numFmtId="0" fontId="1" fillId="6" borderId="1" xfId="0" applyFont="1" applyFill="1" applyBorder="1"/>
    <xf numFmtId="3" fontId="0" fillId="6" borderId="1" xfId="0" applyNumberFormat="1" applyFill="1" applyBorder="1"/>
    <xf numFmtId="0" fontId="0" fillId="7" borderId="4" xfId="0" applyFill="1" applyBorder="1"/>
    <xf numFmtId="0" fontId="0" fillId="7" borderId="12" xfId="0" applyFill="1" applyBorder="1"/>
    <xf numFmtId="3" fontId="0" fillId="7" borderId="3" xfId="0" applyNumberFormat="1" applyFill="1" applyBorder="1"/>
    <xf numFmtId="3" fontId="0" fillId="7" borderId="1" xfId="0" applyNumberFormat="1" applyFill="1" applyBorder="1"/>
    <xf numFmtId="0" fontId="0" fillId="7" borderId="9" xfId="0" applyFill="1" applyBorder="1"/>
    <xf numFmtId="0" fontId="1" fillId="7" borderId="13" xfId="0" applyFont="1" applyFill="1" applyBorder="1"/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9" fontId="0" fillId="2" borderId="12" xfId="0" applyNumberFormat="1" applyFill="1" applyBorder="1" applyAlignment="1">
      <alignment horizontal="center" vertical="center"/>
    </xf>
    <xf numFmtId="9" fontId="0" fillId="2" borderId="15" xfId="0" applyNumberFormat="1" applyFill="1" applyBorder="1" applyAlignment="1">
      <alignment horizontal="center" vertical="center"/>
    </xf>
    <xf numFmtId="9" fontId="0" fillId="2" borderId="13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abSelected="1" topLeftCell="A8" zoomScale="85" zoomScaleNormal="85" workbookViewId="0">
      <selection activeCell="E25" sqref="E25"/>
    </sheetView>
  </sheetViews>
  <sheetFormatPr baseColWidth="10" defaultColWidth="8.85546875" defaultRowHeight="15" x14ac:dyDescent="0.25"/>
  <cols>
    <col min="1" max="1" width="2" bestFit="1" customWidth="1"/>
    <col min="2" max="2" width="55" customWidth="1"/>
    <col min="3" max="3" width="16.85546875" customWidth="1"/>
    <col min="4" max="4" width="16.42578125" customWidth="1"/>
    <col min="5" max="5" width="17.7109375" customWidth="1"/>
    <col min="7" max="7" width="13.42578125" customWidth="1"/>
    <col min="8" max="8" width="41.7109375" bestFit="1" customWidth="1"/>
    <col min="9" max="9" width="21" bestFit="1" customWidth="1"/>
    <col min="10" max="10" width="24.85546875" bestFit="1" customWidth="1"/>
    <col min="11" max="11" width="18.28515625" customWidth="1"/>
    <col min="12" max="12" width="27.7109375" customWidth="1"/>
    <col min="13" max="13" width="10.7109375" bestFit="1" customWidth="1"/>
    <col min="14" max="14" width="14.5703125" bestFit="1" customWidth="1"/>
  </cols>
  <sheetData>
    <row r="1" spans="1:14" ht="15.75" thickBot="1" x14ac:dyDescent="0.3">
      <c r="B1" s="14" t="s">
        <v>9</v>
      </c>
      <c r="C1" s="7"/>
      <c r="D1" s="7"/>
      <c r="E1" s="7"/>
    </row>
    <row r="2" spans="1:14" ht="15.75" thickBot="1" x14ac:dyDescent="0.3">
      <c r="B2" s="2"/>
      <c r="C2" s="7"/>
      <c r="D2" s="7"/>
      <c r="E2" s="7"/>
    </row>
    <row r="3" spans="1:14" ht="15.75" thickBot="1" x14ac:dyDescent="0.3">
      <c r="A3" s="42"/>
      <c r="B3" s="43" t="s">
        <v>18</v>
      </c>
      <c r="C3" s="44">
        <v>2025</v>
      </c>
      <c r="D3" s="44">
        <v>2026</v>
      </c>
      <c r="E3" s="45">
        <v>2027</v>
      </c>
      <c r="H3" s="86" t="s">
        <v>19</v>
      </c>
      <c r="I3" s="83">
        <v>0.9</v>
      </c>
      <c r="J3" s="86" t="s">
        <v>20</v>
      </c>
      <c r="K3" s="83">
        <v>0.2</v>
      </c>
      <c r="L3" s="89" t="s">
        <v>30</v>
      </c>
      <c r="M3" s="83">
        <f>AVERAGE(I3,K3)</f>
        <v>0.55000000000000004</v>
      </c>
    </row>
    <row r="4" spans="1:14" ht="15.75" thickBot="1" x14ac:dyDescent="0.3">
      <c r="B4" s="2"/>
      <c r="C4" s="11"/>
      <c r="D4" s="11"/>
      <c r="E4" s="11"/>
      <c r="H4" s="87"/>
      <c r="I4" s="84"/>
      <c r="J4" s="87"/>
      <c r="K4" s="84"/>
      <c r="L4" s="90"/>
      <c r="M4" s="84"/>
    </row>
    <row r="5" spans="1:14" ht="15.75" thickBot="1" x14ac:dyDescent="0.3">
      <c r="A5" s="46"/>
      <c r="B5" s="47" t="s">
        <v>52</v>
      </c>
      <c r="C5" s="48">
        <f>$J$29*12</f>
        <v>33000.000000000007</v>
      </c>
      <c r="D5" s="48">
        <f>$J$35*12</f>
        <v>165000.00000000003</v>
      </c>
      <c r="E5" s="48">
        <f>J41*12</f>
        <v>660000.00000000012</v>
      </c>
      <c r="H5" s="88"/>
      <c r="I5" s="85"/>
      <c r="J5" s="88"/>
      <c r="K5" s="85"/>
      <c r="L5" s="91"/>
      <c r="M5" s="92"/>
    </row>
    <row r="6" spans="1:14" ht="15.75" thickBot="1" x14ac:dyDescent="0.3">
      <c r="A6" s="49" t="s">
        <v>1</v>
      </c>
      <c r="B6" s="50" t="s">
        <v>53</v>
      </c>
      <c r="C6" s="48">
        <f>$J$30*12</f>
        <v>24000</v>
      </c>
      <c r="D6" s="48">
        <f>J36*12</f>
        <v>120000</v>
      </c>
      <c r="E6" s="48">
        <f>J42*12</f>
        <v>480000</v>
      </c>
      <c r="J6" s="3"/>
    </row>
    <row r="7" spans="1:14" ht="15.75" thickBot="1" x14ac:dyDescent="0.3">
      <c r="A7" s="51" t="s">
        <v>2</v>
      </c>
      <c r="B7" s="52" t="s">
        <v>0</v>
      </c>
      <c r="C7" s="48">
        <f>$C$5-$C$6</f>
        <v>9000.0000000000073</v>
      </c>
      <c r="D7" s="48">
        <f>$D$5-$D$6</f>
        <v>45000.000000000029</v>
      </c>
      <c r="E7" s="48">
        <f>$E$5-$E$6</f>
        <v>180000.00000000012</v>
      </c>
      <c r="H7" s="86" t="s">
        <v>26</v>
      </c>
      <c r="I7" s="83">
        <v>0.9</v>
      </c>
      <c r="J7" s="86" t="s">
        <v>27</v>
      </c>
      <c r="K7" s="83">
        <v>0.3</v>
      </c>
      <c r="L7" s="89" t="s">
        <v>31</v>
      </c>
      <c r="M7" s="83">
        <f>AVERAGE(I7,K7)</f>
        <v>0.6</v>
      </c>
    </row>
    <row r="8" spans="1:14" ht="15.75" thickBot="1" x14ac:dyDescent="0.3">
      <c r="B8" s="2"/>
      <c r="C8" s="7"/>
      <c r="D8" s="7"/>
      <c r="E8" s="7"/>
      <c r="H8" s="88"/>
      <c r="I8" s="85"/>
      <c r="J8" s="88"/>
      <c r="K8" s="85"/>
      <c r="L8" s="91"/>
      <c r="M8" s="92"/>
    </row>
    <row r="9" spans="1:14" ht="15.75" thickBot="1" x14ac:dyDescent="0.3">
      <c r="A9" s="53" t="s">
        <v>1</v>
      </c>
      <c r="B9" s="54" t="s">
        <v>3</v>
      </c>
      <c r="C9" s="55">
        <f>C28+C29</f>
        <v>5000</v>
      </c>
      <c r="D9" s="55">
        <f t="shared" ref="D9:E9" si="0">D28+D29</f>
        <v>48000</v>
      </c>
      <c r="E9" s="55">
        <f t="shared" si="0"/>
        <v>48000</v>
      </c>
      <c r="K9" s="5"/>
    </row>
    <row r="10" spans="1:14" ht="15.75" thickBot="1" x14ac:dyDescent="0.3">
      <c r="A10" s="56" t="s">
        <v>1</v>
      </c>
      <c r="B10" s="57" t="s">
        <v>4</v>
      </c>
      <c r="C10" s="55">
        <f>C30</f>
        <v>12000</v>
      </c>
      <c r="D10" s="55">
        <f t="shared" ref="D10:E10" si="1">D30</f>
        <v>12000</v>
      </c>
      <c r="E10" s="55">
        <f t="shared" si="1"/>
        <v>12000</v>
      </c>
      <c r="H10" s="16" t="s">
        <v>46</v>
      </c>
      <c r="I10" s="18">
        <v>0.05</v>
      </c>
      <c r="K10" s="16" t="s">
        <v>43</v>
      </c>
      <c r="L10" s="16">
        <v>1000</v>
      </c>
    </row>
    <row r="11" spans="1:14" ht="15.75" thickBot="1" x14ac:dyDescent="0.3">
      <c r="A11" s="56" t="s">
        <v>1</v>
      </c>
      <c r="B11" s="57" t="s">
        <v>5</v>
      </c>
      <c r="C11" s="55">
        <f>C31</f>
        <v>1260</v>
      </c>
      <c r="D11" s="55">
        <f t="shared" ref="D11:E11" si="2">D31</f>
        <v>0</v>
      </c>
      <c r="E11" s="55">
        <f t="shared" si="2"/>
        <v>0</v>
      </c>
      <c r="H11" s="19" t="s">
        <v>57</v>
      </c>
      <c r="I11" s="16">
        <v>18</v>
      </c>
      <c r="J11" s="16">
        <v>2</v>
      </c>
    </row>
    <row r="12" spans="1:14" ht="15.75" thickBot="1" x14ac:dyDescent="0.3">
      <c r="A12" s="56" t="s">
        <v>1</v>
      </c>
      <c r="B12" s="57" t="s">
        <v>6</v>
      </c>
      <c r="C12" s="55">
        <f>C32</f>
        <v>0</v>
      </c>
      <c r="D12" s="55">
        <f t="shared" ref="D12:E12" si="3">D32</f>
        <v>0</v>
      </c>
      <c r="E12" s="55">
        <f t="shared" si="3"/>
        <v>0</v>
      </c>
      <c r="H12" s="16" t="s">
        <v>51</v>
      </c>
      <c r="I12" s="16">
        <v>2000</v>
      </c>
      <c r="J12" s="16">
        <v>0</v>
      </c>
    </row>
    <row r="13" spans="1:14" ht="15.75" thickBot="1" x14ac:dyDescent="0.3">
      <c r="A13" s="56" t="s">
        <v>1</v>
      </c>
      <c r="B13" s="57" t="s">
        <v>7</v>
      </c>
      <c r="C13" s="55">
        <f>C33+C34</f>
        <v>690.00000000000045</v>
      </c>
      <c r="D13" s="55">
        <f t="shared" ref="D13:E13" si="4">D33+D34</f>
        <v>2490.0000000000014</v>
      </c>
      <c r="E13" s="55">
        <f t="shared" si="4"/>
        <v>9240.0000000000055</v>
      </c>
      <c r="H13" s="16" t="s">
        <v>41</v>
      </c>
      <c r="I13" s="16">
        <v>5000</v>
      </c>
    </row>
    <row r="14" spans="1:14" ht="15.75" thickBot="1" x14ac:dyDescent="0.3">
      <c r="A14" s="56" t="s">
        <v>1</v>
      </c>
      <c r="B14" s="57" t="s">
        <v>64</v>
      </c>
      <c r="C14" s="55"/>
      <c r="D14" s="55"/>
      <c r="E14" s="55"/>
    </row>
    <row r="15" spans="1:14" ht="15.75" thickBot="1" x14ac:dyDescent="0.3">
      <c r="A15" s="58" t="s">
        <v>1</v>
      </c>
      <c r="B15" s="59" t="s">
        <v>54</v>
      </c>
      <c r="C15" s="55">
        <f>(C28+C30+C31+C32+C33+C34+C35)*10%</f>
        <v>1895</v>
      </c>
      <c r="D15" s="55">
        <f t="shared" ref="D15:E15" si="5">(D28+D30+D31+D32+D33+D34+D35)*10%</f>
        <v>1449.0000000000002</v>
      </c>
      <c r="E15" s="55">
        <f t="shared" si="5"/>
        <v>2124.0000000000009</v>
      </c>
      <c r="H15" s="80" t="s">
        <v>17</v>
      </c>
      <c r="I15" s="81"/>
      <c r="J15" s="82"/>
      <c r="L15" s="77" t="s">
        <v>16</v>
      </c>
      <c r="M15" s="78"/>
      <c r="N15" s="79"/>
    </row>
    <row r="16" spans="1:14" ht="15.75" thickBot="1" x14ac:dyDescent="0.3">
      <c r="A16" s="4"/>
      <c r="B16" s="2"/>
      <c r="C16" s="7"/>
      <c r="D16" s="7"/>
      <c r="E16" s="7"/>
      <c r="H16" s="20"/>
      <c r="I16" s="21"/>
      <c r="J16" s="22"/>
      <c r="L16" s="34"/>
      <c r="M16" s="35"/>
      <c r="N16" s="36"/>
    </row>
    <row r="17" spans="1:14" ht="15.75" thickBot="1" x14ac:dyDescent="0.3">
      <c r="A17" s="60" t="s">
        <v>2</v>
      </c>
      <c r="B17" s="61" t="s">
        <v>8</v>
      </c>
      <c r="C17" s="62">
        <f>C7-SUM(C9:C15)</f>
        <v>-11844.999999999993</v>
      </c>
      <c r="D17" s="62">
        <f t="shared" ref="D17:E17" si="6">D7-SUM(D9:D15)</f>
        <v>-18938.999999999971</v>
      </c>
      <c r="E17" s="62">
        <f t="shared" si="6"/>
        <v>108636.00000000012</v>
      </c>
      <c r="H17" s="23" t="s">
        <v>21</v>
      </c>
      <c r="I17" s="24" t="s">
        <v>29</v>
      </c>
      <c r="J17" s="25" t="s">
        <v>28</v>
      </c>
      <c r="L17" s="37" t="s">
        <v>12</v>
      </c>
      <c r="M17" s="38" t="s">
        <v>10</v>
      </c>
      <c r="N17" s="39" t="s">
        <v>11</v>
      </c>
    </row>
    <row r="18" spans="1:14" ht="15.75" thickBot="1" x14ac:dyDescent="0.3">
      <c r="C18" s="7"/>
      <c r="D18" s="7"/>
      <c r="E18" s="7"/>
      <c r="H18" s="17">
        <f>AVERAGE(20,80)</f>
        <v>50</v>
      </c>
      <c r="I18" s="26">
        <f>H18*AVERAGE(I7,K7)</f>
        <v>30</v>
      </c>
      <c r="J18" s="27">
        <f>H18-I18</f>
        <v>20</v>
      </c>
      <c r="L18" s="37">
        <v>80</v>
      </c>
      <c r="M18" s="38">
        <f>$L18*0.9</f>
        <v>72</v>
      </c>
      <c r="N18" s="39">
        <f>L18-M18</f>
        <v>8</v>
      </c>
    </row>
    <row r="19" spans="1:14" ht="17.45" customHeight="1" thickBot="1" x14ac:dyDescent="0.3">
      <c r="A19" s="63" t="s">
        <v>1</v>
      </c>
      <c r="B19" s="64" t="s">
        <v>38</v>
      </c>
      <c r="C19" s="65">
        <v>20000</v>
      </c>
      <c r="D19" s="66">
        <v>30000</v>
      </c>
      <c r="E19" s="66"/>
      <c r="H19" s="23" t="s">
        <v>23</v>
      </c>
      <c r="I19" s="24" t="s">
        <v>22</v>
      </c>
      <c r="J19" s="29" t="s">
        <v>56</v>
      </c>
      <c r="K19" s="6"/>
      <c r="L19" s="37">
        <v>80</v>
      </c>
      <c r="M19" s="38">
        <f>$L18*0.2</f>
        <v>16</v>
      </c>
      <c r="N19" s="39">
        <f>L18-M19</f>
        <v>64</v>
      </c>
    </row>
    <row r="20" spans="1:14" ht="15" customHeight="1" thickBot="1" x14ac:dyDescent="0.3">
      <c r="A20" s="67" t="s">
        <v>2</v>
      </c>
      <c r="B20" s="68" t="s">
        <v>39</v>
      </c>
      <c r="C20" s="65">
        <f t="shared" ref="C20:E20" si="7">C17+C19</f>
        <v>8155.0000000000073</v>
      </c>
      <c r="D20" s="66">
        <f t="shared" si="7"/>
        <v>11061.000000000029</v>
      </c>
      <c r="E20" s="66">
        <f t="shared" si="7"/>
        <v>108636.00000000012</v>
      </c>
      <c r="H20" s="28">
        <f>AVERAGE(I3,K3)</f>
        <v>0.55000000000000004</v>
      </c>
      <c r="I20" s="26">
        <f>H20*H18</f>
        <v>27.500000000000004</v>
      </c>
      <c r="J20" s="27">
        <f>I20-J18</f>
        <v>7.5000000000000036</v>
      </c>
      <c r="L20" s="37" t="s">
        <v>13</v>
      </c>
      <c r="M20" s="38"/>
      <c r="N20" s="39">
        <f>AVERAGE($N$18:$N$19)</f>
        <v>36</v>
      </c>
    </row>
    <row r="21" spans="1:14" ht="15" customHeight="1" x14ac:dyDescent="0.25">
      <c r="B21" s="1"/>
      <c r="C21" s="7"/>
      <c r="D21" s="7"/>
      <c r="E21" s="7"/>
      <c r="H21" s="12"/>
      <c r="I21" s="13"/>
      <c r="J21" s="13"/>
      <c r="L21" s="37"/>
      <c r="M21" s="38"/>
      <c r="N21" s="39"/>
    </row>
    <row r="22" spans="1:14" ht="15" customHeight="1" x14ac:dyDescent="0.25">
      <c r="B22" s="1"/>
      <c r="C22" s="7"/>
      <c r="D22" s="7"/>
      <c r="E22" s="7"/>
      <c r="H22" s="12" t="s">
        <v>59</v>
      </c>
      <c r="I22" s="13">
        <f>(C7/C5)*100</f>
        <v>27.272727272727288</v>
      </c>
      <c r="J22" s="13"/>
      <c r="L22" s="37"/>
      <c r="M22" s="38"/>
      <c r="N22" s="39"/>
    </row>
    <row r="23" spans="1:14" ht="15" customHeight="1" thickBot="1" x14ac:dyDescent="0.3">
      <c r="B23" s="1"/>
      <c r="C23" s="7"/>
      <c r="D23" s="7"/>
      <c r="E23" s="7"/>
      <c r="H23" s="12"/>
      <c r="I23" s="13"/>
      <c r="J23" s="13"/>
      <c r="L23" s="37" t="s">
        <v>14</v>
      </c>
      <c r="M23" s="38"/>
      <c r="N23" s="39">
        <f>$N$25*0.25</f>
        <v>0</v>
      </c>
    </row>
    <row r="24" spans="1:14" ht="15" customHeight="1" thickBot="1" x14ac:dyDescent="0.3">
      <c r="B24" s="15" t="s">
        <v>55</v>
      </c>
      <c r="C24" s="7"/>
      <c r="D24" s="7"/>
      <c r="E24" s="7"/>
      <c r="H24" s="12"/>
      <c r="I24" s="13"/>
      <c r="J24" s="13"/>
      <c r="L24" s="19" t="s">
        <v>15</v>
      </c>
      <c r="M24" s="40"/>
      <c r="N24" s="41"/>
    </row>
    <row r="25" spans="1:14" ht="15.75" thickBot="1" x14ac:dyDescent="0.3"/>
    <row r="26" spans="1:14" ht="15.75" thickBot="1" x14ac:dyDescent="0.3">
      <c r="B26" s="16" t="s">
        <v>40</v>
      </c>
      <c r="C26" s="16">
        <v>2025</v>
      </c>
      <c r="D26" s="16">
        <v>2026</v>
      </c>
      <c r="E26" s="16">
        <v>2027</v>
      </c>
      <c r="H26" s="70" t="s">
        <v>24</v>
      </c>
      <c r="I26" s="71"/>
      <c r="J26" s="72"/>
    </row>
    <row r="27" spans="1:14" ht="15.75" thickBot="1" x14ac:dyDescent="0.3">
      <c r="H27" s="30"/>
      <c r="I27" s="31"/>
      <c r="J27" s="32"/>
    </row>
    <row r="28" spans="1:14" ht="15.75" thickBot="1" x14ac:dyDescent="0.3">
      <c r="B28" s="16" t="s">
        <v>44</v>
      </c>
      <c r="C28" s="16">
        <v>5000</v>
      </c>
      <c r="D28" s="16">
        <v>0</v>
      </c>
      <c r="E28" s="16">
        <v>0</v>
      </c>
      <c r="H28" s="73" t="s">
        <v>50</v>
      </c>
      <c r="I28" s="74"/>
      <c r="J28" s="32">
        <v>100</v>
      </c>
    </row>
    <row r="29" spans="1:14" ht="15.75" thickBot="1" x14ac:dyDescent="0.3">
      <c r="B29" s="16" t="s">
        <v>42</v>
      </c>
      <c r="C29" s="16">
        <f>$J12*12*2</f>
        <v>0</v>
      </c>
      <c r="D29" s="16">
        <f t="shared" ref="D29:E29" si="8">$I12*12*2</f>
        <v>48000</v>
      </c>
      <c r="E29" s="16">
        <f t="shared" si="8"/>
        <v>48000</v>
      </c>
      <c r="H29" s="75" t="s">
        <v>47</v>
      </c>
      <c r="I29" s="76"/>
      <c r="J29" s="33">
        <f>$J$28*$I$20</f>
        <v>2750.0000000000005</v>
      </c>
      <c r="L29" t="s">
        <v>58</v>
      </c>
    </row>
    <row r="30" spans="1:14" ht="15" customHeight="1" thickBot="1" x14ac:dyDescent="0.3">
      <c r="B30" s="16" t="s">
        <v>33</v>
      </c>
      <c r="C30" s="16">
        <f>$L10*12</f>
        <v>12000</v>
      </c>
      <c r="D30" s="16">
        <f t="shared" ref="D30:E30" si="9">$L10*12</f>
        <v>12000</v>
      </c>
      <c r="E30" s="16">
        <f t="shared" si="9"/>
        <v>12000</v>
      </c>
      <c r="H30" s="75" t="s">
        <v>48</v>
      </c>
      <c r="I30" s="76"/>
      <c r="J30" s="33">
        <f>$J$18*$J$28</f>
        <v>2000</v>
      </c>
      <c r="L30">
        <f>I20-J18</f>
        <v>7.5000000000000036</v>
      </c>
    </row>
    <row r="31" spans="1:14" ht="15" customHeight="1" thickBot="1" x14ac:dyDescent="0.3">
      <c r="B31" s="16" t="s">
        <v>34</v>
      </c>
      <c r="C31" s="16">
        <v>1260</v>
      </c>
      <c r="D31" s="16">
        <v>0</v>
      </c>
      <c r="E31" s="16">
        <v>0</v>
      </c>
      <c r="H31" s="75" t="s">
        <v>49</v>
      </c>
      <c r="I31" s="76"/>
      <c r="J31" s="33">
        <f>$J$29-$J$30</f>
        <v>750.00000000000045</v>
      </c>
      <c r="L31" t="s">
        <v>59</v>
      </c>
    </row>
    <row r="32" spans="1:14" ht="15.75" thickBot="1" x14ac:dyDescent="0.3">
      <c r="B32" s="16" t="s">
        <v>35</v>
      </c>
      <c r="C32" s="16">
        <v>0</v>
      </c>
      <c r="D32" s="16">
        <v>0</v>
      </c>
      <c r="E32" s="16">
        <v>0</v>
      </c>
      <c r="L32">
        <f>I20*100/J18</f>
        <v>137.50000000000003</v>
      </c>
    </row>
    <row r="33" spans="2:12" ht="15.75" thickBot="1" x14ac:dyDescent="0.3">
      <c r="B33" s="16" t="s">
        <v>36</v>
      </c>
      <c r="C33" s="16">
        <f>C7*$I10</f>
        <v>450.0000000000004</v>
      </c>
      <c r="D33" s="16">
        <f>D7*$I10</f>
        <v>2250.0000000000014</v>
      </c>
      <c r="E33" s="16">
        <f>E7*$I10</f>
        <v>9000.0000000000055</v>
      </c>
      <c r="H33" s="70" t="s">
        <v>25</v>
      </c>
      <c r="I33" s="71"/>
      <c r="J33" s="72"/>
      <c r="L33" t="s">
        <v>60</v>
      </c>
    </row>
    <row r="34" spans="2:12" ht="15.75" thickBot="1" x14ac:dyDescent="0.3">
      <c r="B34" s="16" t="s">
        <v>37</v>
      </c>
      <c r="C34" s="16">
        <f>($I$11+$J$11)*12</f>
        <v>240</v>
      </c>
      <c r="D34" s="16">
        <f>($I$11+$J$11)*12</f>
        <v>240</v>
      </c>
      <c r="E34" s="16">
        <f>($I$11+$J$11)*12</f>
        <v>240</v>
      </c>
      <c r="H34" s="73" t="s">
        <v>50</v>
      </c>
      <c r="I34" s="74"/>
      <c r="J34" s="32">
        <v>500</v>
      </c>
    </row>
    <row r="35" spans="2:12" ht="15.75" thickBot="1" x14ac:dyDescent="0.3">
      <c r="B35" s="16" t="s">
        <v>45</v>
      </c>
      <c r="C35" s="16"/>
      <c r="D35" s="16"/>
      <c r="E35" s="16"/>
      <c r="H35" s="75" t="s">
        <v>47</v>
      </c>
      <c r="I35" s="76"/>
      <c r="J35" s="33">
        <f>J34*I20</f>
        <v>13750.000000000002</v>
      </c>
    </row>
    <row r="36" spans="2:12" ht="15.75" thickBot="1" x14ac:dyDescent="0.3">
      <c r="H36" s="75" t="s">
        <v>48</v>
      </c>
      <c r="I36" s="76"/>
      <c r="J36" s="33">
        <f>J18*J34</f>
        <v>10000</v>
      </c>
    </row>
    <row r="37" spans="2:12" ht="15.75" thickBot="1" x14ac:dyDescent="0.3">
      <c r="B37" s="38" t="s">
        <v>61</v>
      </c>
      <c r="C37" t="s">
        <v>62</v>
      </c>
      <c r="H37" s="75" t="s">
        <v>49</v>
      </c>
      <c r="I37" s="76"/>
      <c r="J37" s="33">
        <f>$J35-$J36</f>
        <v>3750.0000000000018</v>
      </c>
    </row>
    <row r="38" spans="2:12" ht="15.75" thickBot="1" x14ac:dyDescent="0.3">
      <c r="B38" s="38" t="s">
        <v>63</v>
      </c>
    </row>
    <row r="39" spans="2:12" ht="15.75" thickBot="1" x14ac:dyDescent="0.3">
      <c r="H39" s="70" t="s">
        <v>32</v>
      </c>
      <c r="I39" s="71"/>
      <c r="J39" s="72"/>
    </row>
    <row r="40" spans="2:12" ht="15.75" thickBot="1" x14ac:dyDescent="0.3">
      <c r="H40" s="73" t="s">
        <v>50</v>
      </c>
      <c r="I40" s="74"/>
      <c r="J40" s="32">
        <v>2000</v>
      </c>
    </row>
    <row r="41" spans="2:12" ht="15.75" thickBot="1" x14ac:dyDescent="0.3">
      <c r="H41" s="75" t="s">
        <v>47</v>
      </c>
      <c r="I41" s="76"/>
      <c r="J41" s="33">
        <f>$J$40*$I$20</f>
        <v>55000.000000000007</v>
      </c>
    </row>
    <row r="42" spans="2:12" ht="15.75" thickBot="1" x14ac:dyDescent="0.3">
      <c r="H42" s="75" t="s">
        <v>48</v>
      </c>
      <c r="I42" s="76"/>
      <c r="J42" s="33">
        <f>$J$18*$J$40</f>
        <v>40000</v>
      </c>
    </row>
    <row r="43" spans="2:12" ht="15.75" thickBot="1" x14ac:dyDescent="0.3">
      <c r="H43" s="75" t="s">
        <v>49</v>
      </c>
      <c r="I43" s="76"/>
      <c r="J43" s="33">
        <f>$J$41-$J$42</f>
        <v>15000.000000000007</v>
      </c>
    </row>
    <row r="49" spans="2:15" x14ac:dyDescent="0.25">
      <c r="L49" s="8"/>
    </row>
    <row r="51" spans="2:15" x14ac:dyDescent="0.25">
      <c r="B51" s="1"/>
    </row>
    <row r="53" spans="2:15" x14ac:dyDescent="0.25">
      <c r="G53" s="69"/>
      <c r="H53" s="69"/>
      <c r="I53" s="69"/>
      <c r="J53" s="69"/>
      <c r="K53" s="69"/>
      <c r="M53" s="69"/>
      <c r="N53" s="69"/>
      <c r="O53" s="69"/>
    </row>
    <row r="57" spans="2:15" x14ac:dyDescent="0.25">
      <c r="I57" s="9"/>
    </row>
    <row r="60" spans="2:15" x14ac:dyDescent="0.25">
      <c r="B60" s="1"/>
    </row>
    <row r="62" spans="2:15" x14ac:dyDescent="0.25">
      <c r="K62" s="6"/>
    </row>
    <row r="69" spans="2:11" x14ac:dyDescent="0.25">
      <c r="B69" s="1"/>
    </row>
    <row r="78" spans="2:11" x14ac:dyDescent="0.25">
      <c r="K78" s="10"/>
    </row>
    <row r="79" spans="2:11" x14ac:dyDescent="0.25">
      <c r="B79" s="1"/>
    </row>
  </sheetData>
  <mergeCells count="31">
    <mergeCell ref="H35:I35"/>
    <mergeCell ref="H36:I36"/>
    <mergeCell ref="H37:I37"/>
    <mergeCell ref="L3:L5"/>
    <mergeCell ref="M3:M5"/>
    <mergeCell ref="L7:L8"/>
    <mergeCell ref="M7:M8"/>
    <mergeCell ref="H34:I34"/>
    <mergeCell ref="I7:I8"/>
    <mergeCell ref="J7:J8"/>
    <mergeCell ref="H26:J26"/>
    <mergeCell ref="H33:J33"/>
    <mergeCell ref="H7:H8"/>
    <mergeCell ref="H28:I28"/>
    <mergeCell ref="H29:I29"/>
    <mergeCell ref="H30:I30"/>
    <mergeCell ref="L15:N15"/>
    <mergeCell ref="H15:J15"/>
    <mergeCell ref="H31:I31"/>
    <mergeCell ref="K3:K5"/>
    <mergeCell ref="J3:J5"/>
    <mergeCell ref="I3:I5"/>
    <mergeCell ref="K7:K8"/>
    <mergeCell ref="H3:H5"/>
    <mergeCell ref="G53:K53"/>
    <mergeCell ref="M53:O53"/>
    <mergeCell ref="H39:J39"/>
    <mergeCell ref="H40:I40"/>
    <mergeCell ref="H41:I41"/>
    <mergeCell ref="H42:I42"/>
    <mergeCell ref="H43:I43"/>
  </mergeCells>
  <pageMargins left="0.7" right="0.7" top="0.75" bottom="0.75" header="0.3" footer="0.3"/>
  <pageSetup paperSize="9" orientation="portrait" r:id="rId1"/>
  <ignoredErrors>
    <ignoredError sqref="D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Auggus</dc:creator>
  <cp:lastModifiedBy>David Varoso</cp:lastModifiedBy>
  <dcterms:created xsi:type="dcterms:W3CDTF">2015-06-05T18:19:34Z</dcterms:created>
  <dcterms:modified xsi:type="dcterms:W3CDTF">2024-02-05T21:35:39Z</dcterms:modified>
</cp:coreProperties>
</file>