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" sheetId="1" r:id="rId5"/>
    <sheet state="hidden" name="Análise Semanal" sheetId="2" r:id="rId6"/>
    <sheet state="visible" name="Quadro EBITDA" sheetId="3" r:id="rId7"/>
    <sheet state="visible" name="Quadro DRE Apresentação" sheetId="4" r:id="rId8"/>
    <sheet state="visible" name="DCL_D-ESPAÇO " sheetId="5" r:id="rId9"/>
    <sheet state="hidden" name="Quadro DRE Consolidado" sheetId="6" r:id="rId10"/>
    <sheet state="visible" name="DRE DCL E D-ESPAÇO" sheetId="7" r:id="rId11"/>
    <sheet state="visible" name="BMFD_senha capita" sheetId="8" r:id="rId12"/>
    <sheet state="visible" name="Receitas BMFD" sheetId="9" r:id="rId13"/>
    <sheet state="visible" name="Despesas BMFD - Acordo Op" sheetId="10" r:id="rId14"/>
    <sheet state="visible" name="DCL_senha capita" sheetId="11" r:id="rId15"/>
    <sheet state="visible" name="Receitas DCL" sheetId="12" r:id="rId16"/>
    <sheet state="visible" name="Despesas DCL - Acordo Op" sheetId="13" r:id="rId17"/>
    <sheet state="visible" name="Matriz senha_capital OK" sheetId="14" r:id="rId18"/>
    <sheet state="visible" name="Receitas Matriz " sheetId="15" r:id="rId19"/>
    <sheet state="visible" name="Despesas Matriz" sheetId="16" r:id="rId20"/>
    <sheet state="visible" name="Demercado_senha capital OK" sheetId="17" r:id="rId21"/>
    <sheet state="visible" name="Receitas Demercado " sheetId="18" r:id="rId22"/>
    <sheet state="visible" name="Despesas Demercado" sheetId="19" r:id="rId23"/>
    <sheet state="visible" name="Hangar senha_capital OK" sheetId="20" r:id="rId24"/>
    <sheet state="visible" name="Receitas Hangar" sheetId="21" r:id="rId25"/>
    <sheet state="visible" name="Despesas Hangar " sheetId="22" r:id="rId26"/>
    <sheet state="visible" name="DRE Auto Center Hangar " sheetId="23" r:id="rId27"/>
    <sheet state="visible" name="DRE Deminvet" sheetId="24" r:id="rId28"/>
    <sheet state="visible" name="Despesas Deminvest" sheetId="25" r:id="rId29"/>
    <sheet state="hidden" name="Deminvest_Regra compartilhament" sheetId="26" r:id="rId30"/>
    <sheet state="hidden" name="Investimentos Deminvest" sheetId="27" r:id="rId31"/>
    <sheet state="visible" name="DRE Posto EsteioCGS" sheetId="28" r:id="rId32"/>
  </sheets>
  <definedNames>
    <definedName hidden="1" localSheetId="15" name="Z_69B581A4_185B_4674_A7B3_3C6729E29364_.wvu.FilterData">'Despesas Matriz'!$B$2:$G$17</definedName>
  </definedNames>
  <calcPr/>
  <customWorkbookViews>
    <customWorkbookView activeSheetId="0" maximized="1" windowHeight="0" windowWidth="0" guid="{69B581A4-185B-4674-A7B3-3C6729E29364}" name="Filtro 1"/>
  </customWorkbookViews>
</workbook>
</file>

<file path=xl/sharedStrings.xml><?xml version="1.0" encoding="utf-8"?>
<sst xmlns="http://schemas.openxmlformats.org/spreadsheetml/2006/main" count="2643" uniqueCount="581">
  <si>
    <t>Assunto</t>
  </si>
  <si>
    <t>Início</t>
  </si>
  <si>
    <t>Término</t>
  </si>
  <si>
    <t>RITMO</t>
  </si>
  <si>
    <t>Responsável</t>
  </si>
  <si>
    <t xml:space="preserve">RITMO SEMANA ANTERIOR </t>
  </si>
  <si>
    <t>DRE CAPITAL REALTY
(Em R$/Mil)</t>
  </si>
  <si>
    <t>Mensagem Presidente</t>
  </si>
  <si>
    <t>EBITDA
(Em R$/Mil)</t>
  </si>
  <si>
    <t>JULHO</t>
  </si>
  <si>
    <t>NOVEMBRO</t>
  </si>
  <si>
    <t>Rodrigo Demeterco</t>
  </si>
  <si>
    <t>ACUMULADO JANEIRO A NOVEMBRO</t>
  </si>
  <si>
    <t>Resumo EBITDA</t>
  </si>
  <si>
    <t>Thiago</t>
  </si>
  <si>
    <t>ACUMULADO JANEIRO A JULHO</t>
  </si>
  <si>
    <t xml:space="preserve">RITMO </t>
  </si>
  <si>
    <t>Resultados Demercado</t>
  </si>
  <si>
    <t>Resultados Matriz</t>
  </si>
  <si>
    <t>Real 2024</t>
  </si>
  <si>
    <t>Indicadores Financeiros</t>
  </si>
  <si>
    <t>Orç 2025</t>
  </si>
  <si>
    <t>Ritmo 2025</t>
  </si>
  <si>
    <t>Ritmo 2025 x Orç 2025</t>
  </si>
  <si>
    <t>Resultados Condomínios</t>
  </si>
  <si>
    <t>Ritmo 2025 x Real 2024</t>
  </si>
  <si>
    <t>Rodrigo Habitzreuter</t>
  </si>
  <si>
    <t>Real 2025</t>
  </si>
  <si>
    <t>Marketing &amp; IM</t>
  </si>
  <si>
    <t>Rodrigo Proença</t>
  </si>
  <si>
    <t>Orç 2026</t>
  </si>
  <si>
    <t>Real 2026</t>
  </si>
  <si>
    <t>Real 2026 x Orç 2026</t>
  </si>
  <si>
    <t>Demercado</t>
  </si>
  <si>
    <t>Real 2026 x Real 2025</t>
  </si>
  <si>
    <t>Engenharia</t>
  </si>
  <si>
    <t>Ritmo 2026</t>
  </si>
  <si>
    <t>Carlos Eduardo/Juliana</t>
  </si>
  <si>
    <t>Ritmo 2026 x Orç 2026</t>
  </si>
  <si>
    <t>Ritmo 2026 x Real 2025</t>
  </si>
  <si>
    <t>1 - FATURAMENTO BRUTO</t>
  </si>
  <si>
    <t>Propriedades</t>
  </si>
  <si>
    <t>Recursos Humanos</t>
  </si>
  <si>
    <t>Patricia</t>
  </si>
  <si>
    <t>TI</t>
  </si>
  <si>
    <t>Juliano</t>
  </si>
  <si>
    <t>Jurídico</t>
  </si>
  <si>
    <t>Betina</t>
  </si>
  <si>
    <t xml:space="preserve"> </t>
  </si>
  <si>
    <t>Capital Realty</t>
  </si>
  <si>
    <t>Meta Gerência Operações</t>
  </si>
  <si>
    <t>Sérgio</t>
  </si>
  <si>
    <t>Resultado Hangar Vip</t>
  </si>
  <si>
    <t>Resultado Garoto</t>
  </si>
  <si>
    <t>Hangar Vip</t>
  </si>
  <si>
    <t>MATRIZ - SEMANA ANTERIOR</t>
  </si>
  <si>
    <t>CR Combustíveis</t>
  </si>
  <si>
    <t>REALIZADO/RITMO 2022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</si>
  <si>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</si>
  <si>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</si>
  <si>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</si>
  <si>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</si>
  <si>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</si>
  <si>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</si>
  <si>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</si>
  <si>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</si>
  <si>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</si>
  <si>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</si>
  <si>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</si>
  <si>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</si>
  <si>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</si>
  <si>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2 - DEDUÇÃO DE FATURAMENTO</t>
  </si>
  <si>
    <t>3 - FATURAMENTO LIQUIDO</t>
  </si>
  <si>
    <t>4 - CUSTO MERCADORIA VENDIDA</t>
  </si>
  <si>
    <t>Engenharia / Arquitetura</t>
  </si>
  <si>
    <t>5 - LUCRO BRUTO</t>
  </si>
  <si>
    <t>Ricardo / Juliana</t>
  </si>
  <si>
    <t>6 - DESPESAS OPERACIONAIS</t>
  </si>
  <si>
    <t>Cleverson</t>
  </si>
  <si>
    <t>Veridiana</t>
  </si>
  <si>
    <t>7 - EBITDA</t>
  </si>
  <si>
    <t>Natália</t>
  </si>
  <si>
    <t>8 - DEPRECIAÇÃO</t>
  </si>
  <si>
    <t>9 - RESULTADO OPERACIONAL</t>
  </si>
  <si>
    <t>10 - OUTRAS RECEITAS E DESPESAS</t>
  </si>
  <si>
    <t>3 - FATURAMENTO LÍQUIDO</t>
  </si>
  <si>
    <t>11 - LUCRO ANTES DO IR/CSLL</t>
  </si>
  <si>
    <t>12 - IR/CSLL</t>
  </si>
  <si>
    <t>Relatório de Auditoria Independente</t>
  </si>
  <si>
    <t>13 - LUCRO LIQUIDO</t>
  </si>
  <si>
    <t>Auditores</t>
  </si>
  <si>
    <t>Parecer do Conselho Fiscal sobre as DFs</t>
  </si>
  <si>
    <t>Data atualização</t>
  </si>
  <si>
    <t>Conselheiros</t>
  </si>
  <si>
    <t>Apresentação do andamento dos negócios da empresa acumulado Fev/23</t>
  </si>
  <si>
    <t>Considerações finais</t>
  </si>
  <si>
    <t>Todos</t>
  </si>
  <si>
    <t>FATURAMENTO BRUTO</t>
  </si>
  <si>
    <t>CMV</t>
  </si>
  <si>
    <t>EBITDA</t>
  </si>
  <si>
    <t>Margem EBITDA/ROL</t>
  </si>
  <si>
    <t>MÊS</t>
  </si>
  <si>
    <t>ACUMULADO</t>
  </si>
  <si>
    <t>ANO</t>
  </si>
  <si>
    <t>Aa</t>
  </si>
  <si>
    <t>Semana Anterior</t>
  </si>
  <si>
    <t>Semana atual</t>
  </si>
  <si>
    <t>Variação %</t>
  </si>
  <si>
    <t>LUCRO BRUTO</t>
  </si>
  <si>
    <t>DESPESAS OPERACIONAIS</t>
  </si>
  <si>
    <t>CR Estacionamentos</t>
  </si>
  <si>
    <t>CR Comércio de Comb</t>
  </si>
  <si>
    <t>RA</t>
  </si>
  <si>
    <t>Ra</t>
  </si>
  <si>
    <t>DEMERCADO - SEMANA ANTERIOR</t>
  </si>
  <si>
    <t>-</t>
  </si>
  <si>
    <t>Faturamento Líquido Ritmo</t>
  </si>
  <si>
    <t xml:space="preserve">Demercado </t>
  </si>
  <si>
    <t xml:space="preserve">    10.1 - RECEITAS FINANCEIRAS</t>
  </si>
  <si>
    <t>CR Infra</t>
  </si>
  <si>
    <t>CR Comb</t>
  </si>
  <si>
    <t xml:space="preserve">    10.2 - DESPESAS FINANCEIRAS</t>
  </si>
  <si>
    <t>REAL</t>
  </si>
  <si>
    <t>JUNHO</t>
  </si>
  <si>
    <t>ACUMULADO JANEIRO A JUNHO</t>
  </si>
  <si>
    <t>13 - LUCRO LÍQUIDO</t>
  </si>
  <si>
    <t>GAROTO - SEMANA ANTERIOR</t>
  </si>
  <si>
    <t>DRE DEMERCADO
(Em R$/Mil)</t>
  </si>
  <si>
    <t>HANGAR - SEMANA ANTERIOR</t>
  </si>
  <si>
    <t>Faturamento Líquido Realizado</t>
  </si>
  <si>
    <t>CR Estacionamento</t>
  </si>
  <si>
    <t>CMV Postos</t>
  </si>
  <si>
    <t>Posto Esteio</t>
  </si>
  <si>
    <t>Posto Curitiba</t>
  </si>
  <si>
    <t>Alterar o acumulado painel cada Posto</t>
  </si>
  <si>
    <t>Ebtida pré-premiação</t>
  </si>
  <si>
    <t>Ebitda Pré-Premiação</t>
  </si>
  <si>
    <t>Ebitda Pré-Premiação Anual
Ritmo 2026</t>
  </si>
  <si>
    <t>Orçado 2026</t>
  </si>
  <si>
    <t>ESTEIO - SEMANA ANTERIOR</t>
  </si>
  <si>
    <t>Presidência / Diretoria</t>
  </si>
  <si>
    <t xml:space="preserve">     Colocar valores para cálculo exato %</t>
  </si>
  <si>
    <t>Capital Realty / Demercado</t>
  </si>
  <si>
    <t/>
  </si>
  <si>
    <t>CGS - SEMANA ANTERIOR</t>
  </si>
  <si>
    <t>* Sem Equivalência Patrimonial</t>
  </si>
  <si>
    <t xml:space="preserve">    10.3 - EQUIVALÊNCIA PATRIMONIAL</t>
  </si>
  <si>
    <t>* Com Equivalência Patrimonial da DCL Administração e Participações e DCL Shopping Center. - Linha lucro líquido</t>
  </si>
  <si>
    <t>DRE GAROTO 
(Em R$/Mil)</t>
  </si>
  <si>
    <t>Real 2023</t>
  </si>
  <si>
    <t>Orç 2024</t>
  </si>
  <si>
    <t>Real 2024 x Orç 2024</t>
  </si>
  <si>
    <t>Real 2024 x Real 2023</t>
  </si>
  <si>
    <t>Real 2022</t>
  </si>
  <si>
    <t>Orç 2023</t>
  </si>
  <si>
    <t>∆ Real 2023 x Real 2022</t>
  </si>
  <si>
    <t>∆ Real 2023 x Orç 2023</t>
  </si>
  <si>
    <t>Ritmo 2024</t>
  </si>
  <si>
    <t>Ritmo 2024 x Orç 2024</t>
  </si>
  <si>
    <t>Ritmo 2024 x Real 2023</t>
  </si>
  <si>
    <t>Margem Despesas Operacionais/ROL</t>
  </si>
  <si>
    <t>Margem Lucro Líquido/ROL</t>
  </si>
  <si>
    <t>DRE HANGAR VIP 
(Em R$/Mil)</t>
  </si>
  <si>
    <t>DRE POSTO ESTEIO
(Em R$/Mil)</t>
  </si>
  <si>
    <t xml:space="preserve">     EBITDA GERENCIAL*</t>
  </si>
  <si>
    <t>*Ebitda considerando os descontos recebidos da Petrobrás</t>
  </si>
  <si>
    <t>DRE POSTO CURITIBA 
(Em R$/Mil)</t>
  </si>
  <si>
    <t>DRE DCL - SHOPPING CENTER
(Em R$/Mil)</t>
  </si>
  <si>
    <t xml:space="preserve">**** Sem fórmula </t>
  </si>
  <si>
    <t>DRE GAROTO SEM EFEITO LOCAÇÃO</t>
  </si>
  <si>
    <t>DEZEMBRO</t>
  </si>
  <si>
    <t>ACUMULADO JAN A NOV</t>
  </si>
  <si>
    <t>ACUMULADO JAN/19 A DEZ/19</t>
  </si>
  <si>
    <t>Real 2018</t>
  </si>
  <si>
    <t>Orç 2019</t>
  </si>
  <si>
    <t>Real 2019</t>
  </si>
  <si>
    <t>∆ Real 2019 x Real 2018</t>
  </si>
  <si>
    <t>∆ Real 2019 x Orc 2019</t>
  </si>
  <si>
    <t>DRE D-ESPAÇO
(Em R$/Mil)</t>
  </si>
  <si>
    <t>10 - RESULTADO NÃO OPERACIONAL</t>
  </si>
  <si>
    <t>DRE BMFD
(Em R$/Mil)</t>
  </si>
  <si>
    <t>SHOPPING</t>
  </si>
  <si>
    <r>
      <rPr>
        <rFont val="Calibri"/>
        <b/>
        <color theme="1"/>
        <sz val="11.0"/>
      </rPr>
      <t>Outras receitas e despesas operacionais</t>
    </r>
    <r>
      <rPr>
        <rFont val="Calibri"/>
        <color theme="1"/>
        <sz val="11.0"/>
      </rPr>
      <t xml:space="preserve"> deverá somar com </t>
    </r>
    <r>
      <rPr>
        <rFont val="Calibri"/>
        <b/>
        <color theme="1"/>
        <sz val="11.0"/>
      </rPr>
      <t>despesas operacionais</t>
    </r>
    <r>
      <rPr>
        <rFont val="Calibri"/>
        <color theme="1"/>
        <sz val="11.0"/>
      </rPr>
      <t xml:space="preserve"> (está abaixo do ebitda).</t>
    </r>
  </si>
  <si>
    <t>Resultado não operacional = Resultado financeiro líquido.</t>
  </si>
  <si>
    <t xml:space="preserve">   </t>
  </si>
  <si>
    <t>O sinal ficará positivo quando a recuperação for menor que as depesas. Do contrário, ela subirá negativa.</t>
  </si>
  <si>
    <t>D-ESPAÇO</t>
  </si>
  <si>
    <t>Resultado não operacional: soma das contas Outras receitas e despesas operacionais e Resultado financeiro líquido(Resultado não operacional).</t>
  </si>
  <si>
    <t>DRE DEMINVEST
(Em R$/Mil)</t>
  </si>
  <si>
    <t>FEVEREIRO/2021</t>
  </si>
  <si>
    <t>RITMO ANO</t>
  </si>
  <si>
    <t>Real 2020</t>
  </si>
  <si>
    <t>Orç 2021</t>
  </si>
  <si>
    <t>Real 2021</t>
  </si>
  <si>
    <t>Real 2021
x
Real 2020</t>
  </si>
  <si>
    <t>Real 2021
x
Orç 2021</t>
  </si>
  <si>
    <t>DRE CR COMB 
(Em R$/Mil)</t>
  </si>
  <si>
    <t>MAIO</t>
  </si>
  <si>
    <t>ACUMULADO JANEIRO A MAIO</t>
  </si>
  <si>
    <t>Real 2025 x Orç 2025</t>
  </si>
  <si>
    <t>Real 2025 x Real 2024</t>
  </si>
  <si>
    <t>DRE DCL SHOPPING</t>
  </si>
  <si>
    <t>Acumulado</t>
  </si>
  <si>
    <t>R$</t>
  </si>
  <si>
    <t>AA</t>
  </si>
  <si>
    <t>Meta</t>
  </si>
  <si>
    <t>Real</t>
  </si>
  <si>
    <t>% Meta</t>
  </si>
  <si>
    <t>% AA</t>
  </si>
  <si>
    <t>DEDUÇÃO DE FATURAMENTO</t>
  </si>
  <si>
    <t>FATURAMENTO LÍQUIDO</t>
  </si>
  <si>
    <t>Margem CMV/ROL</t>
  </si>
  <si>
    <t>DEPRECIAÇÃO / AMORTIZAÇÃO</t>
  </si>
  <si>
    <t>DRE CAPITAL REALTY/DEMERCADO</t>
  </si>
  <si>
    <t>RESULTADO OPERACIONAL</t>
  </si>
  <si>
    <t>DRE DCL
(Em R$/Mil)</t>
  </si>
  <si>
    <t>OUTRAS RECEITAS E DESPESAS OPERACIONAIS</t>
  </si>
  <si>
    <t>RESULTADO FINANCEIRO LÍQUIDO</t>
  </si>
  <si>
    <t>Receitas Financeiras</t>
  </si>
  <si>
    <t>Despesas Financeiras</t>
  </si>
  <si>
    <t>LUCRO ANTES DO IR / CSLL</t>
  </si>
  <si>
    <t>Provisão de IR e CSLL</t>
  </si>
  <si>
    <t>LUCRO LÍQUIDO DO EXERCÍCIO</t>
  </si>
  <si>
    <t>Margem Líquida</t>
  </si>
  <si>
    <t>#</t>
  </si>
  <si>
    <t>REALIZADO 2025</t>
  </si>
  <si>
    <t>010</t>
  </si>
  <si>
    <t>020</t>
  </si>
  <si>
    <t>DRE D-ESPAÇO</t>
  </si>
  <si>
    <t>030</t>
  </si>
  <si>
    <t>040</t>
  </si>
  <si>
    <t>050</t>
  </si>
  <si>
    <t>060</t>
  </si>
  <si>
    <t>070</t>
  </si>
  <si>
    <t>080</t>
  </si>
  <si>
    <t>090</t>
  </si>
  <si>
    <t>11 - RECEITAS FINANCEIRAS</t>
  </si>
  <si>
    <t>12 - DESPESAS FINANCEIRAS</t>
  </si>
  <si>
    <t>120</t>
  </si>
  <si>
    <t>13 - LUCRO ANTES DO IR/CSLL</t>
  </si>
  <si>
    <t>130</t>
  </si>
  <si>
    <t>14 - IR/CSLL</t>
  </si>
  <si>
    <t>140</t>
  </si>
  <si>
    <t>15 - LUCRO LIQUIDO</t>
  </si>
  <si>
    <t>ORÇAMENTO 206</t>
  </si>
  <si>
    <t>DRE CR ESTACIONAMENTOS
(Em R$/Mil)</t>
  </si>
  <si>
    <t>Ritmo 2023</t>
  </si>
  <si>
    <t>DRE CONSOLIDADO CR INFRA</t>
  </si>
  <si>
    <t>JANEIRO</t>
  </si>
  <si>
    <t>ACUMULADO JAN A FEV</t>
  </si>
  <si>
    <t>Matriz/Hangar/Garoto</t>
  </si>
  <si>
    <t>Orç 2020</t>
  </si>
  <si>
    <t>∆ Real 2020 x Real 2019</t>
  </si>
  <si>
    <t>∆ Real 2020 x Orc 2020</t>
  </si>
  <si>
    <t>Ritmo 2020</t>
  </si>
  <si>
    <t>∆ Ritmo 2020 x Real 2019</t>
  </si>
  <si>
    <t>∆ Ritmo 2020 x Orc 2020</t>
  </si>
  <si>
    <t>Ofensores Receitas</t>
  </si>
  <si>
    <t>Variação</t>
  </si>
  <si>
    <t>Variação (%)</t>
  </si>
  <si>
    <t>Centros administrativos</t>
  </si>
  <si>
    <t>Lojas comerciais</t>
  </si>
  <si>
    <t>Defensores Receitas - Em R$</t>
  </si>
  <si>
    <t>Centros de distribuição</t>
  </si>
  <si>
    <t>Outros aluguéis</t>
  </si>
  <si>
    <t>TOTAL DE RECEITAS JUNHO/26</t>
  </si>
  <si>
    <t xml:space="preserve">DRE CONSOLIDADO </t>
  </si>
  <si>
    <t>Ofensores Despesas - Em R$</t>
  </si>
  <si>
    <t>Manutenção de imóveis</t>
  </si>
  <si>
    <t>Assistência jurídica</t>
  </si>
  <si>
    <t>Defensores Despesas - Em R$</t>
  </si>
  <si>
    <t>IPTU</t>
  </si>
  <si>
    <t xml:space="preserve">Segurança e Vigilância </t>
  </si>
  <si>
    <t>Acordo operacional</t>
  </si>
  <si>
    <t>Outras despesas gerais</t>
  </si>
  <si>
    <t>Outras taxas e impostos</t>
  </si>
  <si>
    <t>Limpeza e conservação</t>
  </si>
  <si>
    <t>Publicidade e Propaganda</t>
  </si>
  <si>
    <t>Seguros</t>
  </si>
  <si>
    <t>Assessoria e consultoria</t>
  </si>
  <si>
    <t>Donativos e contribuições</t>
  </si>
  <si>
    <t>TOTAL DE DESPESAS JUNHO/26</t>
  </si>
  <si>
    <t>**Outras receitas operacionais: Venda de sucatas. EM oUTUBRO 2025</t>
  </si>
  <si>
    <t>CHECAR FÓRMULA % VARIAÇÃO</t>
  </si>
  <si>
    <t>4 - CUSTO DOS IMÓVEIS VENDIDOS</t>
  </si>
  <si>
    <t>Equivalência Patrimonial DCL SHOPPING</t>
  </si>
  <si>
    <t>ORÇAMENTO 2026</t>
  </si>
  <si>
    <t>REALIZADO 2026</t>
  </si>
  <si>
    <t xml:space="preserve">    10.3 EQUIVALENCIA PATRIMONIAL</t>
  </si>
  <si>
    <t>ACUMULADO - LUCRO LÍQUIDO</t>
  </si>
  <si>
    <t>Equivalência Patrimonial DCL</t>
  </si>
  <si>
    <t>Ver se ritmo ano é igual a soma</t>
  </si>
  <si>
    <t>pegar no balancete</t>
  </si>
  <si>
    <t>Ofensores Receitas - Em R$</t>
  </si>
  <si>
    <t>Locações temporárias</t>
  </si>
  <si>
    <t>Supermercados</t>
  </si>
  <si>
    <t>Galerias e shoppings</t>
  </si>
  <si>
    <t>Edifícios comerciais</t>
  </si>
  <si>
    <t>Outras Receitas/Despesas Operacionais</t>
  </si>
  <si>
    <t>Serviços informática</t>
  </si>
  <si>
    <t>Representação e refeição</t>
  </si>
  <si>
    <t>Despesas com deslocamento</t>
  </si>
  <si>
    <t>Telefone e internet</t>
  </si>
  <si>
    <t>Aluguéis e condomínios</t>
  </si>
  <si>
    <t>Despesa com comissão</t>
  </si>
  <si>
    <t>Despesas com pessoal</t>
  </si>
  <si>
    <t>Despesa com viagens</t>
  </si>
  <si>
    <t>Publicidade e propaganda</t>
  </si>
  <si>
    <t>Locação de veículos</t>
  </si>
  <si>
    <t>Energia elétrica</t>
  </si>
  <si>
    <t>Segurança e vigilância</t>
  </si>
  <si>
    <t>Material de consumo</t>
  </si>
  <si>
    <t xml:space="preserve">Outras despesas/receitas operacionais </t>
  </si>
  <si>
    <t>Água</t>
  </si>
  <si>
    <t>TOTAL DE DESPESAS  JUNHO/26</t>
  </si>
  <si>
    <t>REALIZADO 2021</t>
  </si>
  <si>
    <t>ORÇAMENTO 2022</t>
  </si>
  <si>
    <t>Mega Esteio - Armazém 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</si>
  <si>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</si>
  <si>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</si>
  <si>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</si>
  <si>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</si>
  <si>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</si>
  <si>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</si>
  <si>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</si>
  <si>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</si>
  <si>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</si>
  <si>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</si>
  <si>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</si>
  <si>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</si>
  <si>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Orçado 2021</t>
  </si>
  <si>
    <t>Armazém Monousuário Colombo</t>
  </si>
  <si>
    <t>Imóveis Estacionamento Garoto</t>
  </si>
  <si>
    <t>Mega Itajaí</t>
  </si>
  <si>
    <t>Porcentagem: retira quadro chave ebitda</t>
  </si>
  <si>
    <t>Armazém Monousuário Cubatão</t>
  </si>
  <si>
    <t>Ritmo/Orçado-1</t>
  </si>
  <si>
    <t>Armazém Monousuário Itajaí</t>
  </si>
  <si>
    <t>Imóveis Estacionamento Hangar Vip SJP</t>
  </si>
  <si>
    <t>Mega Esteio - Armazém B</t>
  </si>
  <si>
    <t>O valor ebitda pré bônus é a soma das empresas Matriz, Hangar, Garoto, Demercado, Esteio e CGS.</t>
  </si>
  <si>
    <t>Atualizado PPR: 22/09/2020</t>
  </si>
  <si>
    <t>Dedução do faturamento</t>
  </si>
  <si>
    <t>PIS</t>
  </si>
  <si>
    <t>EBTIDA PRÉ BÔNUS</t>
  </si>
  <si>
    <t xml:space="preserve">Jan 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</si>
  <si>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</si>
  <si>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</si>
  <si>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</si>
  <si>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</si>
  <si>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</si>
  <si>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</si>
  <si>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</si>
  <si>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</si>
  <si>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</si>
  <si>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</si>
  <si>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</si>
  <si>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COFINS</t>
  </si>
  <si>
    <t>Realizado 2020</t>
  </si>
  <si>
    <t>IR/CSLL</t>
  </si>
  <si>
    <t>Sobre Faturamento Bruto</t>
  </si>
  <si>
    <t>Lucro Presumido</t>
  </si>
  <si>
    <t>Ritmo 2021</t>
  </si>
  <si>
    <t>EBTIDA CONSOLIDADO</t>
  </si>
  <si>
    <t xml:space="preserve"> Ofensores Despesas - Em R$</t>
  </si>
  <si>
    <t>Despesas áreas vagas condominios</t>
  </si>
  <si>
    <t>Manutenção de imóveis</t>
  </si>
  <si>
    <t>Despesas áreas vagas monousuários</t>
  </si>
  <si>
    <t>Outras Receitas Operacionais</t>
  </si>
  <si>
    <t>Contabilidade e auditoria</t>
  </si>
  <si>
    <t>Outras despesas gerais</t>
  </si>
  <si>
    <t>Locação de veículos</t>
  </si>
  <si>
    <t>Outras taxas e impostos</t>
  </si>
  <si>
    <t>Material de consumo</t>
  </si>
  <si>
    <t>Limpeza e conservação</t>
  </si>
  <si>
    <t>Quilometragem, estacionamento e pedágio</t>
  </si>
  <si>
    <t>Despesas áreas vagas lojas</t>
  </si>
  <si>
    <t>Comissão sobre venda/locação de imoveis</t>
  </si>
  <si>
    <t>Consultoria assessoria</t>
  </si>
  <si>
    <t>Assistência jurídica</t>
  </si>
  <si>
    <t>Despesa de pessoal</t>
  </si>
  <si>
    <t>Propaganda e publicidade</t>
  </si>
  <si>
    <t>Atualizado: 14/09/2023</t>
  </si>
  <si>
    <t>Real Mês 25</t>
  </si>
  <si>
    <t>Energia elétrica</t>
  </si>
  <si>
    <t>Orç Mês 26</t>
  </si>
  <si>
    <t>Real Mês 26</t>
  </si>
  <si>
    <t>Real Anual 25</t>
  </si>
  <si>
    <t>Orç Anual 26</t>
  </si>
  <si>
    <t>Ritmo Anual 26</t>
  </si>
  <si>
    <t>01 - FATURAMENTO BRUTO</t>
  </si>
  <si>
    <t>Despesas com hospedagem</t>
  </si>
  <si>
    <t>02 - DEDUÇÃO DE FATURAMENTO</t>
  </si>
  <si>
    <t>Assistência informática</t>
  </si>
  <si>
    <t>03 - RECEITA OPERACIONAL LIQUIDA</t>
  </si>
  <si>
    <t>04 - CUSTO DOS PRODUTOS MERCADORIA E SERVIÇOS</t>
  </si>
  <si>
    <t>Despesa com passagens</t>
  </si>
  <si>
    <t>05 - LUCRO BRUTO</t>
  </si>
  <si>
    <t>06 - DESPESAS OPERACIONAIS</t>
  </si>
  <si>
    <t>Despesa com taxi/uber</t>
  </si>
  <si>
    <t>07 - EBITDA / LAJIDA</t>
  </si>
  <si>
    <t>08 - DEPRECIAÇÃO</t>
  </si>
  <si>
    <t>Alugueis e condomínios</t>
  </si>
  <si>
    <t>09 - RESULTADO OPERACIONAL</t>
  </si>
  <si>
    <t>Despesa com combustiveis</t>
  </si>
  <si>
    <t xml:space="preserve">             10.01 - RECEITAS OPERACIONAL</t>
  </si>
  <si>
    <t>Representação e refeição</t>
  </si>
  <si>
    <t xml:space="preserve">             10.02 - DESPESAS OPERACIONAL</t>
  </si>
  <si>
    <t>Telefone</t>
  </si>
  <si>
    <t>Serviços diversos</t>
  </si>
  <si>
    <t>13 - RESULTADO DO EXERCICIO</t>
  </si>
  <si>
    <t>Margem EBITDA/ROL</t>
  </si>
  <si>
    <t>ACORDO OPERACIONAL</t>
  </si>
  <si>
    <t>Despesa de pessoal</t>
  </si>
  <si>
    <t>Pessoal</t>
  </si>
  <si>
    <t>Outros serviços</t>
  </si>
  <si>
    <t>Terceiros</t>
  </si>
  <si>
    <t>Fiscal</t>
  </si>
  <si>
    <t xml:space="preserve">Gerais </t>
  </si>
  <si>
    <t>Total</t>
  </si>
  <si>
    <t>Sobre Lucro antes do IR/CSLL</t>
  </si>
  <si>
    <t>Lucro Real</t>
  </si>
  <si>
    <t xml:space="preserve">Fatuamento </t>
  </si>
  <si>
    <t>Realizado</t>
  </si>
  <si>
    <t xml:space="preserve">Meta </t>
  </si>
  <si>
    <t>Desafios</t>
  </si>
  <si>
    <t>Mód 02</t>
  </si>
  <si>
    <t>Mód 03/04 - Carlos Gomes</t>
  </si>
  <si>
    <t>Mód 05</t>
  </si>
  <si>
    <t>Real ACM 25</t>
  </si>
  <si>
    <t>Acm Real 26</t>
  </si>
  <si>
    <t>Posto CGS</t>
  </si>
  <si>
    <t xml:space="preserve">Ed. Carlos Gomes </t>
  </si>
  <si>
    <t>Mega Curitiba</t>
  </si>
  <si>
    <t>Edifício Orion - 12º Andar</t>
  </si>
  <si>
    <t>Edifício AR 3000 - 24º Andar</t>
  </si>
  <si>
    <t>Loja Comendador  Araújo</t>
  </si>
  <si>
    <t>Despesas legais</t>
  </si>
  <si>
    <t>Comissão sobre locação de imóveis</t>
  </si>
  <si>
    <t>Acordo Operacional</t>
  </si>
  <si>
    <t>Outras receitas operacionais</t>
  </si>
  <si>
    <t>Edifício Carlos Gomes</t>
  </si>
  <si>
    <t>Manutenção de bens móveis</t>
  </si>
  <si>
    <t>Propaganda e publicidade</t>
  </si>
  <si>
    <t>Quilometragem/estacionamento</t>
  </si>
  <si>
    <t>Segurança vigilância</t>
  </si>
  <si>
    <t>Assistência informática</t>
  </si>
  <si>
    <t>Contabilidade e auditoria</t>
  </si>
  <si>
    <t>Serviços de terceiros - conselheiros</t>
  </si>
  <si>
    <t>REALIZADO 2019 - S/ EFEITO LOCAÇÃO</t>
  </si>
  <si>
    <t>ISS</t>
  </si>
  <si>
    <t> </t>
  </si>
  <si>
    <t xml:space="preserve">             10.01 - RECEITAS OPERACIONAL</t>
  </si>
  <si>
    <t xml:space="preserve">             10.02 - DESPESAS OPERACIONAL</t>
  </si>
  <si>
    <t>Auto center</t>
  </si>
  <si>
    <t>Rotativo</t>
  </si>
  <si>
    <t>Mensalista</t>
  </si>
  <si>
    <t>TOTAL DE RECEITAS JULHO/2026</t>
  </si>
  <si>
    <t>Segurança vigilância</t>
  </si>
  <si>
    <t>IPVA</t>
  </si>
  <si>
    <t>Manutenção imóveis</t>
  </si>
  <si>
    <t>Despesas c/veiculos</t>
  </si>
  <si>
    <t>Serviço coleta numerarios</t>
  </si>
  <si>
    <t>TOTAL DE DESPESAS JULHO/2026</t>
  </si>
  <si>
    <t>DRE AUTO CENTER HANGAR
(Em R$)</t>
  </si>
  <si>
    <t>LUCRO REAL</t>
  </si>
  <si>
    <t>PIS - 1,65%</t>
  </si>
  <si>
    <t>COFINS - 7,60%</t>
  </si>
  <si>
    <t>ISS - 5,00%</t>
  </si>
  <si>
    <t>DRE DEMINVEST 
(Em R$/Mil)</t>
  </si>
  <si>
    <t>Despesas Operacionais</t>
  </si>
  <si>
    <t>Depreciação</t>
  </si>
  <si>
    <t>Resultado Operacional</t>
  </si>
  <si>
    <t>Outras Receitas e Despesas</t>
  </si>
  <si>
    <t xml:space="preserve">      Receitas Financeiras</t>
  </si>
  <si>
    <t xml:space="preserve">      Despesas Financeiras</t>
  </si>
  <si>
    <t xml:space="preserve">      Equivalência Patrimonial</t>
  </si>
  <si>
    <t>Lucro antes do IR/CSLL</t>
  </si>
  <si>
    <t>Ofensores - Em R$</t>
  </si>
  <si>
    <t>Resultado Líquido</t>
  </si>
  <si>
    <t>Regra de compartilhamento</t>
  </si>
  <si>
    <t xml:space="preserve">Outras despesas gerais </t>
  </si>
  <si>
    <t>Serviços de informações</t>
  </si>
  <si>
    <t>AZNAR
(Em US$/Mil)</t>
  </si>
  <si>
    <t>ACUMULADO JANEIRO A MARÇO</t>
  </si>
  <si>
    <t>Administração</t>
  </si>
  <si>
    <t>-%</t>
  </si>
  <si>
    <t>Total Despesas Aznar</t>
  </si>
  <si>
    <t>Defensores - Em R$</t>
  </si>
  <si>
    <t>Rateio acordo operacional</t>
  </si>
  <si>
    <t>DEFIMEL
(Em US$/Mil)</t>
  </si>
  <si>
    <t>Despesa de Pessoal </t>
  </si>
  <si>
    <t>ACUMULADO JULHO/2022</t>
  </si>
  <si>
    <t>Orç 2022</t>
  </si>
  <si>
    <t>∆ Real 2022   x Real 2021</t>
  </si>
  <si>
    <t>∆ Real 2022   x Orç 2022</t>
  </si>
  <si>
    <t>Ritmo 2022</t>
  </si>
  <si>
    <t>∆ Ritmo 2022   x Real 2021</t>
  </si>
  <si>
    <t>∆ Ritmo 2022   x Orç 2022</t>
  </si>
  <si>
    <t>Despesa de Pessoal</t>
  </si>
  <si>
    <t>Manutenção</t>
  </si>
  <si>
    <t>Insurance</t>
  </si>
  <si>
    <t>Quilometragem, estacionamento</t>
  </si>
  <si>
    <t>Passagem Área</t>
  </si>
  <si>
    <t>Total Despesas Defimel</t>
  </si>
  <si>
    <t>Processos judiciais</t>
  </si>
  <si>
    <t>Real Mês 23</t>
  </si>
  <si>
    <t>Orç Mês 24</t>
  </si>
  <si>
    <t>Real Mês 24</t>
  </si>
  <si>
    <t>Real ACM 23</t>
  </si>
  <si>
    <t>Orç Anual 24</t>
  </si>
  <si>
    <t>Real ACM 24</t>
  </si>
  <si>
    <t>Real Anual 23</t>
  </si>
  <si>
    <t>Ritmo Anual 24</t>
  </si>
  <si>
    <t>08 - DEPRECIAÇÃO</t>
  </si>
  <si>
    <t>09 - RESULTADO OPERACIONAL</t>
  </si>
  <si>
    <t>10 - OUTRAS RECEITAS E DESPESAS</t>
  </si>
  <si>
    <t>TOTAL DE DESPESAS JULHO/26</t>
  </si>
  <si>
    <t>11 - LUCRO ANTES DO IR/CSLL</t>
  </si>
  <si>
    <t>12 - IR/CSLL</t>
  </si>
  <si>
    <t>13 - RESULTADO DO EXERCICIO</t>
  </si>
  <si>
    <t xml:space="preserve">Deminvest - Regra de Compartilhamento de Pessoal (Pessoa Jurídica)                                                        </t>
  </si>
  <si>
    <t xml:space="preserve">Em R$ </t>
  </si>
  <si>
    <t>Valor para o Rateio</t>
  </si>
  <si>
    <t>Real Julho 2022</t>
  </si>
  <si>
    <t>Analista de Backoffice - 25%</t>
  </si>
  <si>
    <t>Analista de Investimentos - 50%</t>
  </si>
  <si>
    <t>Rateio de Despesa por Empresa</t>
  </si>
  <si>
    <t>Deminvest - 25%</t>
  </si>
  <si>
    <t>Capital Realty Infraestrutura - 25%</t>
  </si>
  <si>
    <t>Demercado - 25%</t>
  </si>
  <si>
    <t>Capital Realty Comércio de Combustíveis - 25%</t>
  </si>
  <si>
    <t xml:space="preserve">Deminvest - Prestação de Serviços aos Acionistas                                                                                                                               </t>
  </si>
  <si>
    <t>Rateio de Despesa por Acionista</t>
  </si>
  <si>
    <t>Acionista 1</t>
  </si>
  <si>
    <t>Acionista 2</t>
  </si>
  <si>
    <t>Acionista 3</t>
  </si>
  <si>
    <t>CAPITAL REALTY INFRAESTRUTURA LOGÍSTICA</t>
  </si>
  <si>
    <t>Total Investido:</t>
  </si>
  <si>
    <t>% CARTEIRA</t>
  </si>
  <si>
    <t>CDB Bradesco 100% Liquidez Diária</t>
  </si>
  <si>
    <t>CDB Bradesco 100,5% - Liquidez Diária</t>
  </si>
  <si>
    <t>CDB Bradesco 101% - Liquidez Diária</t>
  </si>
  <si>
    <t>Subtotal</t>
  </si>
  <si>
    <t>CDB Santander 100% Liquidez Diária</t>
  </si>
  <si>
    <t>CDB Santander 100,5% - Liquidez Diária</t>
  </si>
  <si>
    <t>CDB Santander 102,5% - Liquidez Diária</t>
  </si>
  <si>
    <t>CDB Itaú 99,25% Liquidez Diária</t>
  </si>
  <si>
    <t>CDB IBanco do Brasil 97% Liquidez Diária - Vcto: 23/09/2025 - Liquidez Diária</t>
  </si>
  <si>
    <t>CDB BTG 101,75% - Vcto: 11/07/2023 - Liquidez Diária</t>
  </si>
  <si>
    <t>CDB BTG 102,5% - Liquidez Diária</t>
  </si>
  <si>
    <t>CDB BTG 103% - Liquidez Diária</t>
  </si>
  <si>
    <t>CDB BTG 104% - Vcto: 01/03/2023 - Liquidez Diária</t>
  </si>
  <si>
    <t>CDB BTG 104,75% - Vcto: 10/10/2022 - Liquidez Diária</t>
  </si>
  <si>
    <t xml:space="preserve">CDB BTG 105,25% - Vcto: 29/08/2022 - S/ Liquidez </t>
  </si>
  <si>
    <t>CDB BTG 105,5% - Vcto: 08/08/2022 - S/ Liquidez</t>
  </si>
  <si>
    <t xml:space="preserve">TOTAL CDB </t>
  </si>
  <si>
    <t>LFT 01/09/2022</t>
  </si>
  <si>
    <t>LFT 01/03/2023</t>
  </si>
  <si>
    <t>LFT 01/09/2023</t>
  </si>
  <si>
    <t>TOTAL LFTs</t>
  </si>
  <si>
    <t>DEMINVEST EMPREENDIMENTOS E PARTICIPAÇÕES</t>
  </si>
  <si>
    <t>CDB BTG 104% - Vcto: 15/06/2023 - Liquidez Diária</t>
  </si>
  <si>
    <t>CAPITAL REALTY COMÉRCIO DE COMBUSTÍVEIS</t>
  </si>
  <si>
    <t>CDB BTG 102% - Liquidez Diária</t>
  </si>
  <si>
    <t>DRE AUTO CENTER POSTO ESTEIO
(Em R$)</t>
  </si>
  <si>
    <t>FEVEREIRO</t>
  </si>
  <si>
    <t>∆ Ritmo 2022   x Real 2022</t>
  </si>
  <si>
    <t>DRE AUTO CENTER POSTO ESTEIO **
(Em R$/Mil)</t>
  </si>
  <si>
    <t>∆ Real 2021   x Real 2020</t>
  </si>
  <si>
    <t>∆ Real 2021   x Orç 2021</t>
  </si>
  <si>
    <t>∆ Ritmo 2021   x Real 2021</t>
  </si>
  <si>
    <t>∆ Ritmo 2021   x Orç 2021</t>
  </si>
  <si>
    <t>** Sem efeito Serviços Auto Center</t>
  </si>
  <si>
    <t>CGS</t>
  </si>
  <si>
    <t>07 - EBITDA / LAJIDA</t>
  </si>
  <si>
    <t>Esteio</t>
  </si>
  <si>
    <t>Orç Mês 25</t>
  </si>
  <si>
    <t>Real Anual 24</t>
  </si>
  <si>
    <t>Orç Anual 25</t>
  </si>
  <si>
    <t>Ritmo Anual 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</si>
</sst>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1">
    <numFmt numFmtId="164" formatCode="#,##0;\(#,##0\)"/>
    <numFmt numFmtId="165" formatCode="hh:mm"/>
    <numFmt numFmtId="166" formatCode="_-* #,##0.00_-;\-* #,##0.00_-;_-* &quot;-&quot;??_-;_-@"/>
    <numFmt numFmtId="167" formatCode="0.0%"/>
    <numFmt numFmtId="168" formatCode="#,##0.00;\(#,##0.00\)"/>
    <numFmt numFmtId="169" formatCode="_-* #,##0_-;\-* #,##0_-;_-* &quot;-&quot;??_-;_-@"/>
    <numFmt numFmtId="170" formatCode="#,##0.00;(#,##0.00)"/>
    <numFmt numFmtId="171" formatCode="_-#,##0_-;\-#,##0_-;_-&quot;-&quot;??_-;_-@"/>
    <numFmt numFmtId="172" formatCode="#,##0;(#,##0)"/>
    <numFmt numFmtId="173" formatCode="mmm/yyyy"/>
    <numFmt numFmtId="174" formatCode="\▲0%;\▼0%;\-"/>
    <numFmt numFmtId="175" formatCode="#,##0_ ;[Red]\-#,##0\ "/>
    <numFmt numFmtId="176" formatCode="\-"/>
    <numFmt numFmtId="177" formatCode="_-* #,##0.0_-;\-* #,##0.0_-;_-* &quot;-&quot;??_-;_-@"/>
    <numFmt numFmtId="178" formatCode="_-* #,##0.00_-;\-* #,##0.00_-;_-* &quot;-&quot;??.00_-;_-@"/>
    <numFmt numFmtId="179" formatCode="_(##,#0\)_;#,##0;_-* &quot;-&quot;??_-;_-@"/>
    <numFmt numFmtId="180" formatCode="dd/mm/yyyy"/>
    <numFmt numFmtId="181" formatCode="#.0#############E+###"/>
    <numFmt numFmtId="182" formatCode="_-* #,##0_-;\(#,##0\);_-* &quot;-&quot;_-;_-@"/>
    <numFmt numFmtId="183" formatCode="_-* #,##0.000_-;\(#,##0.000\);_-* &quot;-&quot;_-;_-@"/>
    <numFmt numFmtId="184" formatCode="_(* #,##0.000_);_(* \(#,##0.000\);_(* &quot;-&quot;??.000_);_(@_)"/>
    <numFmt numFmtId="185" formatCode="_-* #,##0_-;\-* #,##0_-;_-* &quot;-&quot;_-;_-@"/>
    <numFmt numFmtId="186" formatCode="dd/MM/yyyy"/>
    <numFmt numFmtId="187" formatCode="#,##0%"/>
    <numFmt numFmtId="188" formatCode="0.0000%"/>
    <numFmt numFmtId="189" formatCode="_-* #,##0.00_-;\(#,##0.00\);_-* &quot;-&quot;_-;_-@"/>
    <numFmt numFmtId="190" formatCode="_-* #,##0.000_-;\-* #,##0.000_-;_-* &quot;-&quot;??_-;_-@"/>
    <numFmt numFmtId="191" formatCode="#,##0.0;(#,##0.0)"/>
    <numFmt numFmtId="192" formatCode="#,##0.0"/>
    <numFmt numFmtId="193" formatCode="_-&quot;R$&quot;* #,##0.00_-;\-&quot;R$&quot;* #,##0.00_-;_-&quot;R$&quot;* &quot;-&quot;??_-;_-@"/>
    <numFmt numFmtId="194" formatCode="_([$R$ -416]* #,##0.00_);_([$R$ -416]* \(#,##0.00\);_([$R$ -416]* &quot;-&quot;??_);_(@_)"/>
  </numFmts>
  <fonts count="94">
    <font>
      <sz val="11.0"/>
      <color theme="1"/>
      <name val="Calibri"/>
      <scheme val="minor"/>
    </font>
    <font>
      <sz val="11.0"/>
      <color theme="1"/>
      <name val="Calibri"/>
    </font>
    <font>
      <sz val="8.0"/>
      <color theme="1"/>
      <name val="Tahoma"/>
    </font>
    <font>
      <b/>
      <sz val="8.0"/>
      <color theme="1"/>
      <name val="Tahoma"/>
    </font>
    <font>
      <sz val="12.0"/>
      <color theme="0"/>
      <name val="Calibri"/>
    </font>
    <font>
      <b/>
      <sz val="11.0"/>
      <color rgb="FFFFFFFF"/>
      <name val="Calibri"/>
    </font>
    <font/>
    <font>
      <b/>
      <sz val="11.0"/>
      <color theme="0"/>
      <name val="Calibri"/>
    </font>
    <font>
      <b/>
      <sz val="12.0"/>
      <color rgb="FF012653"/>
      <name val="Calibri"/>
    </font>
    <font>
      <sz val="12.0"/>
      <color rgb="FF012653"/>
      <name val="Calibri"/>
    </font>
    <font>
      <sz val="14.0"/>
      <color rgb="FF000000"/>
      <name val="Times New Roman"/>
    </font>
    <font>
      <sz val="12.0"/>
      <color theme="1"/>
      <name val="Calibri"/>
    </font>
    <font>
      <b/>
      <sz val="8.0"/>
      <color theme="0"/>
      <name val="Tahoma"/>
    </font>
    <font>
      <b/>
      <i/>
      <sz val="8.0"/>
      <color theme="1"/>
      <name val="Tahoma"/>
    </font>
    <font>
      <b/>
      <sz val="12.0"/>
      <color rgb="FFFFFFFF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i/>
      <sz val="11.0"/>
      <color theme="1"/>
      <name val="Calibri"/>
    </font>
    <font>
      <sz val="12.0"/>
      <color rgb="FFFFFFFF"/>
      <name val="Calibri"/>
    </font>
    <font>
      <b/>
      <sz val="11.0"/>
      <color theme="1"/>
      <name val="Calibri"/>
    </font>
    <font>
      <color rgb="FFFF0000"/>
      <name val="Calibri"/>
    </font>
    <font>
      <b/>
      <color rgb="FFFF0000"/>
      <name val="Calibri"/>
    </font>
    <font>
      <b/>
      <sz val="10.0"/>
      <color theme="0"/>
      <name val="Calibri"/>
    </font>
    <font>
      <b/>
      <sz val="12.0"/>
      <color theme="0"/>
      <name val="Calibri"/>
    </font>
    <font>
      <sz val="11.0"/>
      <color rgb="FF000000"/>
      <name val="Calibri"/>
    </font>
    <font>
      <sz val="9.0"/>
      <color rgb="FFFF0000"/>
      <name val="Calibri"/>
    </font>
    <font>
      <sz val="9.0"/>
      <color theme="1"/>
      <name val="Calibri"/>
    </font>
    <font>
      <b/>
      <sz val="9.0"/>
      <color rgb="FFFF0000"/>
      <name val="Calibri"/>
    </font>
    <font>
      <color theme="1"/>
      <name val="Calibri"/>
      <scheme val="minor"/>
    </font>
    <font>
      <sz val="23.0"/>
      <color rgb="FF3F3F3F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sz val="11.0"/>
      <color theme="0"/>
      <name val="Calibri"/>
    </font>
    <font>
      <sz val="11.0"/>
      <color rgb="FF434343"/>
      <name val="Calibri"/>
    </font>
    <font>
      <b/>
      <sz val="11.0"/>
      <color rgb="FFEEECE1"/>
      <name val="Calibri"/>
    </font>
    <font>
      <sz val="11.0"/>
      <color rgb="FFFF0000"/>
      <name val="Calibri"/>
    </font>
    <font>
      <sz val="10.0"/>
      <color theme="1"/>
      <name val="Calibri"/>
    </font>
    <font>
      <sz val="8.0"/>
      <color theme="1"/>
      <name val="Calibri"/>
    </font>
    <font>
      <sz val="11.0"/>
      <color theme="1"/>
      <name val="Tahoma"/>
    </font>
    <font>
      <b/>
      <i/>
      <sz val="11.0"/>
      <color theme="1"/>
      <name val="Tahoma"/>
    </font>
    <font>
      <b/>
      <color rgb="FFFFFFFF"/>
      <name val="Trebuchet MS"/>
    </font>
    <font>
      <b/>
      <sz val="11.0"/>
      <color rgb="FFFFFFFF"/>
      <name val="Trebuchet MS"/>
    </font>
    <font>
      <b/>
      <sz val="9.0"/>
      <color rgb="FF002060"/>
      <name val="Trebuchet MS"/>
    </font>
    <font>
      <color rgb="FF002060"/>
      <name val="Trebuchet MS"/>
    </font>
    <font>
      <b/>
      <color rgb="FFFF0000"/>
      <name val="Trebuchet MS"/>
    </font>
    <font>
      <b/>
      <color rgb="FF008000"/>
      <name val="Trebuchet MS"/>
    </font>
    <font>
      <b/>
      <color rgb="FF385623"/>
      <name val="Trebuchet MS"/>
    </font>
    <font>
      <b/>
      <color rgb="FF548135"/>
      <name val="Trebuchet MS"/>
    </font>
    <font>
      <color rgb="FFFF0000"/>
      <name val="Trebuchet MS"/>
    </font>
    <font>
      <sz val="9.0"/>
      <color rgb="FF002060"/>
      <name val="Trebuchet MS"/>
    </font>
    <font>
      <i/>
      <sz val="9.0"/>
      <color rgb="FF002060"/>
      <name val="Trebuchet MS"/>
    </font>
    <font>
      <sz val="9.0"/>
      <color theme="1"/>
      <name val="Gotham Light"/>
    </font>
    <font>
      <b/>
      <sz val="7.0"/>
      <color rgb="FFFFFFFF"/>
      <name val="Tahoma"/>
    </font>
    <font>
      <sz val="8.0"/>
      <color rgb="FFFF0000"/>
      <name val="Trebuchet MS"/>
    </font>
    <font>
      <b/>
      <sz val="8.0"/>
      <color theme="1"/>
      <name val="Calibri"/>
    </font>
    <font>
      <b/>
      <i/>
      <sz val="7.0"/>
      <color theme="1"/>
      <name val="Tahoma"/>
    </font>
    <font>
      <sz val="7.0"/>
      <color theme="1"/>
      <name val="Tahoma"/>
    </font>
    <font>
      <b/>
      <sz val="8.0"/>
      <color rgb="FFFFFFFF"/>
      <name val="Tahoma"/>
    </font>
    <font>
      <i/>
      <sz val="11.0"/>
      <color theme="1"/>
      <name val="Tahoma"/>
    </font>
    <font>
      <sz val="11.0"/>
      <color rgb="FFFFFFFF"/>
      <name val="Calibri"/>
    </font>
    <font>
      <b/>
      <sz val="12.0"/>
      <color theme="1"/>
      <name val="Arial"/>
    </font>
    <font>
      <b/>
      <sz val="12.0"/>
      <color theme="0"/>
      <name val="Arial"/>
    </font>
    <font>
      <b/>
      <sz val="12.0"/>
      <color rgb="FFFF0000"/>
      <name val="Calibri"/>
    </font>
    <font>
      <b/>
      <sz val="11.0"/>
      <color theme="1"/>
      <name val="Tahoma"/>
    </font>
    <font>
      <b/>
      <sz val="9.0"/>
      <color theme="1"/>
      <name val="Arial"/>
    </font>
    <font>
      <b/>
      <sz val="12.0"/>
      <color rgb="FF00B050"/>
      <name val="Calibri"/>
    </font>
    <font>
      <sz val="10.0"/>
      <color rgb="FF000000"/>
      <name val="Calibri"/>
    </font>
    <font>
      <sz val="9.0"/>
      <color rgb="FF363636"/>
      <name val="&quot;Times New Roman&quot;"/>
    </font>
    <font>
      <sz val="11.0"/>
      <color rgb="FF1F1F1F"/>
      <name val="Arial"/>
    </font>
    <font>
      <b/>
      <sz val="10.0"/>
      <color theme="1"/>
      <name val="Arial"/>
    </font>
    <font>
      <b/>
      <sz val="11.0"/>
      <color rgb="FF333333"/>
      <name val="Calibri"/>
    </font>
    <font>
      <b/>
      <sz val="11.0"/>
      <color rgb="FFFF0000"/>
      <name val="Calibri"/>
    </font>
    <font>
      <sz val="11.0"/>
      <color rgb="FF333333"/>
      <name val="Calibri"/>
    </font>
    <font>
      <color theme="1"/>
      <name val="Calibri"/>
    </font>
    <font>
      <color rgb="FF000000"/>
      <name val="Calibri"/>
    </font>
    <font>
      <sz val="10.0"/>
      <color theme="1"/>
      <name val="Arial"/>
    </font>
    <font>
      <b/>
      <sz val="8.0"/>
      <color rgb="FFFF0000"/>
      <name val="Tahoma"/>
    </font>
    <font>
      <b/>
      <sz val="8.0"/>
      <color rgb="FFFF0000"/>
      <name val="Calibri"/>
    </font>
    <font>
      <b/>
      <sz val="9.0"/>
      <color rgb="FF333333"/>
      <name val="Calibri"/>
    </font>
    <font>
      <sz val="8.0"/>
      <color rgb="FF333333"/>
      <name val="Calibri"/>
    </font>
    <font>
      <b/>
      <sz val="8.0"/>
      <color rgb="FF993300"/>
      <name val="Calibri"/>
    </font>
    <font>
      <b/>
      <sz val="9.0"/>
      <color rgb="FF993300"/>
      <name val="Calibri"/>
    </font>
    <font>
      <b/>
      <sz val="8.0"/>
      <color rgb="FF339966"/>
      <name val="Calibri"/>
    </font>
    <font>
      <b/>
      <sz val="9.0"/>
      <color rgb="FF339966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0.0"/>
      <color rgb="FF00B050"/>
      <name val="Calibri"/>
    </font>
    <font>
      <b/>
      <sz val="10.0"/>
      <color rgb="FFFF0000"/>
      <name val="Calibri"/>
    </font>
    <font>
      <sz val="12.0"/>
      <color theme="1"/>
      <name val="Times New Roman"/>
    </font>
    <font>
      <b/>
      <sz val="11.0"/>
      <color rgb="FF00B050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4F6128"/>
        <bgColor rgb="FF4F6128"/>
      </patternFill>
    </fill>
    <fill>
      <patternFill patternType="solid">
        <fgColor rgb="FF012653"/>
        <bgColor rgb="FF012653"/>
      </patternFill>
    </fill>
    <fill>
      <patternFill patternType="solid">
        <fgColor rgb="FFF0F0F0"/>
        <bgColor rgb="FFF0F0F0"/>
      </patternFill>
    </fill>
    <fill>
      <patternFill patternType="solid">
        <fgColor rgb="FF0F243E"/>
        <bgColor rgb="FF0F243E"/>
      </patternFill>
    </fill>
    <fill>
      <patternFill patternType="solid">
        <fgColor rgb="FFDBE5F1"/>
        <bgColor rgb="FFDBE5F1"/>
      </patternFill>
    </fill>
    <fill>
      <patternFill patternType="solid">
        <fgColor rgb="FF0850A3"/>
        <bgColor rgb="FF0850A3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417E59"/>
        <bgColor rgb="FF417E59"/>
      </patternFill>
    </fill>
    <fill>
      <patternFill patternType="solid">
        <fgColor rgb="FFFDE9D9"/>
        <bgColor rgb="FFFDE9D9"/>
      </patternFill>
    </fill>
    <fill>
      <patternFill patternType="solid">
        <fgColor rgb="FF0070C0"/>
        <bgColor rgb="FF0070C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92CDDC"/>
        <bgColor rgb="FF92CDDC"/>
      </patternFill>
    </fill>
    <fill>
      <patternFill patternType="solid">
        <fgColor rgb="FF974806"/>
        <bgColor rgb="FF974806"/>
      </patternFill>
    </fill>
    <fill>
      <patternFill patternType="solid">
        <fgColor rgb="FFB6DDE8"/>
        <bgColor rgb="FFB6DD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E5B8B7"/>
        <bgColor rgb="FFE5B8B7"/>
      </patternFill>
    </fill>
    <fill>
      <patternFill patternType="solid">
        <fgColor rgb="FF205867"/>
        <bgColor rgb="FF205867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0D638F"/>
        <bgColor rgb="FF0D638F"/>
      </patternFill>
    </fill>
    <fill>
      <patternFill patternType="solid">
        <fgColor rgb="FFFAF9F9"/>
        <bgColor rgb="FFFAF9F9"/>
      </patternFill>
    </fill>
  </fills>
  <borders count="19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top/>
      <bottom style="thick">
        <color rgb="FFFFFFFF"/>
      </bottom>
    </border>
    <border>
      <left style="medium">
        <color rgb="FF000000"/>
      </left>
    </border>
    <border>
      <top/>
      <bottom style="thick">
        <color rgb="FFFFFFFF"/>
      </bottom>
    </border>
    <border>
      <right style="medium">
        <color rgb="FF000000"/>
      </right>
    </border>
    <border>
      <right/>
      <top/>
      <bottom style="thick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FFFFFF"/>
      </left>
    </border>
    <border>
      <left style="thin">
        <color rgb="FFFFFFFF"/>
      </left>
      <bottom/>
    </border>
    <border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FFFFFF"/>
      </right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bottom/>
    </border>
    <border>
      <left style="thin">
        <color rgb="FFFFFFFF"/>
      </left>
      <right/>
      <top/>
      <bottom/>
    </border>
    <border>
      <left/>
      <right/>
      <top/>
      <bottom/>
    </border>
    <border>
      <left/>
      <top/>
      <bottom/>
    </border>
    <border>
      <right style="thin">
        <color rgb="FFFFFFFF"/>
      </right>
      <top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/>
      <top/>
      <bottom/>
    </border>
    <border>
      <left/>
      <right style="thin">
        <color rgb="FFFFFFFF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right style="thin">
        <color rgb="FFFFFFFF"/>
      </right>
    </border>
    <border>
      <left style="medium">
        <color rgb="FF000000"/>
      </left>
      <bottom style="medium">
        <color rgb="FF000000"/>
      </bottom>
    </border>
    <border>
      <left style="medium">
        <color rgb="FFC8C8C8"/>
      </lef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</border>
    <border>
      <left style="thin">
        <color rgb="FFFFFFFF"/>
      </left>
      <right/>
      <top/>
    </border>
    <border>
      <left/>
      <right/>
      <top/>
    </border>
    <border>
      <left/>
      <right style="thin">
        <color rgb="FFFFFFFF"/>
      </right>
      <top/>
    </border>
    <border>
      <left/>
      <right/>
      <top/>
      <bottom style="thin">
        <color rgb="FF000000"/>
      </bottom>
    </border>
    <border>
      <right/>
      <top/>
    </border>
    <border>
      <left/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 style="medium">
        <color rgb="FF000000"/>
      </left>
      <right style="dotted">
        <color rgb="FFFFFFFF"/>
      </right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left style="dotted">
        <color rgb="FFFFFFFF"/>
      </left>
      <right style="medium">
        <color rgb="FF000000"/>
      </right>
      <bottom style="dotted">
        <color rgb="FFFFFFFF"/>
      </bottom>
    </border>
    <border>
      <left style="medium">
        <color rgb="FF000000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FFFFFF"/>
      </left>
      <right style="medium">
        <color rgb="FF000000"/>
      </right>
      <top style="dotted">
        <color rgb="FFFFFFFF"/>
      </top>
      <bottom style="dotted">
        <color rgb="FFFFFFFF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FFFFFF"/>
      </right>
      <top style="dotted">
        <color rgb="FFFFFFFF"/>
      </top>
      <bottom style="medium">
        <color rgb="FF000000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medium">
        <color rgb="FF000000"/>
      </bottom>
    </border>
    <border>
      <right/>
      <top style="thin">
        <color rgb="FFFFFFFF"/>
      </top>
      <bottom style="thin">
        <color rgb="FFFFFFFF"/>
      </bottom>
    </border>
    <border>
      <left style="dotted">
        <color rgb="FFFFFFFF"/>
      </left>
      <right style="medium">
        <color rgb="FF000000"/>
      </right>
      <top style="dotted">
        <color rgb="FFFFFFFF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left style="thin">
        <color rgb="FFFFFFFF"/>
      </left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</border>
    <border>
      <left/>
      <right style="thin">
        <color rgb="FFFFFFFF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/>
      <right/>
      <bottom style="thin">
        <color rgb="FFFFFFFF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C8C8C8"/>
      </left>
      <right style="medium">
        <color rgb="FFC8C8C8"/>
      </right>
      <top style="medium">
        <color rgb="FFC8C8C8"/>
      </top>
    </border>
    <border>
      <left style="medium">
        <color rgb="FFC8C8C8"/>
      </left>
      <top style="medium">
        <color rgb="FFC8C8C8"/>
      </top>
      <bottom/>
    </border>
    <border>
      <top style="medium">
        <color rgb="FFC8C8C8"/>
      </top>
      <bottom/>
    </border>
    <border>
      <right style="medium">
        <color rgb="FFC8C8C8"/>
      </right>
      <top style="medium">
        <color rgb="FFC8C8C8"/>
      </top>
      <bottom/>
    </border>
    <border>
      <left style="medium">
        <color rgb="FFA5A5A5"/>
      </left>
      <top style="medium">
        <color rgb="FFA5A5A5"/>
      </top>
      <bottom/>
    </border>
    <border>
      <top style="medium">
        <color rgb="FFA5A5A5"/>
      </top>
      <bottom/>
    </border>
    <border>
      <right style="medium">
        <color rgb="FFA5A5A5"/>
      </right>
      <top style="medium">
        <color rgb="FFA5A5A5"/>
      </top>
      <bottom/>
    </border>
    <border>
      <left style="medium">
        <color rgb="FFC8C8C8"/>
      </left>
      <right style="medium">
        <color rgb="FFC8C8C8"/>
      </right>
      <bottom/>
    </border>
    <border>
      <left style="medium">
        <color rgb="FFC8C8C8"/>
      </left>
      <right/>
      <top/>
      <bottom/>
    </border>
    <border>
      <left/>
      <right style="medium">
        <color rgb="FFC8C8C8"/>
      </right>
      <top/>
      <bottom/>
    </border>
    <border>
      <left style="medium">
        <color rgb="FFC8C8C8"/>
      </left>
      <right style="medium">
        <color rgb="FFC8C8C8"/>
      </right>
    </border>
    <border>
      <right style="medium">
        <color rgb="FFC8C8C8"/>
      </right>
    </border>
    <border>
      <bottom style="thin">
        <color rgb="FF000000"/>
      </bottom>
    </border>
    <border>
      <left style="medium">
        <color rgb="FFC8C8C8"/>
      </left>
      <right style="medium">
        <color rgb="FFC8C8C8"/>
      </right>
      <top/>
      <bottom/>
    </border>
    <border>
      <left/>
      <right/>
      <bottom/>
    </border>
    <border>
      <left style="medium">
        <color rgb="FFC8C8C8"/>
      </left>
      <right style="medium">
        <color rgb="FFC8C8C8"/>
      </right>
      <top/>
      <bottom style="medium">
        <color rgb="FFC8C8C8"/>
      </bottom>
    </border>
    <border>
      <left style="medium">
        <color rgb="FFC8C8C8"/>
      </left>
      <right/>
      <top/>
      <bottom style="medium">
        <color rgb="FFC8C8C8"/>
      </bottom>
    </border>
    <border>
      <left/>
      <right/>
      <top/>
      <bottom style="medium">
        <color rgb="FFC8C8C8"/>
      </bottom>
    </border>
    <border>
      <left/>
      <right style="medium">
        <color rgb="FFC8C8C8"/>
      </right>
      <top/>
      <bottom style="medium">
        <color rgb="FFC8C8C8"/>
      </bottom>
    </border>
    <border>
      <left style="medium">
        <color rgb="FFA5A5A5"/>
      </left>
      <right/>
      <top style="medium">
        <color rgb="FFA5A5A5"/>
      </top>
    </border>
    <border>
      <left/>
      <top style="medium">
        <color rgb="FFA5A5A5"/>
      </top>
      <bottom/>
    </border>
    <border>
      <left style="medium">
        <color rgb="FFA5A5A5"/>
      </left>
      <right/>
      <bottom/>
    </border>
    <border>
      <left style="medium">
        <color rgb="FFA5A5A5"/>
      </left>
    </border>
    <border>
      <left style="medium">
        <color rgb="FFA5A5A5"/>
      </left>
      <right/>
      <top/>
      <bottom/>
    </border>
    <border>
      <right style="medium">
        <color rgb="FFA5A5A5"/>
      </right>
    </border>
    <border>
      <left style="medium">
        <color rgb="FFA5A5A5"/>
      </left>
      <right/>
      <top/>
      <bottom style="medium">
        <color rgb="FFA5A5A5"/>
      </bottom>
    </border>
    <border>
      <left/>
      <right/>
      <top/>
      <bottom style="medium">
        <color rgb="FFA5A5A5"/>
      </bottom>
    </border>
    <border>
      <left/>
      <right style="medium">
        <color rgb="FFA5A5A5"/>
      </right>
      <top/>
      <bottom style="medium">
        <color rgb="FFA5A5A5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medium">
        <color rgb="FF000000"/>
      </left>
      <top/>
      <bottom/>
    </border>
    <border>
      <left/>
      <right/>
      <bottom style="medium">
        <color rgb="FF000000"/>
      </bottom>
    </border>
    <border>
      <left style="medium">
        <color rgb="FF7F7F7F"/>
      </left>
      <top style="medium">
        <color rgb="FF7F7F7F"/>
      </top>
    </border>
    <border>
      <left style="medium">
        <color rgb="FF7F7F7F"/>
      </left>
      <bottom/>
    </border>
    <border>
      <left/>
      <right style="medium">
        <color rgb="FFA5A5A5"/>
      </right>
      <top/>
      <bottom/>
    </border>
    <border>
      <left style="medium">
        <color rgb="FF7F7F7F"/>
      </left>
      <right style="medium">
        <color rgb="FF7F7F7F"/>
      </right>
    </border>
    <border>
      <left style="medium">
        <color rgb="FF7F7F7F"/>
      </left>
    </border>
    <border>
      <right style="medium">
        <color rgb="FF7F7F7F"/>
      </right>
    </border>
    <border>
      <left style="medium">
        <color rgb="FF7F7F7F"/>
      </left>
      <right style="medium">
        <color rgb="FF7F7F7F"/>
      </right>
      <top/>
      <bottom/>
    </border>
    <border>
      <left/>
      <right style="medium">
        <color rgb="FF7F7F7F"/>
      </right>
      <top/>
      <bottom/>
    </border>
    <border>
      <left style="medium">
        <color rgb="FF7F7F7F"/>
      </left>
      <right/>
      <top/>
      <bottom/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7F7F7F"/>
      </left>
      <right style="medium">
        <color rgb="FF7F7F7F"/>
      </right>
      <top/>
      <bottom style="medium">
        <color rgb="FF7F7F7F"/>
      </bottom>
    </border>
    <border>
      <left style="medium">
        <color rgb="FF7F7F7F"/>
      </left>
      <right/>
      <top/>
      <bottom style="medium">
        <color rgb="FF7F7F7F"/>
      </bottom>
    </border>
    <border>
      <left/>
      <right/>
      <top/>
      <bottom style="medium">
        <color rgb="FF7F7F7F"/>
      </bottom>
    </border>
    <border>
      <left/>
      <right style="medium">
        <color rgb="FF7F7F7F"/>
      </right>
      <top/>
      <bottom style="medium">
        <color rgb="FF7F7F7F"/>
      </bottom>
    </border>
    <border>
      <left style="medium">
        <color rgb="FF7F7F7F"/>
      </lef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medium">
        <color rgb="FFC8C8C8"/>
      </left>
      <top style="medium">
        <color rgb="FF000000"/>
      </top>
      <bottom style="medium">
        <color rgb="FF3F3F3F"/>
      </bottom>
    </border>
    <border>
      <top style="medium">
        <color rgb="FF000000"/>
      </top>
      <bottom style="medium">
        <color rgb="FF3F3F3F"/>
      </bottom>
    </border>
    <border>
      <right style="medium">
        <color rgb="FF000000"/>
      </right>
      <top style="medium">
        <color rgb="FF000000"/>
      </top>
      <bottom style="medium">
        <color rgb="FF3F3F3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/>
      <top/>
      <bottom style="thin">
        <color theme="0"/>
      </bottom>
    </border>
    <border>
      <top/>
      <bottom style="thin">
        <color theme="0"/>
      </bottom>
    </border>
    <border>
      <right/>
      <top/>
      <bottom style="thin">
        <color theme="0"/>
      </bottom>
    </border>
    <border>
      <left style="medium">
        <color rgb="FF7F7F7F"/>
      </left>
      <right style="medium">
        <color rgb="FF7F7F7F"/>
      </right>
      <bottom/>
    </border>
    <border>
      <left style="thin">
        <color theme="0"/>
      </left>
      <right/>
      <top style="thin">
        <color theme="0"/>
      </top>
      <bottom/>
    </border>
    <border>
      <right style="thin">
        <color rgb="FF000000"/>
      </right>
    </border>
    <border>
      <left style="thin">
        <color rgb="FFF2F2F2"/>
      </left>
      <right style="thin">
        <color rgb="FFF2F2F2"/>
      </right>
      <top style="thin">
        <color rgb="FFF2F2F2"/>
      </top>
      <bottom/>
    </border>
    <border>
      <left style="thin">
        <color rgb="FFF2F2F2"/>
      </left>
      <top style="thin">
        <color rgb="FFF2F2F2"/>
      </top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/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/>
      <top style="thin">
        <color rgb="FFF2F2F2"/>
      </top>
      <bottom style="thin">
        <color rgb="FFF2F2F2"/>
      </bottom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 style="medium">
        <color rgb="FFA5A5A5"/>
      </left>
      <right style="medium">
        <color rgb="FFA5A5A5"/>
      </right>
      <bottom/>
    </border>
    <border>
      <left style="medium">
        <color rgb="FFA5A5A5"/>
      </left>
      <right style="medium">
        <color rgb="FFA5A5A5"/>
      </right>
    </border>
    <border>
      <left style="medium">
        <color rgb="FFBFBFBF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/>
      <top/>
      <bottom/>
    </border>
    <border>
      <left style="medium">
        <color rgb="FFA5A5A5"/>
      </left>
      <right style="medium">
        <color rgb="FFA5A5A5"/>
      </right>
      <top/>
      <bottom/>
    </border>
    <border>
      <left style="medium">
        <color rgb="FFA5A5A5"/>
      </left>
      <right style="medium">
        <color rgb="FFA5A5A5"/>
      </right>
      <top/>
      <bottom style="medium">
        <color rgb="FFA5A5A5"/>
      </bottom>
    </border>
    <border>
      <left/>
      <right/>
      <bottom style="medium">
        <color rgb="FFA5A5A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34343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double">
        <color rgb="FF000000"/>
      </bottom>
    </border>
    <border>
      <bottom style="thin">
        <color rgb="FFFFFFFF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bottom style="thick">
        <color rgb="FFFFFFFF"/>
      </bottom>
    </border>
    <border>
      <left/>
      <right/>
      <top style="thick">
        <color rgb="FFFFFFFF"/>
      </top>
      <bottom/>
    </border>
    <border>
      <left/>
      <right/>
      <top/>
      <bottom style="thin">
        <color rgb="FFFFFFFF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CCCCCC"/>
      </left>
      <top style="thin">
        <color rgb="FFCCCCCC"/>
      </top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0" fillId="0" fontId="1" numFmtId="0" xfId="0" applyAlignment="1" applyFont="1">
      <alignment vertic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4" fillId="3" fontId="5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/>
    </xf>
    <xf borderId="6" fillId="0" fontId="6" numFmtId="0" xfId="0" applyBorder="1" applyFont="1"/>
    <xf borderId="0" fillId="0" fontId="4" numFmtId="0" xfId="0" applyAlignment="1" applyFont="1">
      <alignment horizontal="center"/>
    </xf>
    <xf borderId="7" fillId="0" fontId="4" numFmtId="0" xfId="0" applyAlignment="1" applyBorder="1" applyFont="1">
      <alignment horizontal="center"/>
    </xf>
    <xf borderId="8" fillId="0" fontId="6" numFmtId="0" xfId="0" applyBorder="1" applyFont="1"/>
    <xf borderId="9" fillId="4" fontId="7" numFmtId="0" xfId="0" applyAlignment="1" applyBorder="1" applyFill="1" applyFont="1">
      <alignment horizontal="center" shrinkToFit="0" vertical="center" wrapText="1"/>
    </xf>
    <xf borderId="5" fillId="0" fontId="8" numFmtId="0" xfId="0" applyBorder="1" applyFont="1"/>
    <xf borderId="10" fillId="4" fontId="5" numFmtId="0" xfId="0" applyAlignment="1" applyBorder="1" applyFont="1">
      <alignment horizontal="center" shrinkToFit="0" wrapText="1"/>
    </xf>
    <xf borderId="0" fillId="0" fontId="9" numFmtId="20" xfId="0" applyAlignment="1" applyFont="1" applyNumberFormat="1">
      <alignment horizontal="center"/>
    </xf>
    <xf borderId="0" fillId="0" fontId="10" numFmtId="0" xfId="0" applyFont="1"/>
    <xf borderId="7" fillId="0" fontId="9" numFmtId="0" xfId="0" applyAlignment="1" applyBorder="1" applyFont="1">
      <alignment horizontal="center"/>
    </xf>
    <xf borderId="11" fillId="4" fontId="5" numFmtId="0" xfId="0" applyAlignment="1" applyBorder="1" applyFont="1">
      <alignment horizontal="center" readingOrder="0" shrinkToFit="0" vertical="bottom" wrapText="1"/>
    </xf>
    <xf borderId="0" fillId="0" fontId="1" numFmtId="20" xfId="0" applyFont="1" applyNumberFormat="1"/>
    <xf borderId="12" fillId="0" fontId="6" numFmtId="0" xfId="0" applyBorder="1" applyFont="1"/>
    <xf borderId="13" fillId="4" fontId="5" numFmtId="0" xfId="0" applyAlignment="1" applyBorder="1" applyFon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2" fillId="4" fontId="5" numFmtId="0" xfId="0" applyAlignment="1" applyBorder="1" applyFont="1">
      <alignment horizontal="center" shrinkToFit="0" vertical="bottom" wrapText="1"/>
    </xf>
    <xf borderId="17" fillId="0" fontId="6" numFmtId="0" xfId="0" applyBorder="1" applyFont="1"/>
    <xf borderId="11" fillId="0" fontId="6" numFmtId="0" xfId="0" applyBorder="1" applyFont="1"/>
    <xf borderId="13" fillId="4" fontId="5" numFmtId="0" xfId="0" applyAlignment="1" applyBorder="1" applyFont="1">
      <alignment horizontal="center" vertical="center"/>
    </xf>
    <xf borderId="18" fillId="4" fontId="5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horizontal="center" shrinkToFit="0" wrapText="1"/>
    </xf>
    <xf borderId="19" fillId="5" fontId="1" numFmtId="0" xfId="0" applyBorder="1" applyFill="1" applyFont="1"/>
    <xf borderId="20" fillId="4" fontId="5" numFmtId="0" xfId="0" applyAlignment="1" applyBorder="1" applyFont="1">
      <alignment horizontal="center" shrinkToFit="0" wrapText="1"/>
    </xf>
    <xf borderId="21" fillId="4" fontId="5" numFmtId="0" xfId="0" applyAlignment="1" applyBorder="1" applyFont="1">
      <alignment horizontal="center" shrinkToFit="0" wrapText="1"/>
    </xf>
    <xf borderId="22" fillId="0" fontId="6" numFmtId="0" xfId="0" applyBorder="1" applyFont="1"/>
    <xf borderId="23" fillId="4" fontId="5" numFmtId="0" xfId="0" applyAlignment="1" applyBorder="1" applyFont="1">
      <alignment horizontal="center" readingOrder="0" shrinkToFit="0" vertical="center" wrapText="1"/>
    </xf>
    <xf borderId="24" fillId="4" fontId="5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horizontal="center" readingOrder="0" shrinkToFit="0" vertical="center" wrapText="1"/>
    </xf>
    <xf borderId="0" fillId="0" fontId="11" numFmtId="0" xfId="0" applyFont="1"/>
    <xf borderId="25" fillId="4" fontId="5" numFmtId="0" xfId="0" applyAlignment="1" applyBorder="1" applyFont="1">
      <alignment horizontal="center" readingOrder="0" shrinkToFit="0" vertical="center" wrapText="1"/>
    </xf>
    <xf borderId="10" fillId="0" fontId="11" numFmtId="164" xfId="0" applyAlignment="1" applyBorder="1" applyFont="1" applyNumberForma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7" fillId="0" fontId="9" numFmtId="0" xfId="0" applyAlignment="1" applyBorder="1" applyFont="1">
      <alignment horizontal="center" readingOrder="0"/>
    </xf>
    <xf borderId="5" fillId="0" fontId="8" numFmtId="0" xfId="0" applyAlignment="1" applyBorder="1" applyFont="1">
      <alignment readingOrder="0"/>
    </xf>
    <xf borderId="26" fillId="0" fontId="1" numFmtId="0" xfId="0" applyAlignment="1" applyBorder="1" applyFont="1">
      <alignment vertical="bottom"/>
    </xf>
    <xf borderId="0" fillId="0" fontId="11" numFmtId="9" xfId="0" applyAlignment="1" applyFont="1" applyNumberFormat="1">
      <alignment horizontal="center"/>
    </xf>
    <xf borderId="27" fillId="0" fontId="11" numFmtId="9" xfId="0" applyAlignment="1" applyBorder="1" applyFont="1" applyNumberFormat="1">
      <alignment horizontal="center"/>
    </xf>
    <xf borderId="28" fillId="0" fontId="8" numFmtId="0" xfId="0" applyBorder="1" applyFont="1"/>
    <xf borderId="29" fillId="0" fontId="1" numFmtId="164" xfId="0" applyAlignment="1" applyBorder="1" applyFont="1" applyNumberFormat="1">
      <alignment horizontal="center" readingOrder="0" vertical="center"/>
    </xf>
    <xf borderId="30" fillId="0" fontId="9" numFmtId="20" xfId="0" applyAlignment="1" applyBorder="1" applyFont="1" applyNumberFormat="1">
      <alignment horizontal="center"/>
    </xf>
    <xf borderId="0" fillId="0" fontId="2" numFmtId="1" xfId="0" applyFont="1" applyNumberFormat="1"/>
    <xf borderId="31" fillId="0" fontId="9" numFmtId="0" xfId="0" applyAlignment="1" applyBorder="1" applyFont="1">
      <alignment horizontal="center"/>
    </xf>
    <xf borderId="0" fillId="0" fontId="1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21" xfId="0" applyAlignment="1" applyFont="1" applyNumberFormat="1">
      <alignment horizontal="center" vertical="center"/>
    </xf>
    <xf borderId="10" fillId="0" fontId="11" numFmtId="3" xfId="0" applyAlignment="1" applyBorder="1" applyFont="1" applyNumberFormat="1">
      <alignment horizontal="center" readingOrder="0"/>
    </xf>
    <xf borderId="0" fillId="0" fontId="1" numFmtId="9" xfId="0" applyAlignment="1" applyFont="1" applyNumberFormat="1">
      <alignment horizontal="center" vertical="bottom"/>
    </xf>
    <xf borderId="0" fillId="0" fontId="11" numFmtId="3" xfId="0" applyAlignment="1" applyFont="1" applyNumberFormat="1">
      <alignment horizontal="center" readingOrder="0"/>
    </xf>
    <xf borderId="7" fillId="0" fontId="1" numFmtId="9" xfId="0" applyAlignment="1" applyBorder="1" applyFont="1" applyNumberFormat="1">
      <alignment horizontal="center" vertical="bottom"/>
    </xf>
    <xf borderId="31" fillId="0" fontId="9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27" fillId="0" fontId="11" numFmtId="0" xfId="0" applyAlignment="1" applyBorder="1" applyFont="1">
      <alignment vertical="bottom"/>
    </xf>
    <xf borderId="0" fillId="0" fontId="11" numFmtId="3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horizontal="center" readingOrder="0" vertical="bottom"/>
    </xf>
    <xf borderId="0" fillId="0" fontId="11" numFmtId="9" xfId="0" applyAlignment="1" applyFont="1" applyNumberFormat="1">
      <alignment horizontal="center" vertical="bottom"/>
    </xf>
    <xf borderId="27" fillId="0" fontId="11" numFmtId="9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vertical="center"/>
    </xf>
    <xf borderId="0" fillId="0" fontId="11" numFmtId="164" xfId="0" applyAlignment="1" applyFont="1" applyNumberFormat="1">
      <alignment horizontal="center" vertical="bottom"/>
    </xf>
    <xf borderId="0" fillId="0" fontId="9" numFmtId="20" xfId="0" applyAlignment="1" applyFont="1" applyNumberFormat="1">
      <alignment horizontal="center" vertical="center"/>
    </xf>
    <xf borderId="7" fillId="0" fontId="9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11" numFmtId="0" xfId="0" applyAlignment="1" applyFont="1">
      <alignment vertical="bottom"/>
    </xf>
    <xf borderId="19" fillId="6" fontId="12" numFmtId="0" xfId="0" applyAlignment="1" applyBorder="1" applyFill="1" applyFont="1">
      <alignment horizontal="center"/>
    </xf>
    <xf borderId="0" fillId="0" fontId="11" numFmtId="3" xfId="0" applyAlignment="1" applyFont="1" applyNumberFormat="1">
      <alignment horizontal="center" vertical="bottom"/>
    </xf>
    <xf borderId="5" fillId="0" fontId="1" numFmtId="164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vertical="center"/>
    </xf>
    <xf borderId="19" fillId="7" fontId="13" numFmtId="0" xfId="0" applyBorder="1" applyFill="1" applyFont="1"/>
    <xf borderId="0" fillId="0" fontId="3" numFmtId="164" xfId="0" applyAlignment="1" applyFont="1" applyNumberFormat="1">
      <alignment horizontal="center" vertical="center"/>
    </xf>
    <xf borderId="0" fillId="0" fontId="9" numFmtId="20" xfId="0" applyAlignment="1" applyFont="1" applyNumberFormat="1">
      <alignment horizontal="center" readingOrder="0" vertical="center"/>
    </xf>
    <xf borderId="32" fillId="8" fontId="14" numFmtId="0" xfId="0" applyBorder="1" applyFill="1" applyFont="1"/>
    <xf borderId="0" fillId="0" fontId="2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bottom"/>
    </xf>
    <xf borderId="0" fillId="0" fontId="9" numFmtId="20" xfId="0" applyAlignment="1" applyFont="1" applyNumberFormat="1">
      <alignment horizontal="center" readingOrder="0"/>
    </xf>
    <xf borderId="19" fillId="9" fontId="3" numFmtId="164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center"/>
    </xf>
    <xf borderId="0" fillId="0" fontId="2" numFmtId="166" xfId="0" applyFont="1" applyNumberFormat="1"/>
    <xf borderId="33" fillId="8" fontId="14" numFmtId="164" xfId="0" applyAlignment="1" applyBorder="1" applyFont="1" applyNumberFormat="1">
      <alignment horizontal="center"/>
    </xf>
    <xf borderId="0" fillId="0" fontId="2" numFmtId="164" xfId="0" applyFont="1" applyNumberFormat="1"/>
    <xf borderId="34" fillId="8" fontId="14" numFmtId="164" xfId="0" applyAlignment="1" applyBorder="1" applyFont="1" applyNumberFormat="1">
      <alignment horizontal="center"/>
    </xf>
    <xf borderId="0" fillId="0" fontId="1" numFmtId="20" xfId="0" applyAlignment="1" applyFont="1" applyNumberFormat="1">
      <alignment horizontal="center" vertical="center"/>
    </xf>
    <xf borderId="34" fillId="8" fontId="14" numFmtId="9" xfId="0" applyAlignment="1" applyBorder="1" applyFont="1" applyNumberFormat="1">
      <alignment horizontal="center"/>
    </xf>
    <xf borderId="5" fillId="0" fontId="8" numFmtId="0" xfId="0" applyAlignment="1" applyBorder="1" applyFont="1">
      <alignment readingOrder="0" vertical="center"/>
    </xf>
    <xf borderId="7" fillId="0" fontId="9" numFmtId="0" xfId="0" applyAlignment="1" applyBorder="1" applyFont="1">
      <alignment horizontal="center" readingOrder="0" vertical="center"/>
    </xf>
    <xf borderId="35" fillId="8" fontId="14" numFmtId="167" xfId="0" applyAlignment="1" applyBorder="1" applyFont="1" applyNumberFormat="1">
      <alignment horizontal="center"/>
    </xf>
    <xf borderId="36" fillId="10" fontId="13" numFmtId="0" xfId="0" applyBorder="1" applyFill="1" applyFont="1"/>
    <xf borderId="28" fillId="0" fontId="8" numFmtId="0" xfId="0" applyAlignment="1" applyBorder="1" applyFont="1">
      <alignment vertical="center"/>
    </xf>
    <xf borderId="36" fillId="10" fontId="3" numFmtId="164" xfId="0" applyAlignment="1" applyBorder="1" applyFont="1" applyNumberFormat="1">
      <alignment horizontal="center" vertical="center"/>
    </xf>
    <xf borderId="30" fillId="0" fontId="9" numFmtId="20" xfId="0" applyAlignment="1" applyBorder="1" applyFont="1" applyNumberFormat="1">
      <alignment horizontal="center" vertical="center"/>
    </xf>
    <xf borderId="31" fillId="0" fontId="9" numFmtId="0" xfId="0" applyAlignment="1" applyBorder="1" applyFont="1">
      <alignment horizontal="center" readingOrder="0" vertical="center"/>
    </xf>
    <xf borderId="36" fillId="10" fontId="2" numFmtId="164" xfId="0" applyAlignment="1" applyBorder="1" applyFont="1" applyNumberFormat="1">
      <alignment horizontal="center" vertical="center"/>
    </xf>
    <xf borderId="0" fillId="0" fontId="8" numFmtId="0" xfId="0" applyFont="1"/>
    <xf borderId="36" fillId="10" fontId="2" numFmtId="164" xfId="0" applyBorder="1" applyFont="1" applyNumberFormat="1"/>
    <xf borderId="36" fillId="10" fontId="2" numFmtId="0" xfId="0" applyBorder="1" applyFont="1"/>
    <xf borderId="37" fillId="8" fontId="14" numFmtId="164" xfId="0" applyAlignment="1" applyBorder="1" applyFont="1" applyNumberFormat="1">
      <alignment horizontal="center"/>
    </xf>
    <xf borderId="34" fillId="8" fontId="14" numFmtId="167" xfId="0" applyAlignment="1" applyBorder="1" applyFont="1" applyNumberFormat="1">
      <alignment horizontal="center"/>
    </xf>
    <xf borderId="0" fillId="0" fontId="1" numFmtId="3" xfId="0" applyFont="1" applyNumberFormat="1"/>
    <xf borderId="1" fillId="11" fontId="4" numFmtId="0" xfId="0" applyAlignment="1" applyBorder="1" applyFill="1" applyFont="1">
      <alignment horizontal="center"/>
    </xf>
    <xf borderId="26" fillId="0" fontId="1" numFmtId="0" xfId="0" applyAlignment="1" applyBorder="1" applyFont="1">
      <alignment readingOrder="0" vertical="bottom"/>
    </xf>
    <xf borderId="38" fillId="9" fontId="15" numFmtId="0" xfId="0" applyBorder="1" applyFont="1"/>
    <xf borderId="2" fillId="11" fontId="4" numFmtId="0" xfId="0" applyAlignment="1" applyBorder="1" applyFont="1">
      <alignment horizontal="center"/>
    </xf>
    <xf borderId="3" fillId="11" fontId="4" numFmtId="0" xfId="0" applyAlignment="1" applyBorder="1" applyFont="1">
      <alignment horizontal="center"/>
    </xf>
    <xf borderId="39" fillId="9" fontId="15" numFmtId="164" xfId="0" applyAlignment="1" applyBorder="1" applyFont="1" applyNumberFormat="1">
      <alignment horizontal="center"/>
    </xf>
    <xf borderId="40" fillId="9" fontId="15" numFmtId="164" xfId="0" applyAlignment="1" applyBorder="1" applyFont="1" applyNumberFormat="1">
      <alignment horizontal="center"/>
    </xf>
    <xf borderId="41" fillId="0" fontId="16" numFmtId="0" xfId="0" applyAlignment="1" applyBorder="1" applyFont="1">
      <alignment readingOrder="0" vertical="center"/>
    </xf>
    <xf borderId="0" fillId="0" fontId="1" numFmtId="164" xfId="0" applyAlignment="1" applyFont="1" applyNumberFormat="1">
      <alignment horizontal="center" vertical="bottom"/>
    </xf>
    <xf borderId="42" fillId="0" fontId="17" numFmtId="20" xfId="0" applyAlignment="1" applyBorder="1" applyFont="1" applyNumberFormat="1">
      <alignment horizontal="center" vertical="center"/>
    </xf>
    <xf borderId="42" fillId="0" fontId="17" numFmtId="20" xfId="0" applyAlignment="1" applyBorder="1" applyFont="1" applyNumberFormat="1">
      <alignment horizontal="center" readingOrder="0" vertical="center"/>
    </xf>
    <xf borderId="43" fillId="0" fontId="17" numFmtId="0" xfId="0" applyAlignment="1" applyBorder="1" applyFont="1">
      <alignment horizontal="center" readingOrder="0" vertical="center"/>
    </xf>
    <xf borderId="40" fillId="9" fontId="15" numFmtId="9" xfId="0" applyAlignment="1" applyBorder="1" applyFont="1" applyNumberFormat="1">
      <alignment horizontal="center"/>
    </xf>
    <xf borderId="44" fillId="0" fontId="16" numFmtId="0" xfId="0" applyAlignment="1" applyBorder="1" applyFont="1">
      <alignment readingOrder="0" vertical="center"/>
    </xf>
    <xf borderId="45" fillId="12" fontId="13" numFmtId="14" xfId="0" applyAlignment="1" applyBorder="1" applyFill="1" applyFont="1" applyNumberFormat="1">
      <alignment horizontal="center"/>
    </xf>
    <xf borderId="46" fillId="0" fontId="17" numFmtId="20" xfId="0" applyAlignment="1" applyBorder="1" applyFont="1" applyNumberFormat="1">
      <alignment horizontal="center" readingOrder="0" vertical="center"/>
    </xf>
    <xf borderId="47" fillId="9" fontId="15" numFmtId="9" xfId="0" applyAlignment="1" applyBorder="1" applyFont="1" applyNumberFormat="1">
      <alignment horizontal="center"/>
    </xf>
    <xf borderId="48" fillId="0" fontId="17" numFmtId="0" xfId="0" applyAlignment="1" applyBorder="1" applyFont="1">
      <alignment horizontal="center" readingOrder="0" vertical="center"/>
    </xf>
    <xf borderId="49" fillId="12" fontId="3" numFmtId="14" xfId="0" applyAlignment="1" applyBorder="1" applyFont="1" applyNumberFormat="1">
      <alignment horizontal="center" vertical="center"/>
    </xf>
    <xf borderId="44" fillId="0" fontId="16" numFmtId="0" xfId="0" applyAlignment="1" applyBorder="1" applyFont="1">
      <alignment readingOrder="0" shrinkToFit="0" vertical="center" wrapText="1"/>
    </xf>
    <xf borderId="0" fillId="0" fontId="2" numFmtId="14" xfId="0" applyFont="1" applyNumberFormat="1"/>
    <xf borderId="48" fillId="0" fontId="17" numFmtId="0" xfId="0" applyAlignment="1" applyBorder="1" applyFont="1">
      <alignment horizontal="center" vertical="center"/>
    </xf>
    <xf borderId="0" fillId="0" fontId="3" numFmtId="9" xfId="0" applyFont="1" applyNumberFormat="1"/>
    <xf borderId="0" fillId="0" fontId="3" numFmtId="168" xfId="0" applyAlignment="1" applyFont="1" applyNumberFormat="1">
      <alignment horizontal="center" vertical="center"/>
    </xf>
    <xf borderId="50" fillId="0" fontId="16" numFmtId="0" xfId="0" applyAlignment="1" applyBorder="1" applyFont="1">
      <alignment vertical="center"/>
    </xf>
    <xf borderId="0" fillId="0" fontId="2" numFmtId="4" xfId="0" applyFont="1" applyNumberFormat="1"/>
    <xf borderId="51" fillId="0" fontId="17" numFmtId="20" xfId="0" applyAlignment="1" applyBorder="1" applyFont="1" applyNumberFormat="1">
      <alignment horizontal="center" vertical="center"/>
    </xf>
    <xf borderId="52" fillId="9" fontId="15" numFmtId="164" xfId="0" applyAlignment="1" applyBorder="1" applyFont="1" applyNumberFormat="1">
      <alignment horizontal="center"/>
    </xf>
    <xf borderId="53" fillId="0" fontId="17" numFmtId="0" xfId="0" applyAlignment="1" applyBorder="1" applyFont="1">
      <alignment horizontal="center" readingOrder="0" vertical="center"/>
    </xf>
    <xf borderId="19" fillId="13" fontId="12" numFmtId="0" xfId="0" applyBorder="1" applyFill="1" applyFont="1"/>
    <xf borderId="19" fillId="13" fontId="12" numFmtId="9" xfId="0" applyBorder="1" applyFont="1" applyNumberFormat="1"/>
    <xf borderId="54" fillId="6" fontId="12" numFmtId="0" xfId="0" applyAlignment="1" applyBorder="1" applyFont="1">
      <alignment horizontal="center"/>
    </xf>
    <xf borderId="55" fillId="14" fontId="14" numFmtId="0" xfId="0" applyAlignment="1" applyBorder="1" applyFill="1" applyFont="1">
      <alignment shrinkToFit="0" wrapText="1"/>
    </xf>
    <xf borderId="54" fillId="6" fontId="12" numFmtId="17" xfId="0" applyAlignment="1" applyBorder="1" applyFont="1" applyNumberFormat="1">
      <alignment horizontal="center"/>
    </xf>
    <xf borderId="0" fillId="0" fontId="1" numFmtId="169" xfId="0" applyAlignment="1" applyFont="1" applyNumberFormat="1">
      <alignment horizontal="center" readingOrder="0" vertical="center"/>
    </xf>
    <xf borderId="56" fillId="14" fontId="14" numFmtId="9" xfId="0" applyAlignment="1" applyBorder="1" applyFont="1" applyNumberFormat="1">
      <alignment horizontal="center" shrinkToFit="0" wrapText="1"/>
    </xf>
    <xf borderId="57" fillId="6" fontId="12" numFmtId="17" xfId="0" applyAlignment="1" applyBorder="1" applyFont="1" applyNumberFormat="1">
      <alignment horizontal="center"/>
    </xf>
    <xf borderId="58" fillId="14" fontId="14" numFmtId="9" xfId="0" applyAlignment="1" applyBorder="1" applyFont="1" applyNumberFormat="1">
      <alignment horizontal="center" shrinkToFit="0" wrapText="1"/>
    </xf>
    <xf borderId="0" fillId="0" fontId="12" numFmtId="17" xfId="0" applyAlignment="1" applyFont="1" applyNumberFormat="1">
      <alignment horizontal="center"/>
    </xf>
    <xf borderId="0" fillId="0" fontId="3" numFmtId="17" xfId="0" applyFont="1" applyNumberFormat="1"/>
    <xf borderId="54" fillId="7" fontId="13" numFmtId="0" xfId="0" applyAlignment="1" applyBorder="1" applyFont="1">
      <alignment horizontal="right"/>
    </xf>
    <xf borderId="59" fillId="14" fontId="14" numFmtId="9" xfId="0" applyAlignment="1" applyBorder="1" applyFont="1" applyNumberFormat="1">
      <alignment horizontal="center" shrinkToFit="0" wrapText="1"/>
    </xf>
    <xf borderId="39" fillId="14" fontId="14" numFmtId="9" xfId="0" applyAlignment="1" applyBorder="1" applyFont="1" applyNumberFormat="1">
      <alignment horizontal="center" shrinkToFit="0" wrapText="1"/>
    </xf>
    <xf borderId="40" fillId="14" fontId="14" numFmtId="9" xfId="0" applyAlignment="1" applyBorder="1" applyFont="1" applyNumberFormat="1">
      <alignment horizontal="center" shrinkToFit="0" wrapText="1"/>
    </xf>
    <xf borderId="0" fillId="0" fontId="2" numFmtId="164" xfId="0" applyAlignment="1" applyFont="1" applyNumberFormat="1">
      <alignment horizontal="left" vertical="center"/>
    </xf>
    <xf borderId="5" fillId="0" fontId="1" numFmtId="164" xfId="0" applyAlignment="1" applyBorder="1" applyFont="1" applyNumberFormat="1">
      <alignment horizontal="center" vertical="bottom"/>
    </xf>
    <xf borderId="19" fillId="15" fontId="2" numFmtId="164" xfId="0" applyBorder="1" applyFill="1" applyFont="1" applyNumberFormat="1"/>
    <xf borderId="0" fillId="0" fontId="3" numFmtId="164" xfId="0" applyAlignment="1" applyFont="1" applyNumberFormat="1">
      <alignment horizontal="left"/>
    </xf>
    <xf borderId="0" fillId="0" fontId="3" numFmtId="10" xfId="0" applyAlignment="1" applyFont="1" applyNumberFormat="1">
      <alignment horizontal="center"/>
    </xf>
    <xf borderId="38" fillId="14" fontId="14" numFmtId="0" xfId="0" applyAlignment="1" applyBorder="1" applyFont="1">
      <alignment shrinkToFit="0" wrapText="1"/>
    </xf>
    <xf borderId="0" fillId="0" fontId="3" numFmtId="17" xfId="0" applyAlignment="1" applyFont="1" applyNumberFormat="1">
      <alignment horizontal="left"/>
    </xf>
    <xf borderId="0" fillId="0" fontId="3" numFmtId="17" xfId="0" applyAlignment="1" applyFont="1" applyNumberFormat="1">
      <alignment horizontal="center"/>
    </xf>
    <xf borderId="47" fillId="14" fontId="14" numFmtId="9" xfId="0" applyAlignment="1" applyBorder="1" applyFont="1" applyNumberFormat="1">
      <alignment horizontal="center" shrinkToFit="0" wrapText="1"/>
    </xf>
    <xf borderId="0" fillId="0" fontId="18" numFmtId="0" xfId="0" applyFont="1"/>
    <xf borderId="60" fillId="16" fontId="18" numFmtId="0" xfId="0" applyAlignment="1" applyBorder="1" applyFill="1" applyFont="1">
      <alignment vertical="bottom"/>
    </xf>
    <xf borderId="0" fillId="0" fontId="2" numFmtId="1" xfId="0" applyAlignment="1" applyFont="1" applyNumberFormat="1">
      <alignment horizontal="left"/>
    </xf>
    <xf borderId="23" fillId="16" fontId="18" numFmtId="164" xfId="0" applyAlignment="1" applyBorder="1" applyFont="1" applyNumberFormat="1">
      <alignment horizontal="center" vertical="bottom"/>
    </xf>
    <xf borderId="19" fillId="16" fontId="18" numFmtId="164" xfId="0" applyAlignment="1" applyBorder="1" applyFont="1" applyNumberFormat="1">
      <alignment horizontal="center" vertical="bottom"/>
    </xf>
    <xf borderId="19" fillId="16" fontId="18" numFmtId="9" xfId="0" applyAlignment="1" applyBorder="1" applyFont="1" applyNumberFormat="1">
      <alignment horizontal="center" vertical="bottom"/>
    </xf>
    <xf borderId="0" fillId="0" fontId="3" numFmtId="164" xfId="0" applyFont="1" applyNumberFormat="1"/>
    <xf borderId="25" fillId="16" fontId="18" numFmtId="9" xfId="0" applyAlignment="1" applyBorder="1" applyFont="1" applyNumberFormat="1">
      <alignment horizontal="center" vertical="bottom"/>
    </xf>
    <xf borderId="19" fillId="5" fontId="18" numFmtId="0" xfId="0" applyBorder="1" applyFont="1"/>
    <xf borderId="38" fillId="9" fontId="15" numFmtId="0" xfId="0" applyAlignment="1" applyBorder="1" applyFont="1">
      <alignment vertical="bottom"/>
    </xf>
    <xf borderId="61" fillId="9" fontId="15" numFmtId="164" xfId="0" applyAlignment="1" applyBorder="1" applyFont="1" applyNumberFormat="1">
      <alignment horizontal="center" vertical="bottom"/>
    </xf>
    <xf borderId="40" fillId="9" fontId="15" numFmtId="164" xfId="0" applyAlignment="1" applyBorder="1" applyFont="1" applyNumberFormat="1">
      <alignment horizontal="center" vertical="bottom"/>
    </xf>
    <xf borderId="52" fillId="9" fontId="15" numFmtId="164" xfId="0" applyAlignment="1" applyBorder="1" applyFont="1" applyNumberFormat="1">
      <alignment horizontal="center" vertical="bottom"/>
    </xf>
    <xf borderId="40" fillId="9" fontId="15" numFmtId="9" xfId="0" applyAlignment="1" applyBorder="1" applyFont="1" applyNumberFormat="1">
      <alignment horizontal="center" vertical="bottom"/>
    </xf>
    <xf borderId="47" fillId="9" fontId="15" numFmtId="9" xfId="0" applyAlignment="1" applyBorder="1" applyFont="1" applyNumberFormat="1">
      <alignment horizontal="center" vertical="bottom"/>
    </xf>
    <xf borderId="39" fillId="9" fontId="15" numFmtId="164" xfId="0" applyAlignment="1" applyBorder="1" applyFont="1" applyNumberFormat="1">
      <alignment horizontal="center" vertical="bottom"/>
    </xf>
    <xf borderId="38" fillId="9" fontId="15" numFmtId="164" xfId="0" applyAlignment="1" applyBorder="1" applyFont="1" applyNumberFormat="1">
      <alignment horizontal="center" vertical="bottom"/>
    </xf>
    <xf borderId="19" fillId="17" fontId="3" numFmtId="164" xfId="0" applyAlignment="1" applyBorder="1" applyFill="1" applyFont="1" applyNumberFormat="1">
      <alignment horizontal="center" vertical="center"/>
    </xf>
    <xf borderId="19" fillId="17" fontId="2" numFmtId="164" xfId="0" applyAlignment="1" applyBorder="1" applyFont="1" applyNumberFormat="1">
      <alignment horizontal="center" vertical="center"/>
    </xf>
    <xf borderId="38" fillId="14" fontId="14" numFmtId="0" xfId="0" applyAlignment="1" applyBorder="1" applyFont="1">
      <alignment shrinkToFit="0" vertical="bottom" wrapText="1"/>
    </xf>
    <xf borderId="40" fillId="14" fontId="14" numFmtId="9" xfId="0" applyAlignment="1" applyBorder="1" applyFont="1" applyNumberFormat="1">
      <alignment horizontal="center" shrinkToFit="0" vertical="bottom" wrapText="1"/>
    </xf>
    <xf borderId="62" fillId="14" fontId="14" numFmtId="9" xfId="0" applyAlignment="1" applyBorder="1" applyFont="1" applyNumberFormat="1">
      <alignment horizontal="center" shrinkToFit="0" vertical="bottom" wrapText="1"/>
    </xf>
    <xf borderId="47" fillId="14" fontId="14" numFmtId="9" xfId="0" applyAlignment="1" applyBorder="1" applyFont="1" applyNumberFormat="1">
      <alignment horizontal="center" shrinkToFit="0" vertical="bottom" wrapText="1"/>
    </xf>
    <xf borderId="39" fillId="14" fontId="19" numFmtId="9" xfId="0" applyAlignment="1" applyBorder="1" applyFont="1" applyNumberFormat="1">
      <alignment horizontal="center" shrinkToFit="0" vertical="bottom" wrapText="1"/>
    </xf>
    <xf borderId="63" fillId="0" fontId="20" numFmtId="0" xfId="0" applyAlignment="1" applyBorder="1" applyFont="1">
      <alignment vertical="bottom"/>
    </xf>
    <xf borderId="64" fillId="0" fontId="1" numFmtId="0" xfId="0" applyAlignment="1" applyBorder="1" applyFont="1">
      <alignment vertical="bottom"/>
    </xf>
    <xf borderId="65" fillId="0" fontId="21" numFmtId="168" xfId="0" applyAlignment="1" applyBorder="1" applyFont="1" applyNumberFormat="1">
      <alignment horizontal="right" readingOrder="0"/>
    </xf>
    <xf borderId="0" fillId="0" fontId="1" numFmtId="164" xfId="0" applyFont="1" applyNumberFormat="1"/>
    <xf borderId="65" fillId="0" fontId="21" numFmtId="170" xfId="0" applyAlignment="1" applyBorder="1" applyFont="1" applyNumberFormat="1">
      <alignment horizontal="right" readingOrder="0"/>
    </xf>
    <xf borderId="0" fillId="0" fontId="1" numFmtId="170" xfId="0" applyFont="1" applyNumberFormat="1"/>
    <xf borderId="65" fillId="0" fontId="21" numFmtId="170" xfId="0" applyAlignment="1" applyBorder="1" applyFont="1" applyNumberFormat="1">
      <alignment horizontal="right"/>
    </xf>
    <xf borderId="65" fillId="0" fontId="1" numFmtId="0" xfId="0" applyAlignment="1" applyBorder="1" applyFont="1">
      <alignment vertical="bottom"/>
    </xf>
    <xf borderId="65" fillId="0" fontId="21" numFmtId="4" xfId="0" applyAlignment="1" applyBorder="1" applyFont="1" applyNumberFormat="1">
      <alignment horizontal="right" readingOrder="0"/>
    </xf>
    <xf borderId="65" fillId="0" fontId="21" numFmtId="4" xfId="0" applyAlignment="1" applyBorder="1" applyFont="1" applyNumberFormat="1">
      <alignment horizontal="right"/>
    </xf>
    <xf borderId="0" fillId="0" fontId="1" numFmtId="0" xfId="0" applyAlignment="1" applyFont="1">
      <alignment vertical="bottom"/>
    </xf>
    <xf borderId="65" fillId="0" fontId="22" numFmtId="170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right" vertical="center"/>
    </xf>
    <xf borderId="0" fillId="0" fontId="1" numFmtId="9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20" fillId="18" fontId="23" numFmtId="0" xfId="0" applyAlignment="1" applyBorder="1" applyFill="1" applyFont="1">
      <alignment horizontal="center" shrinkToFit="0" vertical="center" wrapText="1"/>
    </xf>
    <xf borderId="66" fillId="0" fontId="6" numFmtId="0" xfId="0" applyBorder="1" applyFont="1"/>
    <xf borderId="67" fillId="0" fontId="6" numFmtId="0" xfId="0" applyBorder="1" applyFont="1"/>
    <xf borderId="0" fillId="0" fontId="12" numFmtId="10" xfId="0" applyAlignment="1" applyFont="1" applyNumberFormat="1">
      <alignment horizontal="center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0" fontId="15" numFmtId="0" xfId="0" applyAlignment="1" applyFont="1">
      <alignment readingOrder="0" vertical="center"/>
    </xf>
    <xf borderId="10" fillId="0" fontId="15" numFmtId="164" xfId="0" applyAlignment="1" applyBorder="1" applyFont="1" applyNumberFormat="1">
      <alignment horizontal="center" readingOrder="0" vertical="center"/>
    </xf>
    <xf borderId="0" fillId="0" fontId="15" numFmtId="9" xfId="0" applyAlignment="1" applyFont="1" applyNumberFormat="1">
      <alignment horizontal="center" vertical="center"/>
    </xf>
    <xf borderId="27" fillId="0" fontId="15" numFmtId="9" xfId="0" applyAlignment="1" applyBorder="1" applyFont="1" applyNumberFormat="1">
      <alignment horizontal="center" vertical="center"/>
    </xf>
    <xf borderId="0" fillId="0" fontId="15" numFmtId="164" xfId="0" applyAlignment="1" applyFont="1" applyNumberFormat="1">
      <alignment horizontal="center" readingOrder="0" vertical="center"/>
    </xf>
    <xf borderId="68" fillId="8" fontId="7" numFmtId="0" xfId="0" applyAlignment="1" applyBorder="1" applyFont="1">
      <alignment horizontal="center" vertical="bottom"/>
    </xf>
    <xf borderId="19" fillId="6" fontId="12" numFmtId="169" xfId="0" applyAlignment="1" applyBorder="1" applyFont="1" applyNumberFormat="1">
      <alignment horizontal="center"/>
    </xf>
    <xf borderId="69" fillId="8" fontId="7" numFmtId="9" xfId="0" applyAlignment="1" applyBorder="1" applyFont="1" applyNumberFormat="1">
      <alignment horizontal="center" vertical="bottom"/>
    </xf>
    <xf borderId="70" fillId="8" fontId="7" numFmtId="9" xfId="0" applyAlignment="1" applyBorder="1" applyFont="1" applyNumberFormat="1">
      <alignment horizontal="center" vertical="bottom"/>
    </xf>
    <xf borderId="70" fillId="8" fontId="1" numFmtId="0" xfId="0" applyAlignment="1" applyBorder="1" applyFont="1">
      <alignment vertical="bottom"/>
    </xf>
    <xf borderId="71" fillId="8" fontId="1" numFmtId="0" xfId="0" applyAlignment="1" applyBorder="1" applyFont="1">
      <alignment vertical="bottom"/>
    </xf>
    <xf borderId="0" fillId="0" fontId="15" numFmtId="167" xfId="0" applyAlignment="1" applyFont="1" applyNumberFormat="1">
      <alignment horizontal="center" vertical="center"/>
    </xf>
    <xf borderId="0" fillId="14" fontId="24" numFmtId="0" xfId="0" applyAlignment="1" applyFont="1">
      <alignment horizontal="left" shrinkToFit="0" vertical="center" wrapText="1"/>
    </xf>
    <xf borderId="10" fillId="14" fontId="24" numFmtId="9" xfId="0" applyAlignment="1" applyBorder="1" applyFont="1" applyNumberFormat="1">
      <alignment horizontal="center" shrinkToFit="0" vertical="center" wrapText="1"/>
    </xf>
    <xf borderId="0" fillId="14" fontId="24" numFmtId="9" xfId="0" applyAlignment="1" applyFont="1" applyNumberFormat="1">
      <alignment horizontal="center" shrinkToFit="0" vertical="center" wrapText="1"/>
    </xf>
    <xf borderId="27" fillId="14" fontId="24" numFmtId="9" xfId="0" applyAlignment="1" applyBorder="1" applyFont="1" applyNumberFormat="1">
      <alignment horizontal="center" shrinkToFit="0" vertical="center" wrapText="1"/>
    </xf>
    <xf borderId="72" fillId="11" fontId="7" numFmtId="0" xfId="0" applyAlignment="1" applyBorder="1" applyFont="1">
      <alignment horizontal="center" shrinkToFit="0" vertical="center" wrapText="1"/>
    </xf>
    <xf borderId="73" fillId="11" fontId="5" numFmtId="0" xfId="0" applyAlignment="1" applyBorder="1" applyFont="1">
      <alignment horizontal="center" readingOrder="0" vertical="center"/>
    </xf>
    <xf borderId="74" fillId="0" fontId="6" numFmtId="0" xfId="0" applyBorder="1" applyFont="1"/>
    <xf borderId="75" fillId="0" fontId="6" numFmtId="0" xfId="0" applyBorder="1" applyFont="1"/>
    <xf borderId="76" fillId="11" fontId="7" numFmtId="0" xfId="0" applyAlignment="1" applyBorder="1" applyFont="1">
      <alignment horizontal="center" readingOrder="0" vertical="center"/>
    </xf>
    <xf borderId="77" fillId="0" fontId="6" numFmtId="0" xfId="0" applyBorder="1" applyFont="1"/>
    <xf borderId="78" fillId="0" fontId="6" numFmtId="0" xfId="0" applyBorder="1" applyFont="1"/>
    <xf borderId="79" fillId="0" fontId="6" numFmtId="0" xfId="0" applyBorder="1" applyFont="1"/>
    <xf borderId="80" fillId="11" fontId="7" numFmtId="0" xfId="0" applyAlignment="1" applyBorder="1" applyFont="1">
      <alignment horizontal="center" readingOrder="0" shrinkToFit="0" vertical="center" wrapText="1"/>
    </xf>
    <xf borderId="34" fillId="11" fontId="7" numFmtId="0" xfId="0" applyAlignment="1" applyBorder="1" applyFont="1">
      <alignment horizontal="center" readingOrder="0" shrinkToFit="0" vertical="center" wrapText="1"/>
    </xf>
    <xf borderId="19" fillId="11" fontId="7" numFmtId="0" xfId="0" applyAlignment="1" applyBorder="1" applyFont="1">
      <alignment horizontal="center" readingOrder="0" shrinkToFit="0" vertical="center" wrapText="1"/>
    </xf>
    <xf borderId="19" fillId="11" fontId="5" numFmtId="0" xfId="0" applyAlignment="1" applyBorder="1" applyFont="1">
      <alignment horizontal="center" readingOrder="0" shrinkToFit="0" vertical="center" wrapText="1"/>
    </xf>
    <xf borderId="81" fillId="11" fontId="7" numFmtId="0" xfId="0" applyAlignment="1" applyBorder="1" applyFont="1">
      <alignment horizontal="center" readingOrder="0" shrinkToFit="0" vertical="center" wrapText="1"/>
    </xf>
    <xf borderId="80" fillId="11" fontId="5" numFmtId="0" xfId="0" applyAlignment="1" applyBorder="1" applyFont="1">
      <alignment horizontal="center" readingOrder="0" shrinkToFit="0" vertical="center" wrapText="1"/>
    </xf>
    <xf borderId="34" fillId="11" fontId="5" numFmtId="0" xfId="0" applyAlignment="1" applyBorder="1" applyFont="1">
      <alignment horizontal="center" readingOrder="0" shrinkToFit="0" vertical="center" wrapText="1"/>
    </xf>
    <xf borderId="81" fillId="11" fontId="5" numFmtId="0" xfId="0" applyAlignment="1" applyBorder="1" applyFont="1">
      <alignment horizontal="center" readingOrder="0" shrinkToFit="0" vertical="center" wrapText="1"/>
    </xf>
    <xf borderId="82" fillId="0" fontId="1" numFmtId="0" xfId="0" applyBorder="1" applyFont="1"/>
    <xf borderId="0" fillId="0" fontId="2" numFmtId="164" xfId="0" applyAlignment="1" applyFont="1" applyNumberFormat="1">
      <alignment horizontal="left"/>
    </xf>
    <xf borderId="0" fillId="0" fontId="1" numFmtId="9" xfId="0" applyAlignment="1" applyFont="1" applyNumberFormat="1">
      <alignment horizontal="center"/>
    </xf>
    <xf borderId="83" fillId="0" fontId="1" numFmtId="9" xfId="0" applyAlignment="1" applyBorder="1" applyFont="1" applyNumberFormat="1">
      <alignment horizontal="center"/>
    </xf>
    <xf borderId="19" fillId="15" fontId="2" numFmtId="164" xfId="0" applyAlignment="1" applyBorder="1" applyFont="1" applyNumberFormat="1">
      <alignment horizontal="left"/>
    </xf>
    <xf borderId="29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14" fontId="24" numFmtId="0" xfId="0" applyAlignment="1" applyFont="1">
      <alignment shrinkToFit="0" vertical="center" wrapText="1"/>
    </xf>
    <xf borderId="19" fillId="15" fontId="2" numFmtId="1" xfId="0" applyAlignment="1" applyBorder="1" applyFont="1" applyNumberFormat="1">
      <alignment horizontal="left"/>
    </xf>
    <xf borderId="82" fillId="0" fontId="1" numFmtId="0" xfId="0" applyAlignment="1" applyBorder="1" applyFont="1">
      <alignment readingOrder="0"/>
    </xf>
    <xf borderId="0" fillId="4" fontId="24" numFmtId="0" xfId="0" applyAlignment="1" applyFont="1">
      <alignment horizontal="left" vertical="center"/>
    </xf>
    <xf borderId="10" fillId="4" fontId="24" numFmtId="164" xfId="0" applyAlignment="1" applyBorder="1" applyFont="1" applyNumberFormat="1">
      <alignment horizontal="center" vertical="center"/>
    </xf>
    <xf borderId="0" fillId="4" fontId="24" numFmtId="164" xfId="0" applyAlignment="1" applyFont="1" applyNumberFormat="1">
      <alignment horizontal="center" vertical="center"/>
    </xf>
    <xf borderId="0" fillId="4" fontId="24" numFmtId="9" xfId="0" applyAlignment="1" applyFont="1" applyNumberFormat="1">
      <alignment horizontal="center" vertical="center"/>
    </xf>
    <xf borderId="27" fillId="4" fontId="24" numFmtId="167" xfId="0" applyAlignment="1" applyBorder="1" applyFont="1" applyNumberFormat="1">
      <alignment horizontal="center" vertical="center"/>
    </xf>
    <xf borderId="29" fillId="0" fontId="1" numFmtId="169" xfId="0" applyAlignment="1" applyBorder="1" applyFont="1" applyNumberFormat="1">
      <alignment horizontal="center" readingOrder="0" vertical="center"/>
    </xf>
    <xf borderId="83" fillId="0" fontId="1" numFmtId="169" xfId="0" applyAlignment="1" applyBorder="1" applyFont="1" applyNumberFormat="1">
      <alignment horizontal="center" readingOrder="0"/>
    </xf>
    <xf borderId="7" fillId="0" fontId="25" numFmtId="169" xfId="0" applyAlignment="1" applyBorder="1" applyFont="1" applyNumberFormat="1">
      <alignment horizontal="center" readingOrder="0" vertical="bottom"/>
    </xf>
    <xf borderId="0" fillId="4" fontId="24" numFmtId="167" xfId="0" applyAlignment="1" applyFont="1" applyNumberFormat="1">
      <alignment horizontal="center" vertical="center"/>
    </xf>
    <xf borderId="0" fillId="0" fontId="23" numFmtId="0" xfId="0" applyAlignment="1" applyFont="1">
      <alignment shrinkToFit="0" vertical="center" wrapText="1"/>
    </xf>
    <xf borderId="0" fillId="0" fontId="23" numFmtId="9" xfId="0" applyAlignment="1" applyFont="1" applyNumberFormat="1">
      <alignment horizontal="center" shrinkToFit="0" vertical="center" wrapText="1"/>
    </xf>
    <xf borderId="63" fillId="0" fontId="20" numFmtId="0" xfId="0" applyBorder="1" applyFont="1"/>
    <xf borderId="36" fillId="19" fontId="3" numFmtId="164" xfId="0" applyAlignment="1" applyBorder="1" applyFill="1" applyFont="1" applyNumberFormat="1">
      <alignment horizontal="center" vertical="center"/>
    </xf>
    <xf borderId="64" fillId="0" fontId="1" numFmtId="0" xfId="0" applyBorder="1" applyFont="1"/>
    <xf borderId="36" fillId="19" fontId="2" numFmtId="164" xfId="0" applyAlignment="1" applyBorder="1" applyFont="1" applyNumberFormat="1">
      <alignment horizontal="center" vertical="center"/>
    </xf>
    <xf borderId="65" fillId="0" fontId="26" numFmtId="170" xfId="0" applyAlignment="1" applyBorder="1" applyFont="1" applyNumberFormat="1">
      <alignment horizontal="right" readingOrder="0" vertical="center"/>
    </xf>
    <xf borderId="0" fillId="0" fontId="27" numFmtId="170" xfId="0" applyAlignment="1" applyFont="1" applyNumberFormat="1">
      <alignment horizontal="right" vertical="center"/>
    </xf>
    <xf borderId="65" fillId="0" fontId="1" numFmtId="0" xfId="0" applyBorder="1" applyFont="1"/>
    <xf borderId="84" fillId="0" fontId="3" numFmtId="164" xfId="0" applyAlignment="1" applyBorder="1" applyFont="1" applyNumberFormat="1">
      <alignment horizontal="center" vertical="center"/>
    </xf>
    <xf borderId="84" fillId="0" fontId="2" numFmtId="164" xfId="0" applyAlignment="1" applyBorder="1" applyFont="1" applyNumberFormat="1">
      <alignment horizontal="center" vertical="center"/>
    </xf>
    <xf borderId="65" fillId="0" fontId="26" numFmtId="170" xfId="0" applyAlignment="1" applyBorder="1" applyFont="1" applyNumberFormat="1">
      <alignment horizontal="right" vertical="center"/>
    </xf>
    <xf borderId="0" fillId="0" fontId="20" numFmtId="0" xfId="0" applyFont="1"/>
    <xf borderId="0" fillId="0" fontId="1" numFmtId="9" xfId="0" applyFont="1" applyNumberFormat="1"/>
    <xf borderId="85" fillId="16" fontId="18" numFmtId="0" xfId="0" applyBorder="1" applyFont="1"/>
    <xf borderId="80" fillId="16" fontId="18" numFmtId="164" xfId="0" applyAlignment="1" applyBorder="1" applyFont="1" applyNumberFormat="1">
      <alignment horizontal="center" vertical="center"/>
    </xf>
    <xf borderId="86" fillId="16" fontId="18" numFmtId="164" xfId="0" applyAlignment="1" applyBorder="1" applyFont="1" applyNumberFormat="1">
      <alignment horizontal="center" vertical="center"/>
    </xf>
    <xf borderId="19" fillId="16" fontId="18" numFmtId="164" xfId="0" applyAlignment="1" applyBorder="1" applyFont="1" applyNumberFormat="1">
      <alignment horizontal="center" vertical="center"/>
    </xf>
    <xf borderId="65" fillId="0" fontId="28" numFmtId="170" xfId="0" applyAlignment="1" applyBorder="1" applyFont="1" applyNumberFormat="1">
      <alignment horizontal="right" vertical="center"/>
    </xf>
    <xf borderId="0" fillId="20" fontId="18" numFmtId="9" xfId="0" applyAlignment="1" applyFill="1" applyFont="1" applyNumberFormat="1">
      <alignment horizontal="center"/>
    </xf>
    <xf borderId="81" fillId="16" fontId="18" numFmtId="9" xfId="0" applyAlignment="1" applyBorder="1" applyFont="1" applyNumberFormat="1">
      <alignment horizontal="center"/>
    </xf>
    <xf borderId="84" fillId="0" fontId="20" numFmtId="0" xfId="0" applyBorder="1" applyFont="1"/>
    <xf borderId="19" fillId="16" fontId="18" numFmtId="9" xfId="0" applyAlignment="1" applyBorder="1" applyFont="1" applyNumberFormat="1">
      <alignment horizontal="center"/>
    </xf>
    <xf borderId="19" fillId="5" fontId="20" numFmtId="0" xfId="0" applyBorder="1" applyFont="1"/>
    <xf borderId="19" fillId="19" fontId="1" numFmtId="9" xfId="0" applyAlignment="1" applyBorder="1" applyFont="1" applyNumberFormat="1">
      <alignment horizontal="center"/>
    </xf>
    <xf borderId="19" fillId="19" fontId="1" numFmtId="9" xfId="0" applyBorder="1" applyFont="1" applyNumberFormat="1"/>
    <xf borderId="20" fillId="19" fontId="1" numFmtId="0" xfId="0" applyAlignment="1" applyBorder="1" applyFont="1">
      <alignment horizontal="center"/>
    </xf>
    <xf borderId="0" fillId="0" fontId="29" numFmtId="0" xfId="0" applyAlignment="1" applyFont="1">
      <alignment readingOrder="0"/>
    </xf>
    <xf borderId="0" fillId="0" fontId="1" numFmtId="14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19" fillId="4" fontId="31" numFmtId="0" xfId="0" applyAlignment="1" applyBorder="1" applyFont="1">
      <alignment horizontal="center" readingOrder="0" shrinkToFit="0" vertical="center" wrapText="1"/>
    </xf>
    <xf borderId="0" fillId="21" fontId="1" numFmtId="0" xfId="0" applyFill="1" applyFont="1"/>
    <xf borderId="0" fillId="0" fontId="32" numFmtId="0" xfId="0" applyAlignment="1" applyFont="1">
      <alignment horizontal="left" shrinkToFit="0" vertical="center" wrapText="1"/>
    </xf>
    <xf borderId="82" fillId="21" fontId="1" numFmtId="0" xfId="0" applyBorder="1" applyFont="1"/>
    <xf borderId="29" fillId="21" fontId="1" numFmtId="164" xfId="0" applyAlignment="1" applyBorder="1" applyFont="1" applyNumberFormat="1">
      <alignment horizontal="center" readingOrder="0" vertical="center"/>
    </xf>
    <xf borderId="0" fillId="0" fontId="32" numFmtId="3" xfId="0" applyAlignment="1" applyFont="1" applyNumberFormat="1">
      <alignment horizontal="center" readingOrder="0" shrinkToFit="0" vertical="center" wrapText="1"/>
    </xf>
    <xf borderId="0" fillId="21" fontId="1" numFmtId="164" xfId="0" applyAlignment="1" applyFont="1" applyNumberFormat="1">
      <alignment horizontal="center" readingOrder="0" vertical="center"/>
    </xf>
    <xf borderId="0" fillId="21" fontId="1" numFmtId="9" xfId="0" applyAlignment="1" applyFont="1" applyNumberFormat="1">
      <alignment horizontal="center"/>
    </xf>
    <xf borderId="0" fillId="0" fontId="32" numFmtId="10" xfId="0" applyAlignment="1" applyFont="1" applyNumberFormat="1">
      <alignment horizontal="center" readingOrder="0" shrinkToFit="0" vertical="center" wrapText="1"/>
    </xf>
    <xf borderId="83" fillId="21" fontId="1" numFmtId="9" xfId="0" applyAlignment="1" applyBorder="1" applyFont="1" applyNumberFormat="1">
      <alignment horizontal="center"/>
    </xf>
    <xf borderId="0" fillId="0" fontId="1" numFmtId="10" xfId="0" applyFont="1" applyNumberFormat="1"/>
    <xf borderId="0" fillId="0" fontId="32" numFmtId="10" xfId="0" applyAlignment="1" applyFont="1" applyNumberFormat="1">
      <alignment horizontal="center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32" numFmtId="164" xfId="0" applyAlignment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/>
    </xf>
    <xf borderId="0" fillId="0" fontId="32" numFmtId="164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/>
    </xf>
    <xf quotePrefix="1"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10" xfId="0" applyFont="1" applyNumberFormat="1"/>
    <xf borderId="87" fillId="11" fontId="7" numFmtId="0" xfId="0" applyAlignment="1" applyBorder="1" applyFont="1">
      <alignment horizontal="center" vertical="center"/>
    </xf>
    <xf borderId="88" fillId="11" fontId="7" numFmtId="9" xfId="0" applyAlignment="1" applyBorder="1" applyFont="1" applyNumberFormat="1">
      <alignment horizontal="center" vertical="center"/>
    </xf>
    <xf borderId="89" fillId="11" fontId="7" numFmtId="9" xfId="0" applyAlignment="1" applyBorder="1" applyFont="1" applyNumberFormat="1">
      <alignment horizontal="center" vertical="center"/>
    </xf>
    <xf borderId="89" fillId="11" fontId="33" numFmtId="0" xfId="0" applyAlignment="1" applyBorder="1" applyFont="1">
      <alignment horizontal="center" vertical="center"/>
    </xf>
    <xf borderId="90" fillId="11" fontId="33" numFmtId="0" xfId="0" applyAlignment="1" applyBorder="1" applyFont="1">
      <alignment horizontal="center" vertical="center"/>
    </xf>
    <xf borderId="91" fillId="11" fontId="7" numFmtId="0" xfId="0" applyAlignment="1" applyBorder="1" applyFont="1">
      <alignment horizontal="center" shrinkToFit="0" vertical="center" wrapText="1"/>
    </xf>
    <xf borderId="36" fillId="22" fontId="3" numFmtId="164" xfId="0" applyAlignment="1" applyBorder="1" applyFill="1" applyFont="1" applyNumberFormat="1">
      <alignment horizontal="center" vertical="center"/>
    </xf>
    <xf borderId="92" fillId="11" fontId="5" numFmtId="0" xfId="0" applyAlignment="1" applyBorder="1" applyFont="1">
      <alignment horizontal="center" readingOrder="0" vertical="center"/>
    </xf>
    <xf borderId="36" fillId="22" fontId="2" numFmtId="164" xfId="0" applyAlignment="1" applyBorder="1" applyFont="1" applyNumberFormat="1">
      <alignment horizontal="center" vertical="center"/>
    </xf>
    <xf borderId="93" fillId="0" fontId="6" numFmtId="0" xfId="0" applyBorder="1" applyFont="1"/>
    <xf borderId="19" fillId="21" fontId="3" numFmtId="164" xfId="0" applyAlignment="1" applyBorder="1" applyFont="1" applyNumberFormat="1">
      <alignment horizontal="center" vertical="center"/>
    </xf>
    <xf borderId="94" fillId="0" fontId="1" numFmtId="0" xfId="0" applyBorder="1" applyFont="1"/>
    <xf borderId="94" fillId="0" fontId="1" numFmtId="164" xfId="0" applyAlignment="1" applyBorder="1" applyFont="1" applyNumberFormat="1">
      <alignment horizontal="center" vertical="center"/>
    </xf>
    <xf borderId="94" fillId="0" fontId="1" numFmtId="0" xfId="0" applyAlignment="1" applyBorder="1" applyFont="1">
      <alignment readingOrder="0"/>
    </xf>
    <xf borderId="95" fillId="16" fontId="18" numFmtId="0" xfId="0" applyBorder="1" applyFont="1"/>
    <xf borderId="95" fillId="16" fontId="18" numFmtId="164" xfId="0" applyAlignment="1" applyBorder="1" applyFont="1" applyNumberFormat="1">
      <alignment horizontal="center" vertical="center"/>
    </xf>
    <xf borderId="58" fillId="16" fontId="18" numFmtId="164" xfId="0" applyAlignment="1" applyBorder="1" applyFont="1" applyNumberFormat="1">
      <alignment horizontal="center" vertical="center"/>
    </xf>
    <xf borderId="96" fillId="0" fontId="1" numFmtId="9" xfId="0" applyAlignment="1" applyBorder="1" applyFont="1" applyNumberFormat="1">
      <alignment horizontal="center"/>
    </xf>
    <xf borderId="94" fillId="21" fontId="1" numFmtId="164" xfId="0" applyAlignment="1" applyBorder="1" applyFont="1" applyNumberFormat="1">
      <alignment horizontal="center" vertical="center"/>
    </xf>
    <xf borderId="0" fillId="21" fontId="1" numFmtId="164" xfId="0" applyAlignment="1" applyFont="1" applyNumberFormat="1">
      <alignment horizontal="center" vertical="center"/>
    </xf>
    <xf borderId="96" fillId="21" fontId="1" numFmtId="9" xfId="0" applyAlignment="1" applyBorder="1" applyFont="1" applyNumberFormat="1">
      <alignment horizontal="center"/>
    </xf>
    <xf borderId="0" fillId="21" fontId="1" numFmtId="9" xfId="0" applyAlignment="1" applyFont="1" applyNumberFormat="1">
      <alignment horizontal="center" vertical="bottom"/>
    </xf>
    <xf borderId="7" fillId="21" fontId="1" numFmtId="9" xfId="0" applyAlignment="1" applyBorder="1" applyFont="1" applyNumberFormat="1">
      <alignment horizontal="center" vertical="bottom"/>
    </xf>
    <xf borderId="94" fillId="21" fontId="25" numFmtId="164" xfId="0" applyAlignment="1" applyBorder="1" applyFont="1" applyNumberFormat="1">
      <alignment horizontal="center" readingOrder="0" vertical="center"/>
    </xf>
    <xf borderId="0" fillId="21" fontId="25" numFmtId="164" xfId="0" applyAlignment="1" applyFont="1" applyNumberFormat="1">
      <alignment horizontal="center" vertical="center"/>
    </xf>
    <xf borderId="0" fillId="21" fontId="25" numFmtId="164" xfId="0" applyAlignment="1" applyFont="1" applyNumberFormat="1">
      <alignment horizontal="center" readingOrder="0" vertical="center"/>
    </xf>
    <xf borderId="97" fillId="11" fontId="7" numFmtId="0" xfId="0" applyAlignment="1" applyBorder="1" applyFont="1">
      <alignment horizontal="center" vertical="center"/>
    </xf>
    <xf borderId="97" fillId="11" fontId="7" numFmtId="9" xfId="0" applyAlignment="1" applyBorder="1" applyFont="1" applyNumberFormat="1">
      <alignment horizontal="center" vertical="center"/>
    </xf>
    <xf borderId="98" fillId="11" fontId="7" numFmtId="9" xfId="0" applyAlignment="1" applyBorder="1" applyFont="1" applyNumberFormat="1">
      <alignment horizontal="center" vertical="center"/>
    </xf>
    <xf borderId="98" fillId="11" fontId="33" numFmtId="0" xfId="0" applyAlignment="1" applyBorder="1" applyFont="1">
      <alignment horizontal="center" vertical="center"/>
    </xf>
    <xf borderId="99" fillId="11" fontId="33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/>
    </xf>
    <xf borderId="13" fillId="4" fontId="7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23" fillId="4" fontId="7" numFmtId="0" xfId="0" applyAlignment="1" applyBorder="1" applyFont="1">
      <alignment horizontal="center" shrinkToFit="0" vertical="center" wrapText="1"/>
    </xf>
    <xf borderId="34" fillId="4" fontId="7" numFmtId="0" xfId="0" applyAlignment="1" applyBorder="1" applyFont="1">
      <alignment horizontal="center" shrinkToFit="0" vertical="center" wrapText="1"/>
    </xf>
    <xf borderId="19" fillId="4" fontId="7" numFmtId="0" xfId="0" applyAlignment="1" applyBorder="1" applyFont="1">
      <alignment horizontal="center" shrinkToFit="0" vertical="center" wrapText="1"/>
    </xf>
    <xf borderId="19" fillId="4" fontId="7" numFmtId="0" xfId="0" applyAlignment="1" applyBorder="1" applyFont="1">
      <alignment horizontal="center"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23" fillId="4" fontId="7" numFmtId="0" xfId="0" applyAlignment="1" applyBorder="1" applyFont="1">
      <alignment horizontal="center" shrinkToFit="0" vertical="center" wrapText="1"/>
    </xf>
    <xf borderId="34" fillId="4" fontId="7" numFmtId="0" xfId="0" applyAlignment="1" applyBorder="1" applyFont="1">
      <alignment horizontal="center" shrinkToFit="0" vertical="center" wrapText="1"/>
    </xf>
    <xf borderId="19" fillId="5" fontId="1" numFmtId="0" xfId="0" applyAlignment="1" applyBorder="1" applyFont="1">
      <alignment readingOrder="0" vertical="center"/>
    </xf>
    <xf borderId="19" fillId="5" fontId="1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5" fillId="0" fontId="1" numFmtId="164" xfId="0" applyAlignment="1" applyBorder="1" applyFont="1" applyNumberFormat="1">
      <alignment horizontal="center" readingOrder="0" vertical="center"/>
    </xf>
    <xf borderId="100" fillId="0" fontId="1" numFmtId="164" xfId="0" applyAlignment="1" applyBorder="1" applyFont="1" applyNumberFormat="1">
      <alignment horizontal="center" readingOrder="0" vertical="center"/>
    </xf>
    <xf borderId="0" fillId="0" fontId="1" numFmtId="9" xfId="0" applyAlignment="1" applyFont="1" applyNumberFormat="1">
      <alignment horizontal="center" vertical="center"/>
    </xf>
    <xf borderId="7" fillId="0" fontId="1" numFmtId="9" xfId="0" applyAlignment="1" applyBorder="1" applyFont="1" applyNumberFormat="1">
      <alignment horizontal="center" vertical="center"/>
    </xf>
    <xf borderId="101" fillId="0" fontId="1" numFmtId="164" xfId="0" applyAlignment="1" applyBorder="1" applyFont="1" applyNumberFormat="1">
      <alignment horizontal="center" readingOrder="0" vertical="center"/>
    </xf>
    <xf borderId="26" fillId="0" fontId="1" numFmtId="0" xfId="0" applyAlignment="1" applyBorder="1" applyFont="1">
      <alignment readingOrder="0" vertical="center"/>
    </xf>
    <xf borderId="5" fillId="0" fontId="1" numFmtId="164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readingOrder="0" vertical="center"/>
    </xf>
    <xf borderId="7" fillId="0" fontId="1" numFmtId="9" xfId="0" applyAlignment="1" applyBorder="1" applyFont="1" applyNumberFormat="1">
      <alignment horizontal="center" readingOrder="0" vertical="center"/>
    </xf>
    <xf borderId="102" fillId="0" fontId="1" numFmtId="164" xfId="0" applyAlignment="1" applyBorder="1" applyFont="1" applyNumberFormat="1">
      <alignment horizontal="center" readingOrder="0" vertical="center"/>
    </xf>
    <xf borderId="60" fillId="23" fontId="18" numFmtId="0" xfId="0" applyAlignment="1" applyBorder="1" applyFill="1" applyFont="1">
      <alignment vertical="center"/>
    </xf>
    <xf borderId="103" fillId="23" fontId="18" numFmtId="164" xfId="0" applyAlignment="1" applyBorder="1" applyFont="1" applyNumberFormat="1">
      <alignment horizontal="center" vertical="center"/>
    </xf>
    <xf borderId="0" fillId="23" fontId="18" numFmtId="164" xfId="0" applyAlignment="1" applyFont="1" applyNumberFormat="1">
      <alignment horizontal="center" vertical="center"/>
    </xf>
    <xf borderId="67" fillId="23" fontId="18" numFmtId="9" xfId="0" applyAlignment="1" applyBorder="1" applyFont="1" applyNumberFormat="1">
      <alignment horizontal="center" vertical="center"/>
    </xf>
    <xf borderId="25" fillId="23" fontId="18" numFmtId="9" xfId="0" applyAlignment="1" applyBorder="1" applyFont="1" applyNumberFormat="1">
      <alignment horizontal="center" vertical="center"/>
    </xf>
    <xf borderId="23" fillId="23" fontId="18" numFmtId="164" xfId="0" applyAlignment="1" applyBorder="1" applyFont="1" applyNumberFormat="1">
      <alignment horizontal="center" vertical="center"/>
    </xf>
    <xf borderId="58" fillId="23" fontId="18" numFmtId="164" xfId="0" applyAlignment="1" applyBorder="1" applyFont="1" applyNumberFormat="1">
      <alignment horizontal="center" vertical="center"/>
    </xf>
    <xf borderId="19" fillId="23" fontId="18" numFmtId="164" xfId="0" applyAlignment="1" applyBorder="1" applyFont="1" applyNumberFormat="1">
      <alignment horizontal="center" vertical="center"/>
    </xf>
    <xf borderId="19" fillId="23" fontId="18" numFmtId="9" xfId="0" applyAlignment="1" applyBorder="1" applyFont="1" applyNumberFormat="1">
      <alignment horizontal="center" vertical="center"/>
    </xf>
    <xf borderId="5" fillId="0" fontId="34" numFmtId="164" xfId="0" applyAlignment="1" applyBorder="1" applyFont="1" applyNumberFormat="1">
      <alignment horizontal="center" readingOrder="0" vertical="center"/>
    </xf>
    <xf borderId="5" fillId="0" fontId="25" numFmtId="164" xfId="0" applyAlignment="1" applyBorder="1" applyFont="1" applyNumberFormat="1">
      <alignment horizontal="center" readingOrder="0" vertical="center"/>
    </xf>
    <xf borderId="68" fillId="8" fontId="7" numFmtId="0" xfId="0" applyAlignment="1" applyBorder="1" applyFont="1">
      <alignment horizontal="center" vertical="center"/>
    </xf>
    <xf borderId="69" fillId="8" fontId="7" numFmtId="9" xfId="0" applyAlignment="1" applyBorder="1" applyFont="1" applyNumberFormat="1">
      <alignment horizontal="center" vertical="center"/>
    </xf>
    <xf borderId="104" fillId="8" fontId="7" numFmtId="9" xfId="0" applyAlignment="1" applyBorder="1" applyFont="1" applyNumberFormat="1">
      <alignment horizontal="center" vertical="center"/>
    </xf>
    <xf borderId="70" fillId="8" fontId="7" numFmtId="9" xfId="0" applyAlignment="1" applyBorder="1" applyFont="1" applyNumberFormat="1">
      <alignment horizontal="center" vertical="center"/>
    </xf>
    <xf borderId="70" fillId="8" fontId="1" numFmtId="0" xfId="0" applyAlignment="1" applyBorder="1" applyFont="1">
      <alignment horizontal="center" vertical="center"/>
    </xf>
    <xf borderId="71" fillId="8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60" fillId="8" fontId="7" numFmtId="0" xfId="0" applyAlignment="1" applyBorder="1" applyFont="1">
      <alignment horizontal="center" vertical="center"/>
    </xf>
    <xf borderId="23" fillId="8" fontId="7" numFmtId="9" xfId="0" applyAlignment="1" applyBorder="1" applyFont="1" applyNumberFormat="1">
      <alignment horizontal="center" vertical="center"/>
    </xf>
    <xf borderId="19" fillId="8" fontId="7" numFmtId="9" xfId="0" applyAlignment="1" applyBorder="1" applyFont="1" applyNumberFormat="1">
      <alignment horizontal="center" vertical="center"/>
    </xf>
    <xf borderId="19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/>
    </xf>
    <xf borderId="7" fillId="0" fontId="1" numFmtId="169" xfId="0" applyAlignment="1" applyBorder="1" applyFont="1" applyNumberFormat="1">
      <alignment horizontal="center" readingOrder="0" vertical="center"/>
    </xf>
    <xf borderId="70" fillId="8" fontId="1" numFmtId="0" xfId="0" applyAlignment="1" applyBorder="1" applyFont="1">
      <alignment horizontal="center" readingOrder="0" vertical="center"/>
    </xf>
    <xf borderId="71" fillId="8" fontId="1" numFmtId="0" xfId="0" applyAlignment="1" applyBorder="1" applyFont="1">
      <alignment horizontal="center" readingOrder="0" vertical="center"/>
    </xf>
    <xf borderId="26" fillId="0" fontId="1" numFmtId="0" xfId="0" applyBorder="1" applyFont="1"/>
    <xf borderId="7" fillId="0" fontId="1" numFmtId="9" xfId="0" applyAlignment="1" applyBorder="1" applyFont="1" applyNumberFormat="1">
      <alignment horizontal="center"/>
    </xf>
    <xf borderId="26" fillId="0" fontId="1" numFmtId="0" xfId="0" applyAlignment="1" applyBorder="1" applyFont="1">
      <alignment readingOrder="0"/>
    </xf>
    <xf borderId="19" fillId="21" fontId="1" numFmtId="164" xfId="0" applyAlignment="1" applyBorder="1" applyFont="1" applyNumberFormat="1">
      <alignment horizontal="center" readingOrder="0" vertical="center"/>
    </xf>
    <xf borderId="60" fillId="23" fontId="18" numFmtId="0" xfId="0" applyBorder="1" applyFont="1"/>
    <xf borderId="0" fillId="23" fontId="18" numFmtId="9" xfId="0" applyAlignment="1" applyFont="1" applyNumberFormat="1">
      <alignment horizontal="center"/>
    </xf>
    <xf borderId="7" fillId="23" fontId="18" numFmtId="9" xfId="0" applyAlignment="1" applyBorder="1" applyFont="1" applyNumberFormat="1">
      <alignment horizontal="center"/>
    </xf>
    <xf borderId="19" fillId="23" fontId="18" numFmtId="9" xfId="0" applyAlignment="1" applyBorder="1" applyFont="1" applyNumberFormat="1">
      <alignment horizontal="center"/>
    </xf>
    <xf borderId="25" fillId="23" fontId="18" numFmtId="9" xfId="0" applyAlignment="1" applyBorder="1" applyFont="1" applyNumberFormat="1">
      <alignment horizontal="center"/>
    </xf>
    <xf borderId="34" fillId="23" fontId="18" numFmtId="164" xfId="0" applyAlignment="1" applyBorder="1" applyFont="1" applyNumberFormat="1">
      <alignment horizontal="center" vertical="center"/>
    </xf>
    <xf borderId="101" fillId="0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/>
    </xf>
    <xf borderId="7" fillId="0" fontId="1" numFmtId="0" xfId="0" applyBorder="1" applyFont="1"/>
    <xf borderId="70" fillId="8" fontId="5" numFmtId="9" xfId="0" applyAlignment="1" applyBorder="1" applyFont="1" applyNumberFormat="1">
      <alignment horizontal="center" vertical="center"/>
    </xf>
    <xf borderId="9" fillId="4" fontId="35" numFmtId="0" xfId="0" applyAlignment="1" applyBorder="1" applyFont="1">
      <alignment horizontal="center" shrinkToFit="0" vertical="center" wrapText="1"/>
    </xf>
    <xf borderId="105" fillId="11" fontId="7" numFmtId="0" xfId="0" applyAlignment="1" applyBorder="1" applyFont="1">
      <alignment horizontal="center" shrinkToFit="0" vertical="center" wrapText="1"/>
    </xf>
    <xf borderId="76" fillId="11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06" fillId="0" fontId="6" numFmtId="0" xfId="0" applyBorder="1" applyFont="1"/>
    <xf borderId="107" fillId="11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9" numFmtId="0" xfId="0" applyAlignment="1" applyFont="1">
      <alignment vertical="center"/>
    </xf>
    <xf borderId="108" fillId="0" fontId="1" numFmtId="0" xfId="0" applyAlignment="1" applyBorder="1" applyFont="1">
      <alignment vertical="center"/>
    </xf>
    <xf borderId="109" fillId="0" fontId="1" numFmtId="164" xfId="0" applyAlignment="1" applyBorder="1" applyFont="1" applyNumberFormat="1">
      <alignment horizontal="center" readingOrder="0"/>
    </xf>
    <xf borderId="110" fillId="0" fontId="1" numFmtId="9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08" fillId="0" fontId="1" numFmtId="0" xfId="0" applyAlignment="1" applyBorder="1" applyFont="1">
      <alignment readingOrder="0" vertical="center"/>
    </xf>
    <xf borderId="109" fillId="0" fontId="1" numFmtId="164" xfId="0" applyAlignment="1" applyBorder="1" applyFont="1" applyNumberFormat="1">
      <alignment horizontal="center"/>
    </xf>
    <xf borderId="109" fillId="0" fontId="1" numFmtId="164" xfId="0" applyAlignment="1" applyBorder="1" applyFont="1" applyNumberFormat="1">
      <alignment horizontal="center" vertical="center"/>
    </xf>
    <xf borderId="109" fillId="0" fontId="1" numFmtId="164" xfId="0" applyAlignment="1" applyBorder="1" applyFont="1" applyNumberFormat="1">
      <alignment horizontal="center" readingOrder="0" vertical="center"/>
    </xf>
    <xf borderId="111" fillId="9" fontId="18" numFmtId="0" xfId="0" applyAlignment="1" applyBorder="1" applyFont="1">
      <alignment vertical="center"/>
    </xf>
    <xf borderId="109" fillId="9" fontId="18" numFmtId="164" xfId="0" applyAlignment="1" applyBorder="1" applyFont="1" applyNumberFormat="1">
      <alignment horizontal="center"/>
    </xf>
    <xf borderId="0" fillId="9" fontId="18" numFmtId="164" xfId="0" applyAlignment="1" applyFont="1" applyNumberFormat="1">
      <alignment horizontal="center"/>
    </xf>
    <xf borderId="19" fillId="9" fontId="18" numFmtId="9" xfId="0" applyAlignment="1" applyBorder="1" applyFont="1" applyNumberFormat="1">
      <alignment horizontal="center" vertical="center"/>
    </xf>
    <xf borderId="112" fillId="9" fontId="18" numFmtId="9" xfId="0" applyAlignment="1" applyBorder="1" applyFont="1" applyNumberFormat="1">
      <alignment horizontal="center" vertical="center"/>
    </xf>
    <xf borderId="19" fillId="9" fontId="18" numFmtId="9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vertical="center"/>
    </xf>
    <xf borderId="25" fillId="9" fontId="18" numFmtId="9" xfId="0" applyAlignment="1" applyBorder="1" applyFont="1" applyNumberFormat="1">
      <alignment horizontal="center" vertical="bottom"/>
    </xf>
    <xf borderId="113" fillId="9" fontId="18" numFmtId="164" xfId="0" applyAlignment="1" applyBorder="1" applyFont="1" applyNumberFormat="1">
      <alignment horizontal="center" vertical="center"/>
    </xf>
    <xf borderId="19" fillId="9" fontId="18" numFmtId="164" xfId="0" applyAlignment="1" applyBorder="1" applyFont="1" applyNumberFormat="1">
      <alignment horizontal="center" vertical="center"/>
    </xf>
    <xf borderId="114" fillId="8" fontId="5" numFmtId="9" xfId="0" applyAlignment="1" applyBorder="1" applyFont="1" applyNumberFormat="1">
      <alignment horizontal="center" vertical="center"/>
    </xf>
    <xf borderId="0" fillId="0" fontId="18" numFmtId="9" xfId="0" applyAlignment="1" applyFont="1" applyNumberFormat="1">
      <alignment horizontal="center" vertical="center"/>
    </xf>
    <xf borderId="115" fillId="8" fontId="7" numFmtId="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19" fillId="5" fontId="36" numFmtId="0" xfId="0" applyBorder="1" applyFont="1"/>
    <xf borderId="19" fillId="5" fontId="1" numFmtId="0" xfId="0" applyAlignment="1" applyBorder="1" applyFont="1">
      <alignment horizontal="center"/>
    </xf>
    <xf borderId="9" fillId="5" fontId="7" numFmtId="0" xfId="0" applyAlignment="1" applyBorder="1" applyFont="1">
      <alignment horizontal="center" vertical="center"/>
    </xf>
    <xf borderId="13" fillId="5" fontId="7" numFmtId="0" xfId="0" applyAlignment="1" applyBorder="1" applyFont="1">
      <alignment horizontal="center" vertical="center"/>
    </xf>
    <xf borderId="23" fillId="5" fontId="7" numFmtId="0" xfId="0" applyAlignment="1" applyBorder="1" applyFont="1">
      <alignment horizontal="center" shrinkToFit="0" vertical="center" wrapText="1"/>
    </xf>
    <xf borderId="19" fillId="5" fontId="7" numFmtId="0" xfId="0" applyAlignment="1" applyBorder="1" applyFont="1">
      <alignment horizontal="center" shrinkToFit="0" vertical="center" wrapText="1"/>
    </xf>
    <xf borderId="25" fillId="5" fontId="7" numFmtId="0" xfId="0" applyAlignment="1" applyBorder="1" applyFont="1">
      <alignment horizontal="center" shrinkToFit="0" vertical="center" wrapText="1"/>
    </xf>
    <xf borderId="108" fillId="0" fontId="1" numFmtId="0" xfId="0" applyBorder="1" applyFont="1"/>
    <xf borderId="60" fillId="5" fontId="1" numFmtId="0" xfId="0" applyBorder="1" applyFont="1"/>
    <xf borderId="23" fillId="5" fontId="1" numFmtId="164" xfId="0" applyAlignment="1" applyBorder="1" applyFont="1" applyNumberFormat="1">
      <alignment horizontal="center" vertical="center"/>
    </xf>
    <xf borderId="19" fillId="5" fontId="1" numFmtId="164" xfId="0" applyAlignment="1" applyBorder="1" applyFont="1" applyNumberFormat="1">
      <alignment horizontal="center" vertical="center"/>
    </xf>
    <xf borderId="19" fillId="5" fontId="1" numFmtId="9" xfId="0" applyAlignment="1" applyBorder="1" applyFont="1" applyNumberFormat="1">
      <alignment horizontal="center"/>
    </xf>
    <xf borderId="25" fillId="5" fontId="1" numFmtId="9" xfId="0" applyAlignment="1" applyBorder="1" applyFont="1" applyNumberFormat="1">
      <alignment horizontal="center"/>
    </xf>
    <xf borderId="116" fillId="11" fontId="7" numFmtId="0" xfId="0" applyAlignment="1" applyBorder="1" applyFont="1">
      <alignment horizontal="center" vertical="center"/>
    </xf>
    <xf borderId="117" fillId="11" fontId="7" numFmtId="9" xfId="0" applyAlignment="1" applyBorder="1" applyFont="1" applyNumberFormat="1">
      <alignment horizontal="center" vertical="center"/>
    </xf>
    <xf borderId="118" fillId="11" fontId="7" numFmtId="9" xfId="0" applyAlignment="1" applyBorder="1" applyFont="1" applyNumberFormat="1">
      <alignment horizontal="center" vertical="center"/>
    </xf>
    <xf borderId="118" fillId="11" fontId="33" numFmtId="0" xfId="0" applyAlignment="1" applyBorder="1" applyFont="1">
      <alignment horizontal="center" vertical="center"/>
    </xf>
    <xf borderId="119" fillId="11" fontId="33" numFmtId="0" xfId="0" applyAlignment="1" applyBorder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7" numFmtId="0" xfId="0" applyFont="1"/>
    <xf borderId="0" fillId="0" fontId="37" numFmtId="0" xfId="0" applyAlignment="1" applyFont="1">
      <alignment horizontal="center"/>
    </xf>
    <xf borderId="105" fillId="11" fontId="5" numFmtId="0" xfId="0" applyAlignment="1" applyBorder="1" applyFon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readingOrder="0" vertical="center"/>
    </xf>
    <xf borderId="109" fillId="0" fontId="1" numFmtId="171" xfId="0" applyAlignment="1" applyBorder="1" applyFont="1" applyNumberFormat="1">
      <alignment horizontal="center" readingOrder="0" vertical="center"/>
    </xf>
    <xf borderId="100" fillId="0" fontId="1" numFmtId="171" xfId="0" applyAlignment="1" applyBorder="1" applyFont="1" applyNumberFormat="1">
      <alignment horizontal="center" readingOrder="0" vertical="center"/>
    </xf>
    <xf borderId="60" fillId="5" fontId="18" numFmtId="0" xfId="0" applyBorder="1" applyFont="1"/>
    <xf borderId="23" fillId="5" fontId="18" numFmtId="164" xfId="0" applyAlignment="1" applyBorder="1" applyFont="1" applyNumberFormat="1">
      <alignment horizontal="center" vertical="center"/>
    </xf>
    <xf borderId="19" fillId="5" fontId="18" numFmtId="164" xfId="0" applyAlignment="1" applyBorder="1" applyFont="1" applyNumberFormat="1">
      <alignment horizontal="center" vertical="center"/>
    </xf>
    <xf borderId="19" fillId="5" fontId="18" numFmtId="9" xfId="0" applyAlignment="1" applyBorder="1" applyFont="1" applyNumberFormat="1">
      <alignment horizontal="center"/>
    </xf>
    <xf borderId="25" fillId="5" fontId="18" numFmtId="9" xfId="0" applyAlignment="1" applyBorder="1" applyFont="1" applyNumberFormat="1">
      <alignment horizontal="center"/>
    </xf>
    <xf borderId="108" fillId="0" fontId="1" numFmtId="0" xfId="0" applyAlignment="1" applyBorder="1" applyFont="1">
      <alignment readingOrder="0"/>
    </xf>
    <xf borderId="100" fillId="0" fontId="1" numFmtId="164" xfId="0" applyAlignment="1" applyBorder="1" applyFont="1" applyNumberFormat="1">
      <alignment horizontal="center" vertical="center"/>
    </xf>
    <xf borderId="100" fillId="0" fontId="1" numFmtId="169" xfId="0" applyAlignment="1" applyBorder="1" applyFont="1" applyNumberFormat="1">
      <alignment horizontal="center" readingOrder="0" vertical="center"/>
    </xf>
    <xf borderId="111" fillId="9" fontId="18" numFmtId="0" xfId="0" applyBorder="1" applyFont="1"/>
    <xf borderId="120" fillId="9" fontId="18" numFmtId="164" xfId="0" applyAlignment="1" applyBorder="1" applyFont="1" applyNumberFormat="1">
      <alignment horizontal="center" vertical="center"/>
    </xf>
    <xf borderId="121" fillId="9" fontId="18" numFmtId="164" xfId="0" applyAlignment="1" applyBorder="1" applyFont="1" applyNumberFormat="1">
      <alignment horizontal="center" vertical="center"/>
    </xf>
    <xf borderId="67" fillId="9" fontId="18" numFmtId="164" xfId="0" applyAlignment="1" applyBorder="1" applyFont="1" applyNumberFormat="1">
      <alignment horizontal="center" vertical="center"/>
    </xf>
    <xf borderId="0" fillId="0" fontId="18" numFmtId="9" xfId="0" applyAlignment="1" applyFont="1" applyNumberFormat="1">
      <alignment horizontal="center"/>
    </xf>
    <xf borderId="23" fillId="5" fontId="1" numFmtId="0" xfId="0" applyAlignment="1" applyBorder="1" applyFont="1">
      <alignment horizontal="center"/>
    </xf>
    <xf borderId="25" fillId="5" fontId="1" numFmtId="0" xfId="0" applyBorder="1" applyFont="1"/>
    <xf borderId="68" fillId="5" fontId="7" numFmtId="0" xfId="0" applyAlignment="1" applyBorder="1" applyFont="1">
      <alignment horizontal="center" vertical="center"/>
    </xf>
    <xf borderId="69" fillId="5" fontId="7" numFmtId="9" xfId="0" applyAlignment="1" applyBorder="1" applyFont="1" applyNumberFormat="1">
      <alignment horizontal="center" vertical="center"/>
    </xf>
    <xf borderId="70" fillId="5" fontId="7" numFmtId="9" xfId="0" applyAlignment="1" applyBorder="1" applyFont="1" applyNumberFormat="1">
      <alignment horizontal="center" vertical="center"/>
    </xf>
    <xf borderId="70" fillId="5" fontId="1" numFmtId="0" xfId="0" applyAlignment="1" applyBorder="1" applyFont="1">
      <alignment horizontal="center" vertical="center"/>
    </xf>
    <xf borderId="71" fillId="5" fontId="1" numFmtId="0" xfId="0" applyAlignment="1" applyBorder="1" applyFont="1">
      <alignment horizontal="center" vertical="center"/>
    </xf>
    <xf borderId="19" fillId="5" fontId="1" numFmtId="9" xfId="0" applyBorder="1" applyFont="1" applyNumberFormat="1"/>
    <xf borderId="0" fillId="0" fontId="36" numFmtId="0" xfId="0" applyFont="1"/>
    <xf borderId="9" fillId="24" fontId="5" numFmtId="0" xfId="0" applyAlignment="1" applyBorder="1" applyFill="1" applyFont="1">
      <alignment horizontal="center" readingOrder="0" shrinkToFit="0" vertical="center" wrapText="1"/>
    </xf>
    <xf borderId="122" fillId="24" fontId="5" numFmtId="0" xfId="0" applyAlignment="1" applyBorder="1" applyFont="1">
      <alignment horizontal="center" readingOrder="0" vertical="center"/>
    </xf>
    <xf borderId="123" fillId="0" fontId="6" numFmtId="0" xfId="0" applyBorder="1" applyFont="1"/>
    <xf borderId="124" fillId="0" fontId="6" numFmtId="0" xfId="0" applyBorder="1" applyFont="1"/>
    <xf borderId="15" fillId="24" fontId="5" numFmtId="0" xfId="0" applyAlignment="1" applyBorder="1" applyFont="1">
      <alignment horizontal="center" readingOrder="0" vertical="center"/>
    </xf>
    <xf borderId="125" fillId="0" fontId="6" numFmtId="0" xfId="0" applyBorder="1" applyFont="1"/>
    <xf borderId="126" fillId="24" fontId="7" numFmtId="0" xfId="0" applyAlignment="1" applyBorder="1" applyFont="1">
      <alignment horizontal="center" readingOrder="0" shrinkToFit="0" vertical="center" wrapText="1"/>
    </xf>
    <xf borderId="104" fillId="24" fontId="7" numFmtId="0" xfId="0" applyAlignment="1" applyBorder="1" applyFont="1">
      <alignment horizontal="center" readingOrder="0" shrinkToFit="0" vertical="center" wrapText="1"/>
    </xf>
    <xf borderId="104" fillId="24" fontId="5" numFmtId="0" xfId="0" applyAlignment="1" applyBorder="1" applyFont="1">
      <alignment horizontal="center" readingOrder="0" shrinkToFit="0" vertical="center" wrapText="1"/>
    </xf>
    <xf borderId="127" fillId="24" fontId="7" numFmtId="0" xfId="0" applyAlignment="1" applyBorder="1" applyFont="1">
      <alignment horizontal="center" readingOrder="0" shrinkToFit="0" vertical="center" wrapText="1"/>
    </xf>
    <xf borderId="69" fillId="24" fontId="7" numFmtId="0" xfId="0" applyAlignment="1" applyBorder="1" applyFont="1">
      <alignment horizontal="center" readingOrder="0" shrinkToFit="0" vertical="center" wrapText="1"/>
    </xf>
    <xf borderId="70" fillId="24" fontId="7" numFmtId="0" xfId="0" applyAlignment="1" applyBorder="1" applyFont="1">
      <alignment horizontal="center" readingOrder="0" shrinkToFit="0" vertical="center" wrapText="1"/>
    </xf>
    <xf borderId="71" fillId="24" fontId="5" numFmtId="0" xfId="0" applyAlignment="1" applyBorder="1" applyFont="1">
      <alignment horizontal="center" readingOrder="0" shrinkToFit="0" vertical="center" wrapText="1"/>
    </xf>
    <xf borderId="116" fillId="11" fontId="7" numFmtId="0" xfId="0" applyAlignment="1" applyBorder="1" applyFont="1">
      <alignment horizontal="center"/>
    </xf>
    <xf borderId="117" fillId="11" fontId="7" numFmtId="9" xfId="0" applyAlignment="1" applyBorder="1" applyFont="1" applyNumberFormat="1">
      <alignment horizontal="center"/>
    </xf>
    <xf borderId="118" fillId="11" fontId="7" numFmtId="9" xfId="0" applyAlignment="1" applyBorder="1" applyFont="1" applyNumberFormat="1">
      <alignment horizontal="center"/>
    </xf>
    <xf borderId="118" fillId="11" fontId="33" numFmtId="0" xfId="0" applyAlignment="1" applyBorder="1" applyFont="1">
      <alignment horizontal="center"/>
    </xf>
    <xf borderId="119" fillId="11" fontId="33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0" fillId="0" fontId="38" numFmtId="14" xfId="0" applyFont="1" applyNumberFormat="1"/>
    <xf borderId="0" fillId="0" fontId="29" numFmtId="0" xfId="0" applyFont="1"/>
    <xf borderId="128" fillId="24" fontId="7" numFmtId="0" xfId="0" applyAlignment="1" applyBorder="1" applyFont="1">
      <alignment horizontal="center" shrinkToFit="0" vertical="center" wrapText="1"/>
    </xf>
    <xf borderId="129" fillId="24" fontId="7" numFmtId="49" xfId="0" applyAlignment="1" applyBorder="1" applyFont="1" applyNumberFormat="1">
      <alignment horizontal="center"/>
    </xf>
    <xf borderId="130" fillId="0" fontId="6" numFmtId="0" xfId="0" applyBorder="1" applyFont="1"/>
    <xf borderId="131" fillId="0" fontId="6" numFmtId="0" xfId="0" applyBorder="1" applyFont="1"/>
    <xf borderId="0" fillId="0" fontId="7" numFmtId="49" xfId="0" applyAlignment="1" applyFont="1" applyNumberFormat="1">
      <alignment horizontal="center"/>
    </xf>
    <xf borderId="132" fillId="0" fontId="6" numFmtId="0" xfId="0" applyBorder="1" applyFont="1"/>
    <xf borderId="19" fillId="24" fontId="33" numFmtId="0" xfId="0" applyAlignment="1" applyBorder="1" applyFont="1">
      <alignment horizontal="center" vertical="center"/>
    </xf>
    <xf borderId="133" fillId="24" fontId="33" numFmtId="0" xfId="0" applyAlignment="1" applyBorder="1" applyFont="1">
      <alignment horizontal="center" vertical="center"/>
    </xf>
    <xf borderId="133" fillId="24" fontId="3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39" numFmtId="0" xfId="0" applyFont="1"/>
    <xf borderId="0" fillId="0" fontId="39" numFmtId="0" xfId="0" applyAlignment="1" applyFont="1">
      <alignment horizontal="center"/>
    </xf>
    <xf borderId="13" fillId="4" fontId="5" numFmtId="0" xfId="0" applyAlignment="1" applyBorder="1" applyFont="1">
      <alignment horizontal="center" readingOrder="0" vertical="center"/>
    </xf>
    <xf borderId="0" fillId="0" fontId="39" numFmtId="0" xfId="0" applyAlignment="1" applyFont="1">
      <alignment vertical="center"/>
    </xf>
    <xf borderId="23" fillId="4" fontId="7" numFmtId="0" xfId="0" applyAlignment="1" applyBorder="1" applyFont="1">
      <alignment horizontal="center" readingOrder="0" shrinkToFit="0" vertical="center" wrapText="1"/>
    </xf>
    <xf borderId="19" fillId="4" fontId="7" numFmtId="0" xfId="0" applyAlignment="1" applyBorder="1" applyFont="1">
      <alignment horizontal="center" readingOrder="0" shrinkToFit="0" vertical="center" wrapText="1"/>
    </xf>
    <xf borderId="25" fillId="4" fontId="7" numFmtId="0" xfId="0" applyAlignment="1" applyBorder="1" applyFont="1">
      <alignment horizontal="center" readingOrder="0" shrinkToFit="0" vertical="center" wrapText="1"/>
    </xf>
    <xf borderId="60" fillId="9" fontId="18" numFmtId="0" xfId="0" applyBorder="1" applyFont="1"/>
    <xf borderId="19" fillId="9" fontId="18" numFmtId="9" xfId="0" applyAlignment="1" applyBorder="1" applyFont="1" applyNumberFormat="1">
      <alignment horizontal="center"/>
    </xf>
    <xf borderId="107" fillId="9" fontId="18" numFmtId="9" xfId="0" applyAlignment="1" applyBorder="1" applyFont="1" applyNumberFormat="1">
      <alignment horizontal="center"/>
    </xf>
    <xf borderId="0" fillId="0" fontId="1" numFmtId="172" xfId="0" applyAlignment="1" applyFont="1" applyNumberFormat="1">
      <alignment horizontal="center" readingOrder="0" vertical="center"/>
    </xf>
    <xf borderId="23" fillId="9" fontId="18" numFmtId="164" xfId="0" applyAlignment="1" applyBorder="1" applyFont="1" applyNumberFormat="1">
      <alignment horizontal="center" vertical="center"/>
    </xf>
    <xf borderId="0" fillId="0" fontId="40" numFmtId="0" xfId="0" applyFont="1"/>
    <xf borderId="0" fillId="9" fontId="1" numFmtId="9" xfId="0" applyAlignment="1" applyFont="1" applyNumberFormat="1">
      <alignment horizontal="center"/>
    </xf>
    <xf borderId="83" fillId="9" fontId="1" numFmtId="9" xfId="0" applyAlignment="1" applyBorder="1" applyFont="1" applyNumberFormat="1">
      <alignment horizontal="center"/>
    </xf>
    <xf borderId="103" fillId="9" fontId="18" numFmtId="164" xfId="0" applyAlignment="1" applyBorder="1" applyFont="1" applyNumberFormat="1">
      <alignment horizontal="center" readingOrder="0" vertical="center"/>
    </xf>
    <xf borderId="0" fillId="9" fontId="18" numFmtId="164" xfId="0" applyAlignment="1" applyFont="1" applyNumberFormat="1">
      <alignment horizontal="center" vertical="center"/>
    </xf>
    <xf borderId="0" fillId="25" fontId="18" numFmtId="9" xfId="0" applyAlignment="1" applyFill="1" applyFont="1" applyNumberFormat="1">
      <alignment horizontal="center" readingOrder="0"/>
    </xf>
    <xf borderId="103" fillId="9" fontId="18" numFmtId="164" xfId="0" applyAlignment="1" applyBorder="1" applyFont="1" applyNumberFormat="1">
      <alignment horizontal="center" vertical="center"/>
    </xf>
    <xf borderId="58" fillId="9" fontId="18" numFmtId="164" xfId="0" applyAlignment="1" applyBorder="1" applyFont="1" applyNumberFormat="1">
      <alignment horizontal="center" readingOrder="0" vertical="center"/>
    </xf>
    <xf borderId="19" fillId="9" fontId="18" numFmtId="164" xfId="0" applyAlignment="1" applyBorder="1" applyFont="1" applyNumberFormat="1">
      <alignment horizontal="center" readingOrder="0" vertical="center"/>
    </xf>
    <xf borderId="0" fillId="25" fontId="18" numFmtId="9" xfId="0" applyAlignment="1" applyFont="1" applyNumberFormat="1">
      <alignment horizontal="center"/>
    </xf>
    <xf borderId="67" fillId="9" fontId="18" numFmtId="164" xfId="0" applyAlignment="1" applyBorder="1" applyFont="1" applyNumberFormat="1">
      <alignment horizontal="center" readingOrder="0" vertical="center"/>
    </xf>
    <xf borderId="134" fillId="25" fontId="18" numFmtId="9" xfId="0" applyAlignment="1" applyBorder="1" applyFont="1" applyNumberFormat="1">
      <alignment horizontal="center"/>
    </xf>
    <xf borderId="0" fillId="0" fontId="40" numFmtId="9" xfId="0" applyFont="1" applyNumberFormat="1"/>
    <xf borderId="5" fillId="0" fontId="1" numFmtId="172" xfId="0" applyAlignment="1" applyBorder="1" applyFont="1" applyNumberFormat="1">
      <alignment horizontal="center" readingOrder="0" vertical="center"/>
    </xf>
    <xf borderId="135" fillId="2" fontId="41" numFmtId="0" xfId="0" applyAlignment="1" applyBorder="1" applyFont="1">
      <alignment readingOrder="0" vertical="bottom"/>
    </xf>
    <xf borderId="136" fillId="2" fontId="42" numFmtId="173" xfId="0" applyAlignment="1" applyBorder="1" applyFont="1" applyNumberFormat="1">
      <alignment horizontal="center"/>
    </xf>
    <xf borderId="137" fillId="0" fontId="6" numFmtId="0" xfId="0" applyBorder="1" applyFont="1"/>
    <xf borderId="138" fillId="0" fontId="6" numFmtId="0" xfId="0" applyBorder="1" applyFont="1"/>
    <xf borderId="136" fillId="2" fontId="42" numFmtId="0" xfId="0" applyAlignment="1" applyBorder="1" applyFont="1">
      <alignment horizontal="center" readingOrder="0"/>
    </xf>
    <xf borderId="139" fillId="2" fontId="41" numFmtId="0" xfId="0" applyAlignment="1" applyBorder="1" applyFont="1">
      <alignment vertical="top"/>
    </xf>
    <xf borderId="140" fillId="2" fontId="41" numFmtId="0" xfId="0" applyAlignment="1" applyBorder="1" applyFont="1">
      <alignment horizontal="center"/>
    </xf>
    <xf borderId="140" fillId="13" fontId="41" numFmtId="0" xfId="0" applyAlignment="1" applyBorder="1" applyFont="1">
      <alignment horizontal="center"/>
    </xf>
    <xf borderId="135" fillId="2" fontId="41" numFmtId="0" xfId="0" applyAlignment="1" applyBorder="1" applyFont="1">
      <alignment horizontal="center"/>
    </xf>
    <xf borderId="140" fillId="9" fontId="43" numFmtId="0" xfId="0" applyBorder="1" applyFont="1"/>
    <xf borderId="140" fillId="26" fontId="44" numFmtId="169" xfId="0" applyAlignment="1" applyBorder="1" applyFill="1" applyFont="1" applyNumberFormat="1">
      <alignment horizontal="right" vertical="bottom"/>
    </xf>
    <xf borderId="140" fillId="9" fontId="45" numFmtId="174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horizontal="center" readingOrder="0" vertical="center"/>
    </xf>
    <xf borderId="141" fillId="9" fontId="46" numFmtId="174" xfId="0" applyAlignment="1" applyBorder="1" applyFont="1" applyNumberFormat="1">
      <alignment horizontal="center" vertical="bottom"/>
    </xf>
    <xf borderId="0" fillId="0" fontId="29" numFmtId="169" xfId="0" applyFont="1" applyNumberFormat="1"/>
    <xf borderId="140" fillId="26" fontId="46" numFmtId="174" xfId="0" applyAlignment="1" applyBorder="1" applyFont="1" applyNumberFormat="1">
      <alignment horizontal="center" vertical="bottom"/>
    </xf>
    <xf borderId="141" fillId="26" fontId="46" numFmtId="174" xfId="0" applyAlignment="1" applyBorder="1" applyFont="1" applyNumberFormat="1">
      <alignment horizontal="center" vertical="bottom"/>
    </xf>
    <xf borderId="140" fillId="26" fontId="44" numFmtId="169" xfId="0" applyAlignment="1" applyBorder="1" applyFont="1" applyNumberFormat="1">
      <alignment horizontal="right" readingOrder="0" vertical="bottom"/>
    </xf>
    <xf borderId="140" fillId="26" fontId="43" numFmtId="0" xfId="0" applyBorder="1" applyFont="1"/>
    <xf borderId="140" fillId="26" fontId="47" numFmtId="174" xfId="0" applyAlignment="1" applyBorder="1" applyFont="1" applyNumberFormat="1">
      <alignment horizontal="center" vertical="bottom"/>
    </xf>
    <xf borderId="141" fillId="26" fontId="47" numFmtId="174" xfId="0" applyAlignment="1" applyBorder="1" applyFont="1" applyNumberFormat="1">
      <alignment horizontal="center" vertical="bottom"/>
    </xf>
    <xf borderId="140" fillId="9" fontId="44" numFmtId="169" xfId="0" applyAlignment="1" applyBorder="1" applyFont="1" applyNumberFormat="1">
      <alignment horizontal="right" vertical="bottom"/>
    </xf>
    <xf borderId="140" fillId="9" fontId="46" numFmtId="174" xfId="0" applyAlignment="1" applyBorder="1" applyFont="1" applyNumberFormat="1">
      <alignment horizontal="center" vertical="bottom"/>
    </xf>
    <xf borderId="0" fillId="0" fontId="29" numFmtId="174" xfId="0" applyFont="1" applyNumberFormat="1"/>
    <xf borderId="140" fillId="9" fontId="44" numFmtId="169" xfId="0" applyAlignment="1" applyBorder="1" applyFont="1" applyNumberFormat="1">
      <alignment horizontal="right" readingOrder="0" vertical="bottom"/>
    </xf>
    <xf borderId="141" fillId="9" fontId="48" numFmtId="174" xfId="0" applyAlignment="1" applyBorder="1" applyFont="1" applyNumberFormat="1">
      <alignment horizontal="center" vertical="bottom"/>
    </xf>
    <xf borderId="5" fillId="0" fontId="25" numFmtId="172" xfId="0" applyAlignment="1" applyBorder="1" applyFont="1" applyNumberFormat="1">
      <alignment horizontal="center" readingOrder="0" vertical="center"/>
    </xf>
    <xf borderId="140" fillId="27" fontId="43" numFmtId="0" xfId="0" applyBorder="1" applyFill="1" applyFont="1"/>
    <xf borderId="140" fillId="27" fontId="44" numFmtId="175" xfId="0" applyAlignment="1" applyBorder="1" applyFont="1" applyNumberFormat="1">
      <alignment horizontal="right" vertical="bottom"/>
    </xf>
    <xf borderId="140" fillId="27" fontId="45" numFmtId="174" xfId="0" applyAlignment="1" applyBorder="1" applyFont="1" applyNumberFormat="1">
      <alignment horizontal="center" vertical="bottom"/>
    </xf>
    <xf borderId="141" fillId="27" fontId="46" numFmtId="174" xfId="0" applyAlignment="1" applyBorder="1" applyFont="1" applyNumberFormat="1">
      <alignment horizontal="center" vertical="bottom"/>
    </xf>
    <xf borderId="140" fillId="28" fontId="44" numFmtId="175" xfId="0" applyAlignment="1" applyBorder="1" applyFill="1" applyFont="1" applyNumberFormat="1">
      <alignment horizontal="right" vertical="bottom"/>
    </xf>
    <xf borderId="69" fillId="8" fontId="5" numFmtId="9" xfId="0" applyAlignment="1" applyBorder="1" applyFont="1" applyNumberFormat="1">
      <alignment horizontal="center" readingOrder="0" vertical="center"/>
    </xf>
    <xf borderId="104" fillId="8" fontId="5" numFmtId="9" xfId="0" applyAlignment="1" applyBorder="1" applyFont="1" applyNumberFormat="1">
      <alignment horizontal="center" readingOrder="0" vertical="center"/>
    </xf>
    <xf borderId="70" fillId="8" fontId="5" numFmtId="9" xfId="0" applyAlignment="1" applyBorder="1" applyFont="1" applyNumberFormat="1">
      <alignment horizontal="center" readingOrder="0" vertical="center"/>
    </xf>
    <xf borderId="140" fillId="28" fontId="46" numFmtId="174" xfId="0" applyAlignment="1" applyBorder="1" applyFont="1" applyNumberFormat="1">
      <alignment horizontal="center" vertical="bottom"/>
    </xf>
    <xf borderId="19" fillId="8" fontId="7" numFmtId="0" xfId="0" applyAlignment="1" applyBorder="1" applyFont="1">
      <alignment horizontal="center" vertical="center"/>
    </xf>
    <xf borderId="141" fillId="28" fontId="46" numFmtId="174" xfId="0" applyAlignment="1" applyBorder="1" applyFont="1" applyNumberFormat="1">
      <alignment horizontal="center" vertical="bottom"/>
    </xf>
    <xf borderId="0" fillId="0" fontId="29" numFmtId="175" xfId="0" applyFont="1" applyNumberFormat="1"/>
    <xf borderId="68" fillId="24" fontId="7" numFmtId="0" xfId="0" applyAlignment="1" applyBorder="1" applyFont="1">
      <alignment horizontal="center" vertical="center"/>
    </xf>
    <xf borderId="69" fillId="24" fontId="7" numFmtId="9" xfId="0" applyAlignment="1" applyBorder="1" applyFont="1" applyNumberFormat="1">
      <alignment horizontal="center" vertical="center"/>
    </xf>
    <xf borderId="70" fillId="24" fontId="7" numFmtId="9" xfId="0" applyAlignment="1" applyBorder="1" applyFont="1" applyNumberFormat="1">
      <alignment horizontal="center" vertical="center"/>
    </xf>
    <xf borderId="140" fillId="9" fontId="48" numFmtId="174" xfId="0" applyAlignment="1" applyBorder="1" applyFont="1" applyNumberFormat="1">
      <alignment horizontal="center" vertical="bottom"/>
    </xf>
    <xf borderId="70" fillId="24" fontId="1" numFmtId="0" xfId="0" applyAlignment="1" applyBorder="1" applyFont="1">
      <alignment horizontal="center" vertical="center"/>
    </xf>
    <xf borderId="141" fillId="9" fontId="45" numFmtId="174" xfId="0" applyAlignment="1" applyBorder="1" applyFont="1" applyNumberFormat="1">
      <alignment horizontal="center" vertical="bottom"/>
    </xf>
    <xf borderId="71" fillId="24" fontId="1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center" vertical="center"/>
    </xf>
    <xf borderId="140" fillId="9" fontId="44" numFmtId="175" xfId="0" applyAlignment="1" applyBorder="1" applyFont="1" applyNumberFormat="1">
      <alignment horizontal="right" vertical="bottom"/>
    </xf>
    <xf borderId="13" fillId="4" fontId="7" numFmtId="0" xfId="0" applyAlignment="1" applyBorder="1" applyFont="1">
      <alignment horizontal="center" vertical="center"/>
    </xf>
    <xf borderId="142" fillId="11" fontId="5" numFmtId="0" xfId="0" applyAlignment="1" applyBorder="1" applyFont="1">
      <alignment horizontal="center" readingOrder="0"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143" fillId="0" fontId="6" numFmtId="0" xfId="0" applyBorder="1" applyFont="1"/>
    <xf borderId="140" fillId="9" fontId="49" numFmtId="175" xfId="0" applyAlignment="1" applyBorder="1" applyFont="1" applyNumberFormat="1">
      <alignment horizontal="right" vertical="bottom"/>
    </xf>
    <xf borderId="95" fillId="11" fontId="7" numFmtId="0" xfId="0" applyAlignment="1" applyBorder="1" applyFont="1">
      <alignment horizontal="center" readingOrder="0" shrinkToFit="0" vertical="center" wrapText="1"/>
    </xf>
    <xf borderId="140" fillId="9" fontId="44" numFmtId="175" xfId="0" applyAlignment="1" applyBorder="1" applyFont="1" applyNumberFormat="1">
      <alignment horizontal="right" readingOrder="0" vertical="bottom"/>
    </xf>
    <xf borderId="107" fillId="11" fontId="7" numFmtId="0" xfId="0" applyAlignment="1" applyBorder="1" applyFont="1">
      <alignment horizontal="center" readingOrder="0" shrinkToFit="0" vertical="center" wrapText="1"/>
    </xf>
    <xf borderId="144" fillId="0" fontId="1" numFmtId="0" xfId="0" applyBorder="1" applyFont="1"/>
    <xf borderId="140" fillId="0" fontId="50" numFmtId="0" xfId="0" applyBorder="1" applyFont="1"/>
    <xf borderId="140" fillId="0" fontId="50" numFmtId="169" xfId="0" applyAlignment="1" applyBorder="1" applyFont="1" applyNumberFormat="1">
      <alignment horizontal="right" vertical="bottom"/>
    </xf>
    <xf borderId="140" fillId="0" fontId="45" numFmtId="174" xfId="0" applyAlignment="1" applyBorder="1" applyFont="1" applyNumberFormat="1">
      <alignment horizontal="center" vertical="bottom"/>
    </xf>
    <xf borderId="136" fillId="0" fontId="45" numFmtId="174" xfId="0" applyAlignment="1" applyBorder="1" applyFont="1" applyNumberFormat="1">
      <alignment horizontal="center" vertical="bottom"/>
    </xf>
    <xf borderId="140" fillId="21" fontId="50" numFmtId="169" xfId="0" applyAlignment="1" applyBorder="1" applyFont="1" applyNumberFormat="1">
      <alignment horizontal="right" vertical="bottom"/>
    </xf>
    <xf borderId="140" fillId="21" fontId="46" numFmtId="174" xfId="0" applyAlignment="1" applyBorder="1" applyFont="1" applyNumberFormat="1">
      <alignment horizontal="center" vertical="bottom"/>
    </xf>
    <xf borderId="141" fillId="21" fontId="46" numFmtId="174" xfId="0" applyAlignment="1" applyBorder="1" applyFont="1" applyNumberFormat="1">
      <alignment horizontal="center" vertical="bottom"/>
    </xf>
    <xf borderId="140" fillId="0" fontId="48" numFmtId="174" xfId="0" applyAlignment="1" applyBorder="1" applyFont="1" applyNumberFormat="1">
      <alignment horizontal="center" vertical="bottom"/>
    </xf>
    <xf borderId="136" fillId="0" fontId="48" numFmtId="174" xfId="0" applyAlignment="1" applyBorder="1" applyFont="1" applyNumberFormat="1">
      <alignment horizontal="center" vertical="bottom"/>
    </xf>
    <xf borderId="145" fillId="9" fontId="44" numFmtId="175" xfId="0" applyAlignment="1" applyBorder="1" applyFont="1" applyNumberFormat="1">
      <alignment horizontal="right" vertical="bottom"/>
    </xf>
    <xf borderId="140" fillId="25" fontId="46" numFmtId="174" xfId="0" applyAlignment="1" applyBorder="1" applyFont="1" applyNumberFormat="1">
      <alignment horizontal="center" vertical="bottom"/>
    </xf>
    <xf borderId="141" fillId="25" fontId="46" numFmtId="174" xfId="0" applyAlignment="1" applyBorder="1" applyFont="1" applyNumberFormat="1">
      <alignment horizontal="center" vertical="bottom"/>
    </xf>
    <xf borderId="140" fillId="0" fontId="50" numFmtId="169" xfId="0" applyAlignment="1" applyBorder="1" applyFont="1" applyNumberFormat="1">
      <alignment horizontal="right" readingOrder="0" vertical="bottom"/>
    </xf>
    <xf borderId="144" fillId="0" fontId="1" numFmtId="0" xfId="0" applyAlignment="1" applyBorder="1" applyFont="1">
      <alignment readingOrder="0"/>
    </xf>
    <xf borderId="140" fillId="21" fontId="50" numFmtId="169" xfId="0" applyAlignment="1" applyBorder="1" applyFont="1" applyNumberFormat="1">
      <alignment horizontal="right" readingOrder="0" vertical="bottom"/>
    </xf>
    <xf borderId="0" fillId="0" fontId="33" numFmtId="164" xfId="0" applyAlignment="1" applyFont="1" applyNumberFormat="1">
      <alignment horizontal="center" vertical="center"/>
    </xf>
    <xf borderId="140" fillId="27" fontId="46" numFmtId="174" xfId="0" applyAlignment="1" applyBorder="1" applyFont="1" applyNumberFormat="1">
      <alignment horizontal="center" vertical="bottom"/>
    </xf>
    <xf borderId="94" fillId="0" fontId="1" numFmtId="164" xfId="0" applyAlignment="1" applyBorder="1" applyFont="1" applyNumberFormat="1">
      <alignment horizontal="center" readingOrder="0" vertical="center"/>
    </xf>
    <xf borderId="140" fillId="21" fontId="51" numFmtId="0" xfId="0" applyBorder="1" applyFont="1"/>
    <xf borderId="140" fillId="21" fontId="50" numFmtId="167" xfId="0" applyAlignment="1" applyBorder="1" applyFont="1" applyNumberFormat="1">
      <alignment horizontal="right" vertical="bottom"/>
    </xf>
    <xf borderId="140" fillId="21" fontId="52" numFmtId="174" xfId="0" applyAlignment="1" applyBorder="1" applyFont="1" applyNumberFormat="1">
      <alignment vertical="bottom"/>
    </xf>
    <xf borderId="136" fillId="21" fontId="52" numFmtId="174" xfId="0" applyAlignment="1" applyBorder="1" applyFont="1" applyNumberFormat="1">
      <alignment vertical="bottom"/>
    </xf>
    <xf borderId="0" fillId="21" fontId="29" numFmtId="174" xfId="0" applyFont="1" applyNumberFormat="1"/>
    <xf borderId="140" fillId="21" fontId="48" numFmtId="174" xfId="0" applyAlignment="1" applyBorder="1" applyFont="1" applyNumberFormat="1">
      <alignment horizontal="center" vertical="bottom"/>
    </xf>
    <xf borderId="19" fillId="6" fontId="53" numFmtId="0" xfId="0" applyAlignment="1" applyBorder="1" applyFont="1">
      <alignment horizontal="center" readingOrder="0"/>
    </xf>
    <xf borderId="141" fillId="21" fontId="48" numFmtId="174" xfId="0" applyAlignment="1" applyBorder="1" applyFont="1" applyNumberFormat="1">
      <alignment horizontal="center" vertical="bottom"/>
    </xf>
    <xf borderId="0" fillId="21" fontId="29" numFmtId="167" xfId="0" applyFont="1" applyNumberFormat="1"/>
    <xf borderId="0" fillId="21" fontId="29" numFmtId="3" xfId="0" applyAlignment="1" applyFont="1" applyNumberFormat="1">
      <alignment readingOrder="0"/>
    </xf>
    <xf borderId="0" fillId="21" fontId="29" numFmtId="4" xfId="0" applyFont="1" applyNumberFormat="1"/>
    <xf borderId="0" fillId="21" fontId="29" numFmtId="0" xfId="0" applyFont="1"/>
    <xf borderId="0" fillId="21" fontId="29" numFmtId="169" xfId="0" applyFont="1" applyNumberFormat="1"/>
    <xf quotePrefix="1" borderId="0" fillId="0" fontId="2" numFmtId="0" xfId="0" applyFont="1"/>
    <xf borderId="0" fillId="21" fontId="54" numFmtId="0" xfId="0" applyAlignment="1" applyFont="1">
      <alignment horizontal="right"/>
    </xf>
    <xf borderId="146" fillId="7" fontId="55" numFmtId="0" xfId="0" applyAlignment="1" applyBorder="1" applyFont="1">
      <alignment horizontal="left"/>
    </xf>
    <xf borderId="0" fillId="21" fontId="54" numFmtId="166" xfId="0" applyAlignment="1" applyFont="1" applyNumberFormat="1">
      <alignment horizontal="right" vertical="bottom"/>
    </xf>
    <xf borderId="0" fillId="21" fontId="52" numFmtId="166" xfId="0" applyAlignment="1" applyFont="1" applyNumberFormat="1">
      <alignment vertical="bottom"/>
    </xf>
    <xf borderId="19" fillId="7" fontId="56" numFmtId="0" xfId="0" applyBorder="1" applyFont="1"/>
    <xf borderId="0" fillId="21" fontId="52" numFmtId="0" xfId="0" applyAlignment="1" applyFont="1">
      <alignment vertical="bottom"/>
    </xf>
    <xf borderId="0" fillId="0" fontId="2" numFmtId="169" xfId="0" applyAlignment="1" applyFont="1" applyNumberFormat="1">
      <alignment horizontal="right"/>
    </xf>
    <xf borderId="140" fillId="21" fontId="45" numFmtId="174" xfId="0" applyAlignment="1" applyBorder="1" applyFont="1" applyNumberFormat="1">
      <alignment horizontal="center" vertical="bottom"/>
    </xf>
    <xf borderId="136" fillId="21" fontId="48" numFmtId="174" xfId="0" applyAlignment="1" applyBorder="1" applyFont="1" applyNumberFormat="1">
      <alignment horizontal="center" vertical="bottom"/>
    </xf>
    <xf borderId="25" fillId="9" fontId="18" numFmtId="9" xfId="0" applyAlignment="1" applyBorder="1" applyFont="1" applyNumberFormat="1">
      <alignment horizontal="center"/>
    </xf>
    <xf borderId="0" fillId="21" fontId="29" numFmtId="166" xfId="0" applyFont="1" applyNumberFormat="1"/>
    <xf borderId="0" fillId="0" fontId="3" numFmtId="164" xfId="0" applyAlignment="1" applyFont="1" applyNumberFormat="1">
      <alignment horizontal="right"/>
    </xf>
    <xf borderId="136" fillId="21" fontId="45" numFmtId="174" xfId="0" applyAlignment="1" applyBorder="1" applyFont="1" applyNumberFormat="1">
      <alignment horizontal="center" vertical="bottom"/>
    </xf>
    <xf borderId="0" fillId="21" fontId="29" numFmtId="175" xfId="0" applyFont="1" applyNumberFormat="1"/>
    <xf borderId="147" fillId="9" fontId="18" numFmtId="0" xfId="0" applyBorder="1" applyFont="1"/>
    <xf borderId="95" fillId="9" fontId="18" numFmtId="164" xfId="0" applyAlignment="1" applyBorder="1" applyFont="1" applyNumberFormat="1">
      <alignment horizontal="center" vertical="center"/>
    </xf>
    <xf borderId="140" fillId="26" fontId="44" numFmtId="171" xfId="0" applyAlignment="1" applyBorder="1" applyFont="1" applyNumberFormat="1">
      <alignment horizontal="right" vertical="bottom"/>
    </xf>
    <xf borderId="0" fillId="0" fontId="29" numFmtId="171" xfId="0" applyFont="1" applyNumberFormat="1"/>
    <xf borderId="140" fillId="26" fontId="44" numFmtId="171" xfId="0" applyAlignment="1" applyBorder="1" applyFont="1" applyNumberFormat="1">
      <alignment horizontal="right" readingOrder="0" vertical="bottom"/>
    </xf>
    <xf borderId="0" fillId="0" fontId="3" numFmtId="176" xfId="0" applyAlignment="1" applyFont="1" applyNumberFormat="1">
      <alignment horizontal="right"/>
    </xf>
    <xf borderId="81" fillId="9" fontId="18" numFmtId="9" xfId="0" applyAlignment="1" applyBorder="1" applyFont="1" applyNumberFormat="1">
      <alignment horizontal="center"/>
    </xf>
    <xf quotePrefix="1" borderId="19" fillId="15" fontId="2" numFmtId="0" xfId="0" applyBorder="1" applyFont="1"/>
    <xf borderId="146" fillId="15" fontId="55" numFmtId="0" xfId="0" applyAlignment="1" applyBorder="1" applyFont="1">
      <alignment horizontal="left"/>
    </xf>
    <xf borderId="19" fillId="15" fontId="56" numFmtId="0" xfId="0" applyBorder="1" applyFont="1"/>
    <xf borderId="19" fillId="15" fontId="2" numFmtId="0" xfId="0" applyBorder="1" applyFont="1"/>
    <xf borderId="19" fillId="15" fontId="2" numFmtId="166" xfId="0" applyBorder="1" applyFont="1" applyNumberFormat="1"/>
    <xf quotePrefix="1" borderId="19" fillId="10" fontId="2" numFmtId="0" xfId="0" applyBorder="1" applyFont="1"/>
    <xf borderId="146" fillId="10" fontId="55" numFmtId="0" xfId="0" applyAlignment="1" applyBorder="1" applyFont="1">
      <alignment horizontal="left"/>
    </xf>
    <xf borderId="19" fillId="10" fontId="56" numFmtId="0" xfId="0" applyBorder="1" applyFont="1"/>
    <xf borderId="140" fillId="9" fontId="44" numFmtId="171" xfId="0" applyAlignment="1" applyBorder="1" applyFont="1" applyNumberFormat="1">
      <alignment horizontal="right" vertical="bottom"/>
    </xf>
    <xf borderId="19" fillId="10" fontId="2" numFmtId="0" xfId="0" applyBorder="1" applyFont="1"/>
    <xf borderId="19" fillId="10" fontId="2" numFmtId="166" xfId="0" applyBorder="1" applyFont="1" applyNumberFormat="1"/>
    <xf borderId="140" fillId="9" fontId="44" numFmtId="171" xfId="0" applyAlignment="1" applyBorder="1" applyFont="1" applyNumberFormat="1">
      <alignment horizontal="right" readingOrder="0" vertical="bottom"/>
    </xf>
    <xf borderId="0" fillId="0" fontId="57" numFmtId="0" xfId="0" applyFont="1"/>
    <xf borderId="0" fillId="0" fontId="2" numFmtId="177" xfId="0" applyFont="1" applyNumberFormat="1"/>
    <xf borderId="19" fillId="6" fontId="58" numFmtId="0" xfId="0" applyAlignment="1" applyBorder="1" applyFont="1">
      <alignment horizontal="center" readingOrder="0"/>
    </xf>
    <xf borderId="19" fillId="6" fontId="12" numFmtId="0" xfId="0" applyAlignment="1" applyBorder="1" applyFont="1">
      <alignment horizontal="right"/>
    </xf>
    <xf borderId="0" fillId="0" fontId="2" numFmtId="169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3" numFmtId="176" xfId="0" applyAlignment="1" applyFont="1" applyNumberFormat="1">
      <alignment horizontal="right" vertical="center"/>
    </xf>
    <xf borderId="140" fillId="9" fontId="49" numFmtId="171" xfId="0" applyAlignment="1" applyBorder="1" applyFont="1" applyNumberFormat="1">
      <alignment horizontal="right" vertical="bottom"/>
    </xf>
    <xf borderId="19" fillId="15" fontId="2" numFmtId="169" xfId="0" applyAlignment="1" applyBorder="1" applyFont="1" applyNumberFormat="1">
      <alignment horizontal="right" vertical="center"/>
    </xf>
    <xf borderId="19" fillId="15" fontId="3" numFmtId="164" xfId="0" applyAlignment="1" applyBorder="1" applyFont="1" applyNumberFormat="1">
      <alignment horizontal="right" vertical="center"/>
    </xf>
    <xf borderId="19" fillId="10" fontId="2" numFmtId="169" xfId="0" applyAlignment="1" applyBorder="1" applyFont="1" applyNumberFormat="1">
      <alignment horizontal="right" vertical="center"/>
    </xf>
    <xf borderId="19" fillId="10" fontId="3" numFmtId="164" xfId="0" applyAlignment="1" applyBorder="1" applyFont="1" applyNumberFormat="1">
      <alignment horizontal="right" vertical="center"/>
    </xf>
    <xf borderId="140" fillId="9" fontId="49" numFmtId="171" xfId="0" applyAlignment="1" applyBorder="1" applyFont="1" applyNumberFormat="1">
      <alignment horizontal="right" readingOrder="0" vertical="bottom"/>
    </xf>
    <xf borderId="140" fillId="0" fontId="50" numFmtId="171" xfId="0" applyAlignment="1" applyBorder="1" applyFont="1" applyNumberFormat="1">
      <alignment horizontal="right" vertical="bottom"/>
    </xf>
    <xf borderId="140" fillId="21" fontId="50" numFmtId="171" xfId="0" applyAlignment="1" applyBorder="1" applyFont="1" applyNumberFormat="1">
      <alignment horizontal="right" vertical="bottom"/>
    </xf>
    <xf borderId="0" fillId="0" fontId="2" numFmtId="178" xfId="0" applyAlignment="1" applyFont="1" applyNumberFormat="1">
      <alignment horizontal="right" vertical="center"/>
    </xf>
    <xf borderId="0" fillId="0" fontId="3" numFmtId="169" xfId="0" applyAlignment="1" applyFont="1" applyNumberFormat="1">
      <alignment horizontal="right" vertical="center"/>
    </xf>
    <xf borderId="0" fillId="0" fontId="3" numFmtId="168" xfId="0" applyAlignment="1" applyFont="1" applyNumberFormat="1">
      <alignment horizontal="right" vertical="center"/>
    </xf>
    <xf borderId="19" fillId="29" fontId="3" numFmtId="166" xfId="0" applyBorder="1" applyFill="1" applyFont="1" applyNumberFormat="1"/>
    <xf borderId="0" fillId="0" fontId="2" numFmtId="176" xfId="0" applyFont="1" applyNumberFormat="1"/>
    <xf borderId="0" fillId="0" fontId="2" numFmtId="168" xfId="0" applyFont="1" applyNumberFormat="1"/>
    <xf borderId="140" fillId="21" fontId="50" numFmtId="171" xfId="0" applyAlignment="1" applyBorder="1" applyFont="1" applyNumberFormat="1">
      <alignment horizontal="right" readingOrder="0" vertical="bottom"/>
    </xf>
    <xf borderId="19" fillId="6" fontId="53" numFmtId="0" xfId="0" applyAlignment="1" applyBorder="1" applyFont="1">
      <alignment horizontal="center"/>
    </xf>
    <xf borderId="23" fillId="4" fontId="7" numFmtId="0" xfId="0" applyAlignment="1" applyBorder="1" applyFon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vertical="center"/>
    </xf>
    <xf borderId="19" fillId="4" fontId="7" numFmtId="0" xfId="0" applyAlignment="1" applyBorder="1" applyFont="1">
      <alignment horizontal="center" readingOrder="0" shrinkToFit="0" vertical="center" wrapText="1"/>
    </xf>
    <xf borderId="25" fillId="4" fontId="7" numFmtId="0" xfId="0" applyAlignment="1" applyBorder="1" applyFont="1">
      <alignment horizontal="center" readingOrder="0" shrinkToFit="0" vertical="center" wrapText="1"/>
    </xf>
    <xf borderId="19" fillId="15" fontId="3" numFmtId="169" xfId="0" applyAlignment="1" applyBorder="1" applyFont="1" applyNumberFormat="1">
      <alignment horizontal="center" vertical="center"/>
    </xf>
    <xf borderId="19" fillId="15" fontId="3" numFmtId="169" xfId="0" applyAlignment="1" applyBorder="1" applyFont="1" applyNumberFormat="1">
      <alignment horizontal="right" vertical="center"/>
    </xf>
    <xf borderId="19" fillId="10" fontId="3" numFmtId="169" xfId="0" applyAlignment="1" applyBorder="1" applyFont="1" applyNumberFormat="1">
      <alignment horizontal="center" vertical="center"/>
    </xf>
    <xf borderId="19" fillId="10" fontId="3" numFmtId="169" xfId="0" applyAlignment="1" applyBorder="1" applyFont="1" applyNumberFormat="1">
      <alignment horizontal="right" vertical="center"/>
    </xf>
    <xf borderId="0" fillId="0" fontId="3" numFmtId="169" xfId="0" applyAlignment="1" applyFont="1" applyNumberFormat="1">
      <alignment horizontal="right"/>
    </xf>
    <xf borderId="0" fillId="0" fontId="3" numFmtId="178" xfId="0" applyAlignment="1" applyFont="1" applyNumberFormat="1">
      <alignment horizontal="center" vertical="center"/>
    </xf>
    <xf borderId="0" fillId="0" fontId="3" numFmtId="178" xfId="0" applyAlignment="1" applyFont="1" applyNumberFormat="1">
      <alignment horizontal="right" vertical="center"/>
    </xf>
    <xf borderId="148" fillId="11" fontId="7" numFmtId="0" xfId="0" applyAlignment="1" applyBorder="1" applyFont="1">
      <alignment horizontal="center" vertical="center"/>
    </xf>
    <xf borderId="149" fillId="11" fontId="7" numFmtId="9" xfId="0" applyAlignment="1" applyBorder="1" applyFont="1" applyNumberFormat="1">
      <alignment horizontal="center" vertical="center"/>
    </xf>
    <xf borderId="0" fillId="0" fontId="25" numFmtId="164" xfId="0" applyAlignment="1" applyFont="1" applyNumberFormat="1">
      <alignment horizontal="center" readingOrder="0" vertical="center"/>
    </xf>
    <xf borderId="0" fillId="0" fontId="25" numFmtId="9" xfId="0" applyAlignment="1" applyFont="1" applyNumberFormat="1">
      <alignment horizontal="center" readingOrder="0" vertical="center"/>
    </xf>
    <xf borderId="7" fillId="0" fontId="25" numFmtId="9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readingOrder="0"/>
    </xf>
    <xf borderId="0" fillId="0" fontId="20" numFmtId="14" xfId="0" applyAlignment="1" applyFont="1" applyNumberFormat="1">
      <alignment horizontal="center"/>
    </xf>
    <xf borderId="0" fillId="0" fontId="59" numFmtId="0" xfId="0" applyFont="1"/>
    <xf borderId="60" fillId="9" fontId="18" numFmtId="0" xfId="0" applyAlignment="1" applyBorder="1" applyFont="1">
      <alignment vertical="center"/>
    </xf>
    <xf borderId="150" fillId="25" fontId="18" numFmtId="164" xfId="0" applyAlignment="1" applyBorder="1" applyFont="1" applyNumberFormat="1">
      <alignment horizontal="center" readingOrder="0" vertical="center"/>
    </xf>
    <xf borderId="0" fillId="25" fontId="18" numFmtId="164" xfId="0" applyAlignment="1" applyFont="1" applyNumberFormat="1">
      <alignment horizontal="center" readingOrder="0" vertical="center"/>
    </xf>
    <xf borderId="0" fillId="9" fontId="18" numFmtId="9" xfId="0" applyAlignment="1" applyFont="1" applyNumberFormat="1">
      <alignment horizontal="center" vertical="center"/>
    </xf>
    <xf borderId="5" fillId="25" fontId="18" numFmtId="164" xfId="0" applyAlignment="1" applyBorder="1" applyFont="1" applyNumberFormat="1">
      <alignment horizontal="center" readingOrder="0" vertical="center"/>
    </xf>
    <xf borderId="0" fillId="25" fontId="20" numFmtId="9" xfId="0" applyAlignment="1" applyFont="1" applyNumberFormat="1">
      <alignment horizontal="center" vertical="center"/>
    </xf>
    <xf borderId="67" fillId="25" fontId="18" numFmtId="164" xfId="0" applyAlignment="1" applyBorder="1" applyFont="1" applyNumberFormat="1">
      <alignment horizontal="center" vertical="center"/>
    </xf>
    <xf borderId="7" fillId="25" fontId="18" numFmtId="9" xfId="0" applyAlignment="1" applyBorder="1" applyFont="1" applyNumberFormat="1">
      <alignment horizontal="center" vertical="center"/>
    </xf>
    <xf borderId="5" fillId="0" fontId="60" numFmtId="164" xfId="0" applyAlignment="1" applyBorder="1" applyFont="1" applyNumberFormat="1">
      <alignment horizontal="center" readingOrder="0" vertical="center"/>
    </xf>
    <xf borderId="0" fillId="0" fontId="60" numFmtId="9" xfId="0" applyAlignment="1" applyFont="1" applyNumberFormat="1">
      <alignment horizontal="center" readingOrder="0" vertical="center"/>
    </xf>
    <xf borderId="151" fillId="0" fontId="1" numFmtId="164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152" fillId="0" fontId="7" numFmtId="0" xfId="0" applyAlignment="1" applyBorder="1" applyFont="1">
      <alignment horizontal="center" vertical="center"/>
    </xf>
    <xf borderId="153" fillId="0" fontId="6" numFmtId="0" xfId="0" applyBorder="1" applyFont="1"/>
    <xf borderId="154" fillId="0" fontId="6" numFmtId="0" xfId="0" applyBorder="1" applyFont="1"/>
    <xf borderId="26" fillId="0" fontId="6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57" numFmtId="169" xfId="0" applyFont="1" applyNumberFormat="1"/>
    <xf borderId="19" fillId="24" fontId="24" numFmtId="49" xfId="0" applyAlignment="1" applyBorder="1" applyFont="1" applyNumberFormat="1">
      <alignment vertical="center"/>
    </xf>
    <xf borderId="19" fillId="24" fontId="14" numFmtId="179" xfId="0" applyAlignment="1" applyBorder="1" applyFont="1" applyNumberFormat="1">
      <alignment horizontal="right" readingOrder="0" vertical="center"/>
    </xf>
    <xf borderId="19" fillId="24" fontId="24" numFmtId="0" xfId="0" applyAlignment="1" applyBorder="1" applyFont="1">
      <alignment horizontal="center" vertical="center"/>
    </xf>
    <xf borderId="0" fillId="0" fontId="29" numFmtId="0" xfId="0" applyAlignment="1" applyFont="1">
      <alignment readingOrder="0" vertical="center"/>
    </xf>
    <xf borderId="0" fillId="0" fontId="29" numFmtId="180" xfId="0" applyAlignment="1" applyFont="1" applyNumberFormat="1">
      <alignment readingOrder="0" vertical="center"/>
    </xf>
    <xf borderId="0" fillId="0" fontId="11" numFmtId="49" xfId="0" applyAlignment="1" applyFont="1" applyNumberFormat="1">
      <alignment readingOrder="0" vertical="center"/>
    </xf>
    <xf borderId="0" fillId="0" fontId="11" numFmtId="3" xfId="0" applyAlignment="1" applyFont="1" applyNumberFormat="1">
      <alignment horizontal="right" readingOrder="0" vertical="center"/>
    </xf>
    <xf borderId="0" fillId="0" fontId="11" numFmtId="3" xfId="0" applyAlignment="1" applyFont="1" applyNumberFormat="1">
      <alignment horizontal="right" vertical="center"/>
    </xf>
    <xf borderId="0" fillId="0" fontId="11" numFmtId="164" xfId="0" applyAlignment="1" applyFont="1" applyNumberFormat="1">
      <alignment horizontal="right" vertical="center"/>
    </xf>
    <xf borderId="0" fillId="0" fontId="11" numFmtId="9" xfId="0" applyAlignment="1" applyFont="1" applyNumberFormat="1">
      <alignment horizontal="center" vertical="center"/>
    </xf>
    <xf borderId="19" fillId="9" fontId="15" numFmtId="181" xfId="0" applyAlignment="1" applyBorder="1" applyFont="1" applyNumberFormat="1">
      <alignment vertical="center"/>
    </xf>
    <xf borderId="19" fillId="9" fontId="15" numFmtId="169" xfId="0" applyAlignment="1" applyBorder="1" applyFont="1" applyNumberFormat="1">
      <alignment horizontal="right" readingOrder="0" vertical="center"/>
    </xf>
    <xf borderId="19" fillId="9" fontId="11" numFmtId="164" xfId="0" applyAlignment="1" applyBorder="1" applyFont="1" applyNumberFormat="1">
      <alignment horizontal="right" vertical="center"/>
    </xf>
    <xf borderId="19" fillId="9" fontId="15" numFmtId="9" xfId="0" applyAlignment="1" applyBorder="1" applyFont="1" applyNumberFormat="1">
      <alignment horizontal="center" readingOrder="0" vertical="center"/>
    </xf>
    <xf borderId="19" fillId="24" fontId="24" numFmtId="0" xfId="0" applyAlignment="1" applyBorder="1" applyFont="1">
      <alignment horizontal="right" vertical="center"/>
    </xf>
    <xf borderId="26" fillId="0" fontId="18" numFmtId="0" xfId="0" applyBorder="1" applyFont="1"/>
    <xf borderId="5" fillId="0" fontId="18" numFmtId="164" xfId="0" applyAlignment="1" applyBorder="1" applyFont="1" applyNumberFormat="1">
      <alignment horizontal="center" vertical="center"/>
    </xf>
    <xf borderId="0" fillId="0" fontId="11" numFmtId="49" xfId="0" applyAlignment="1" applyFont="1" applyNumberFormat="1">
      <alignment vertical="center"/>
    </xf>
    <xf borderId="0" fillId="0" fontId="18" numFmtId="164" xfId="0" applyAlignment="1" applyFont="1" applyNumberFormat="1">
      <alignment horizontal="center" vertical="center"/>
    </xf>
    <xf borderId="7" fillId="0" fontId="18" numFmtId="9" xfId="0" applyAlignment="1" applyBorder="1" applyFont="1" applyNumberFormat="1">
      <alignment horizontal="center"/>
    </xf>
    <xf borderId="0" fillId="0" fontId="11" numFmtId="9" xfId="0" applyAlignment="1" applyFont="1" applyNumberFormat="1">
      <alignment horizontal="center" readingOrder="0" vertical="center"/>
    </xf>
    <xf borderId="19" fillId="9" fontId="15" numFmtId="169" xfId="0" applyAlignment="1" applyBorder="1" applyFont="1" applyNumberFormat="1">
      <alignment horizontal="right" vertical="center"/>
    </xf>
    <xf borderId="19" fillId="9" fontId="17" numFmtId="164" xfId="0" applyAlignment="1" applyBorder="1" applyFont="1" applyNumberFormat="1">
      <alignment horizontal="right" readingOrder="0" vertical="center"/>
    </xf>
    <xf borderId="19" fillId="9" fontId="61" numFmtId="0" xfId="0" applyAlignment="1" applyBorder="1" applyFont="1">
      <alignment readingOrder="0" vertical="center"/>
    </xf>
    <xf borderId="19" fillId="9" fontId="61" numFmtId="169" xfId="0" applyAlignment="1" applyBorder="1" applyFont="1" applyNumberFormat="1">
      <alignment horizontal="right" vertical="center"/>
    </xf>
    <xf borderId="19" fillId="9" fontId="62" numFmtId="164" xfId="0" applyAlignment="1" applyBorder="1" applyFont="1" applyNumberFormat="1">
      <alignment horizontal="right" vertical="center"/>
    </xf>
    <xf borderId="19" fillId="9" fontId="62" numFmtId="9" xfId="0" applyAlignment="1" applyBorder="1" applyFont="1" applyNumberFormat="1">
      <alignment horizontal="center" vertical="center"/>
    </xf>
    <xf borderId="0" fillId="0" fontId="11" numFmtId="37" xfId="0" applyAlignment="1" applyFont="1" applyNumberFormat="1">
      <alignment horizontal="center" readingOrder="0" vertical="center"/>
    </xf>
    <xf borderId="0" fillId="0" fontId="11" numFmtId="39" xfId="0" applyAlignment="1" applyFont="1" applyNumberFormat="1">
      <alignment horizontal="center" readingOrder="0" vertical="center"/>
    </xf>
    <xf borderId="0" fillId="0" fontId="37" numFmtId="49" xfId="0" applyAlignment="1" applyFont="1" applyNumberFormat="1">
      <alignment vertical="center"/>
    </xf>
    <xf borderId="125" fillId="0" fontId="7" numFmtId="0" xfId="0" applyAlignment="1" applyBorder="1" applyFont="1">
      <alignment horizontal="center" vertical="center"/>
    </xf>
    <xf borderId="28" fillId="0" fontId="7" numFmtId="9" xfId="0" applyAlignment="1" applyBorder="1" applyFont="1" applyNumberFormat="1">
      <alignment horizontal="center" vertical="center"/>
    </xf>
    <xf borderId="30" fillId="0" fontId="7" numFmtId="9" xfId="0" applyAlignment="1" applyBorder="1" applyFont="1" applyNumberForma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19" fillId="24" fontId="24" numFmtId="182" xfId="0" applyAlignment="1" applyBorder="1" applyFont="1" applyNumberFormat="1">
      <alignment horizontal="right" vertical="center"/>
    </xf>
    <xf borderId="0" fillId="21" fontId="11" numFmtId="0" xfId="0" applyAlignment="1" applyFont="1">
      <alignment readingOrder="0" vertical="center"/>
    </xf>
    <xf borderId="0" fillId="0" fontId="11" numFmtId="37" xfId="0" applyAlignment="1" applyFont="1" applyNumberFormat="1">
      <alignment horizontal="right" vertical="center"/>
    </xf>
    <xf borderId="0" fillId="0" fontId="11" numFmtId="182" xfId="0" applyAlignment="1" applyFont="1" applyNumberFormat="1">
      <alignment horizontal="right" vertical="center"/>
    </xf>
    <xf borderId="19" fillId="23" fontId="15" numFmtId="181" xfId="0" applyAlignment="1" applyBorder="1" applyFont="1" applyNumberFormat="1">
      <alignment vertical="center"/>
    </xf>
    <xf borderId="19" fillId="23" fontId="15" numFmtId="182" xfId="0" applyAlignment="1" applyBorder="1" applyFont="1" applyNumberFormat="1">
      <alignment horizontal="right" vertical="center"/>
    </xf>
    <xf borderId="19" fillId="23" fontId="11" numFmtId="182" xfId="0" applyAlignment="1" applyBorder="1" applyFont="1" applyNumberFormat="1">
      <alignment horizontal="right" vertical="center"/>
    </xf>
    <xf borderId="19" fillId="23" fontId="63" numFmtId="9" xfId="0" applyAlignment="1" applyBorder="1" applyFont="1" applyNumberFormat="1">
      <alignment horizontal="center" vertical="center"/>
    </xf>
    <xf borderId="0" fillId="0" fontId="2" numFmtId="37" xfId="0" applyAlignment="1" applyFont="1" applyNumberFormat="1">
      <alignment horizontal="right"/>
    </xf>
    <xf borderId="0" fillId="0" fontId="1" numFmtId="0" xfId="0" applyAlignment="1" applyFont="1">
      <alignment readingOrder="0" vertical="center"/>
    </xf>
    <xf borderId="0" fillId="21" fontId="11" numFmtId="37" xfId="0" applyAlignment="1" applyFont="1" applyNumberFormat="1">
      <alignment horizontal="right" vertical="center"/>
    </xf>
    <xf borderId="19" fillId="23" fontId="15" numFmtId="182" xfId="0" applyAlignment="1" applyBorder="1" applyFont="1" applyNumberFormat="1">
      <alignment horizontal="center" vertical="center"/>
    </xf>
    <xf borderId="19" fillId="23" fontId="15" numFmtId="9" xfId="0" applyAlignment="1" applyBorder="1" applyFont="1" applyNumberFormat="1">
      <alignment horizontal="center" vertical="center"/>
    </xf>
    <xf borderId="19" fillId="23" fontId="15" numFmtId="181" xfId="0" applyAlignment="1" applyBorder="1" applyFont="1" applyNumberFormat="1">
      <alignment readingOrder="0" vertical="center"/>
    </xf>
    <xf borderId="0" fillId="0" fontId="27" numFmtId="182" xfId="0" applyFont="1" applyNumberFormat="1"/>
    <xf borderId="0" fillId="0" fontId="1" numFmtId="183" xfId="0" applyFont="1" applyNumberFormat="1"/>
    <xf borderId="0" fillId="0" fontId="11" numFmtId="37" xfId="0" applyAlignment="1" applyFont="1" applyNumberFormat="1">
      <alignment horizontal="center"/>
    </xf>
    <xf borderId="0" fillId="0" fontId="29" numFmtId="182" xfId="0" applyFont="1" applyNumberFormat="1"/>
    <xf borderId="0" fillId="0" fontId="17" numFmtId="0" xfId="0" applyAlignment="1" applyFont="1">
      <alignment readingOrder="0"/>
    </xf>
    <xf borderId="0" fillId="0" fontId="17" numFmtId="0" xfId="0" applyFont="1"/>
    <xf borderId="26" fillId="0" fontId="7" numFmtId="0" xfId="0" applyAlignment="1" applyBorder="1" applyFont="1">
      <alignment horizontal="center" vertical="center"/>
    </xf>
    <xf borderId="5" fillId="0" fontId="7" numFmtId="9" xfId="0" applyAlignment="1" applyBorder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39" numFmtId="4" xfId="0" applyAlignment="1" applyFont="1" applyNumberFormat="1">
      <alignment horizontal="center"/>
    </xf>
    <xf borderId="0" fillId="0" fontId="39" numFmtId="1" xfId="0" applyAlignment="1" applyFont="1" applyNumberFormat="1">
      <alignment horizontal="center"/>
    </xf>
    <xf borderId="0" fillId="15" fontId="64" numFmtId="0" xfId="0" applyAlignment="1" applyFont="1">
      <alignment readingOrder="0"/>
    </xf>
    <xf borderId="0" fillId="15" fontId="39" numFmtId="0" xfId="0" applyFont="1"/>
    <xf borderId="0" fillId="15" fontId="39" numFmtId="1" xfId="0" applyFont="1" applyNumberFormat="1"/>
    <xf borderId="0" fillId="0" fontId="39" numFmtId="1" xfId="0" applyFont="1" applyNumberFormat="1"/>
    <xf borderId="0" fillId="0" fontId="39" numFmtId="0" xfId="0" applyAlignment="1" applyFont="1">
      <alignment readingOrder="0"/>
    </xf>
    <xf borderId="0" fillId="0" fontId="39" numFmtId="9" xfId="0" applyFont="1" applyNumberFormat="1"/>
    <xf borderId="0" fillId="0" fontId="39" numFmtId="2" xfId="0" applyFont="1" applyNumberFormat="1"/>
    <xf borderId="19" fillId="30" fontId="58" numFmtId="0" xfId="0" applyAlignment="1" applyBorder="1" applyFill="1" applyFont="1">
      <alignment horizontal="center"/>
    </xf>
    <xf borderId="19" fillId="30" fontId="58" numFmtId="0" xfId="0" applyAlignment="1" applyBorder="1" applyFont="1">
      <alignment horizontal="center"/>
    </xf>
    <xf borderId="0" fillId="0" fontId="2" numFmtId="164" xfId="0" applyAlignment="1" applyFont="1" applyNumberFormat="1">
      <alignment horizontal="right"/>
    </xf>
    <xf borderId="0" fillId="0" fontId="2" numFmtId="38" xfId="0" applyAlignment="1" applyFont="1" applyNumberFormat="1">
      <alignment horizontal="right"/>
    </xf>
    <xf borderId="0" fillId="0" fontId="2" numFmtId="176" xfId="0" applyAlignment="1" applyFont="1" applyNumberFormat="1">
      <alignment horizontal="right"/>
    </xf>
    <xf quotePrefix="1" borderId="19" fillId="31" fontId="2" numFmtId="0" xfId="0" applyBorder="1" applyFill="1" applyFont="1"/>
    <xf borderId="146" fillId="31" fontId="55" numFmtId="0" xfId="0" applyAlignment="1" applyBorder="1" applyFont="1">
      <alignment horizontal="left"/>
    </xf>
    <xf borderId="19" fillId="31" fontId="2" numFmtId="0" xfId="0" applyBorder="1" applyFont="1"/>
    <xf borderId="19" fillId="31" fontId="2" numFmtId="166" xfId="0" applyBorder="1" applyFont="1" applyNumberFormat="1"/>
    <xf borderId="19" fillId="29" fontId="2" numFmtId="0" xfId="0" applyBorder="1" applyFont="1"/>
    <xf borderId="19" fillId="29" fontId="2" numFmtId="169" xfId="0" applyAlignment="1" applyBorder="1" applyFont="1" applyNumberFormat="1">
      <alignment horizontal="right"/>
    </xf>
    <xf borderId="19" fillId="29" fontId="3" numFmtId="0" xfId="0" applyBorder="1" applyFont="1"/>
    <xf borderId="19" fillId="29" fontId="3" numFmtId="164" xfId="0" applyAlignment="1" applyBorder="1" applyFont="1" applyNumberFormat="1">
      <alignment horizontal="right"/>
    </xf>
    <xf borderId="19" fillId="6" fontId="58" numFmtId="0" xfId="0" applyAlignment="1" applyBorder="1" applyFont="1">
      <alignment horizontal="center"/>
    </xf>
    <xf borderId="19" fillId="6" fontId="58" numFmtId="0" xfId="0" applyAlignment="1" applyBorder="1" applyFont="1">
      <alignment horizontal="center"/>
    </xf>
    <xf borderId="0" fillId="0" fontId="2" numFmtId="164" xfId="0" applyAlignment="1" applyFont="1" applyNumberFormat="1">
      <alignment horizontal="right" vertical="bottom"/>
    </xf>
    <xf borderId="19" fillId="29" fontId="2" numFmtId="164" xfId="0" applyAlignment="1" applyBorder="1" applyFont="1" applyNumberFormat="1">
      <alignment horizontal="right"/>
    </xf>
    <xf borderId="19" fillId="29" fontId="3" numFmtId="169" xfId="0" applyBorder="1" applyFont="1" applyNumberFormat="1"/>
    <xf borderId="0" fillId="0" fontId="2" numFmtId="0" xfId="0" applyAlignment="1" applyFont="1">
      <alignment readingOrder="0"/>
    </xf>
    <xf borderId="0" fillId="6" fontId="58" numFmtId="0" xfId="0" applyAlignment="1" applyFont="1">
      <alignment horizontal="center" readingOrder="0" vertical="bottom"/>
    </xf>
    <xf borderId="0" fillId="6" fontId="58" numFmtId="0" xfId="0" applyAlignment="1" applyFont="1">
      <alignment horizontal="right" vertical="bottom"/>
    </xf>
    <xf borderId="0" fillId="30" fontId="58" numFmtId="0" xfId="0" applyAlignment="1" applyFont="1">
      <alignment horizontal="right" vertical="bottom"/>
    </xf>
    <xf borderId="19" fillId="7" fontId="13" numFmtId="0" xfId="0" applyAlignment="1" applyBorder="1" applyFont="1">
      <alignment vertical="bottom"/>
    </xf>
    <xf borderId="0" fillId="0" fontId="3" numFmtId="169" xfId="0" applyAlignment="1" applyFont="1" applyNumberFormat="1">
      <alignment horizontal="right" vertical="bottom"/>
    </xf>
    <xf borderId="0" fillId="0" fontId="2" numFmtId="37" xfId="0" applyAlignment="1" applyFont="1" applyNumberFormat="1">
      <alignment horizontal="right" vertical="bottom"/>
    </xf>
    <xf quotePrefix="1" borderId="19" fillId="32" fontId="2" numFmtId="0" xfId="0" applyBorder="1" applyFill="1" applyFont="1"/>
    <xf borderId="146" fillId="32" fontId="55" numFmtId="0" xfId="0" applyAlignment="1" applyBorder="1" applyFont="1">
      <alignment horizontal="left"/>
    </xf>
    <xf borderId="19" fillId="32" fontId="13" numFmtId="0" xfId="0" applyAlignment="1" applyBorder="1" applyFont="1">
      <alignment vertical="bottom"/>
    </xf>
    <xf borderId="19" fillId="32" fontId="2" numFmtId="0" xfId="0" applyBorder="1" applyFont="1"/>
    <xf borderId="19" fillId="32" fontId="2" numFmtId="166" xfId="0" applyBorder="1" applyFont="1" applyNumberFormat="1"/>
    <xf borderId="19" fillId="31" fontId="13" numFmtId="0" xfId="0" applyAlignment="1" applyBorder="1" applyFont="1">
      <alignment vertical="bottom"/>
    </xf>
    <xf borderId="19" fillId="7" fontId="13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169" xfId="0" applyAlignment="1" applyFont="1" applyNumberFormat="1">
      <alignment horizontal="right" vertical="bottom"/>
    </xf>
    <xf borderId="0" fillId="21" fontId="3" numFmtId="178" xfId="0" applyAlignment="1" applyFont="1" applyNumberFormat="1">
      <alignment horizontal="right" vertical="bottom"/>
    </xf>
    <xf borderId="0" fillId="21" fontId="3" numFmtId="168" xfId="0" applyAlignment="1" applyFont="1" applyNumberFormat="1">
      <alignment horizontal="right" vertical="bottom"/>
    </xf>
    <xf borderId="0" fillId="21" fontId="3" numFmtId="169" xfId="0" applyAlignment="1" applyFont="1" applyNumberFormat="1">
      <alignment horizontal="right" vertical="bottom"/>
    </xf>
    <xf borderId="0" fillId="21" fontId="2" numFmtId="16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9" fillId="15" fontId="3" numFmtId="169" xfId="0" applyAlignment="1" applyBorder="1" applyFont="1" applyNumberFormat="1">
      <alignment horizontal="right" vertical="bottom"/>
    </xf>
    <xf borderId="19" fillId="21" fontId="3" numFmtId="169" xfId="0" applyAlignment="1" applyBorder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19" fillId="29" fontId="2" numFmtId="0" xfId="0" applyAlignment="1" applyBorder="1" applyFont="1">
      <alignment vertical="bottom"/>
    </xf>
    <xf borderId="19" fillId="29" fontId="3" numFmtId="164" xfId="0" applyAlignment="1" applyBorder="1" applyFont="1" applyNumberFormat="1">
      <alignment horizontal="right" vertical="bottom"/>
    </xf>
    <xf borderId="19" fillId="29" fontId="2" numFmtId="164" xfId="0" applyAlignment="1" applyBorder="1" applyFont="1" applyNumberFormat="1">
      <alignment horizontal="right" vertical="bottom"/>
    </xf>
    <xf borderId="19" fillId="29" fontId="1" numFmtId="164" xfId="0" applyAlignment="1" applyBorder="1" applyFont="1" applyNumberFormat="1">
      <alignment vertical="bottom"/>
    </xf>
    <xf borderId="19" fillId="29" fontId="3" numFmtId="0" xfId="0" applyAlignment="1" applyBorder="1" applyFont="1">
      <alignment vertical="bottom"/>
    </xf>
    <xf borderId="19" fillId="29" fontId="3" numFmtId="168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vertical="center"/>
    </xf>
    <xf borderId="155" fillId="33" fontId="65" numFmtId="184" xfId="0" applyAlignment="1" applyBorder="1" applyFill="1" applyFont="1" applyNumberFormat="1">
      <alignment readingOrder="0"/>
    </xf>
    <xf borderId="0" fillId="0" fontId="2" numFmtId="184" xfId="0" applyFont="1" applyNumberFormat="1"/>
    <xf borderId="19" fillId="7" fontId="13" numFmtId="0" xfId="0" applyAlignment="1" applyBorder="1" applyFont="1">
      <alignment readingOrder="0"/>
    </xf>
    <xf borderId="19" fillId="11" fontId="24" numFmtId="49" xfId="0" applyAlignment="1" applyBorder="1" applyFont="1" applyNumberFormat="1">
      <alignment vertical="center"/>
    </xf>
    <xf borderId="19" fillId="11" fontId="14" numFmtId="179" xfId="0" applyAlignment="1" applyBorder="1" applyFont="1" applyNumberFormat="1">
      <alignment horizontal="right" readingOrder="0" vertical="center"/>
    </xf>
    <xf borderId="19" fillId="11" fontId="24" numFmtId="0" xfId="0" applyAlignment="1" applyBorder="1" applyFont="1">
      <alignment horizontal="center" vertical="center"/>
    </xf>
    <xf borderId="0" fillId="0" fontId="11" numFmtId="164" xfId="0" applyAlignment="1" applyFont="1" applyNumberFormat="1">
      <alignment vertical="center"/>
    </xf>
    <xf borderId="0" fillId="0" fontId="66" numFmtId="9" xfId="0" applyAlignment="1" applyFont="1" applyNumberFormat="1">
      <alignment horizontal="center" vertical="center"/>
    </xf>
    <xf borderId="0" fillId="0" fontId="29" numFmtId="3" xfId="0" applyFont="1" applyNumberFormat="1"/>
    <xf borderId="0" fillId="0" fontId="1" numFmtId="0" xfId="0" applyAlignment="1" applyFont="1">
      <alignment vertical="bottom"/>
    </xf>
    <xf borderId="19" fillId="9" fontId="11" numFmtId="164" xfId="0" applyAlignment="1" applyBorder="1" applyFont="1" applyNumberFormat="1">
      <alignment vertical="center"/>
    </xf>
    <xf borderId="0" fillId="9" fontId="66" numFmtId="9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right" readingOrder="0" vertical="bottom"/>
    </xf>
    <xf borderId="0" fillId="0" fontId="11" numFmtId="3" xfId="0" applyAlignment="1" applyFont="1" applyNumberFormat="1">
      <alignment horizontal="right" readingOrder="0"/>
    </xf>
    <xf borderId="19" fillId="9" fontId="15" numFmtId="9" xfId="0" applyAlignment="1" applyBorder="1" applyFont="1" applyNumberFormat="1">
      <alignment horizontal="center" vertical="center"/>
    </xf>
    <xf borderId="19" fillId="9" fontId="15" numFmtId="0" xfId="0" applyAlignment="1" applyBorder="1" applyFont="1">
      <alignment readingOrder="0" vertical="center"/>
    </xf>
    <xf borderId="19" fillId="9" fontId="62" numFmtId="164" xfId="0" applyAlignment="1" applyBorder="1" applyFont="1" applyNumberFormat="1">
      <alignment vertical="center"/>
    </xf>
    <xf borderId="0" fillId="0" fontId="29" numFmtId="164" xfId="0" applyFont="1" applyNumberFormat="1"/>
    <xf borderId="0" fillId="0" fontId="29" numFmtId="168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 vertical="center"/>
    </xf>
    <xf borderId="19" fillId="11" fontId="24" numFmtId="49" xfId="0" applyAlignment="1" applyBorder="1" applyFont="1" applyNumberFormat="1">
      <alignment horizontal="center" vertical="center"/>
    </xf>
    <xf borderId="0" fillId="21" fontId="11" numFmtId="0" xfId="0" applyAlignment="1" applyFont="1">
      <alignment readingOrder="0"/>
    </xf>
    <xf borderId="0" fillId="21" fontId="11" numFmtId="172" xfId="0" applyAlignment="1" applyFont="1" applyNumberFormat="1">
      <alignment horizontal="right" readingOrder="0"/>
    </xf>
    <xf borderId="0" fillId="21" fontId="11" numFmtId="182" xfId="0" applyAlignment="1" applyFont="1" applyNumberFormat="1">
      <alignment horizontal="right" vertical="center"/>
    </xf>
    <xf borderId="0" fillId="21" fontId="63" numFmtId="9" xfId="0" applyAlignment="1" applyFont="1" applyNumberFormat="1">
      <alignment horizontal="center" vertical="center"/>
    </xf>
    <xf borderId="0" fillId="21" fontId="11" numFmtId="164" xfId="0" applyAlignment="1" applyFont="1" applyNumberFormat="1">
      <alignment horizontal="right"/>
    </xf>
    <xf borderId="0" fillId="0" fontId="11" numFmtId="185" xfId="0" applyAlignment="1" applyFont="1" applyNumberFormat="1">
      <alignment vertical="bottom"/>
    </xf>
    <xf borderId="0" fillId="21" fontId="11" numFmtId="0" xfId="0" applyFont="1"/>
    <xf borderId="0" fillId="21" fontId="11" numFmtId="185" xfId="0" applyAlignment="1" applyFont="1" applyNumberFormat="1">
      <alignment vertical="center"/>
    </xf>
    <xf borderId="0" fillId="21" fontId="11" numFmtId="0" xfId="0" applyFont="1"/>
    <xf borderId="0" fillId="21" fontId="11" numFmtId="185" xfId="0" applyAlignment="1" applyFont="1" applyNumberFormat="1">
      <alignment horizontal="right"/>
    </xf>
    <xf borderId="19" fillId="9" fontId="15" numFmtId="182" xfId="0" applyAlignment="1" applyBorder="1" applyFont="1" applyNumberFormat="1">
      <alignment vertical="center"/>
    </xf>
    <xf borderId="19" fillId="9" fontId="63" numFmtId="9" xfId="0" applyAlignment="1" applyBorder="1" applyFont="1" applyNumberFormat="1">
      <alignment horizontal="center" vertical="center"/>
    </xf>
    <xf borderId="0" fillId="21" fontId="66" numFmtId="9" xfId="0" applyAlignment="1" applyFont="1" applyNumberFormat="1">
      <alignment horizontal="center" vertical="center"/>
    </xf>
    <xf borderId="19" fillId="9" fontId="15" numFmtId="172" xfId="0" applyAlignment="1" applyBorder="1" applyFont="1" applyNumberFormat="1">
      <alignment vertical="center"/>
    </xf>
    <xf borderId="19" fillId="9" fontId="15" numFmtId="182" xfId="0" applyAlignment="1" applyBorder="1" applyFont="1" applyNumberFormat="1">
      <alignment horizontal="right" vertical="center"/>
    </xf>
    <xf borderId="19" fillId="9" fontId="15" numFmtId="169" xfId="0" applyAlignment="1" applyBorder="1" applyFont="1" applyNumberFormat="1">
      <alignment vertical="center"/>
    </xf>
    <xf borderId="19" fillId="9" fontId="24" numFmtId="182" xfId="0" applyAlignment="1" applyBorder="1" applyFont="1" applyNumberFormat="1">
      <alignment horizontal="right" vertical="center"/>
    </xf>
    <xf borderId="19" fillId="9" fontId="24" numFmtId="9" xfId="0" applyAlignment="1" applyBorder="1" applyFont="1" applyNumberFormat="1">
      <alignment horizontal="center" vertical="center"/>
    </xf>
    <xf borderId="0" fillId="0" fontId="29" numFmtId="164" xfId="0" applyAlignment="1" applyFont="1" applyNumberFormat="1">
      <alignment readingOrder="0"/>
    </xf>
    <xf borderId="0" fillId="0" fontId="67" numFmtId="3" xfId="0" applyAlignment="1" applyFont="1" applyNumberFormat="1">
      <alignment horizontal="right" readingOrder="0" vertical="center"/>
    </xf>
    <xf borderId="0" fillId="0" fontId="29" numFmtId="185" xfId="0" applyFont="1" applyNumberFormat="1"/>
    <xf borderId="0" fillId="0" fontId="3" numFmtId="168" xfId="0" applyAlignment="1" applyFont="1" applyNumberFormat="1">
      <alignment horizontal="center" readingOrder="0" vertical="center"/>
    </xf>
    <xf borderId="0" fillId="0" fontId="2" numFmtId="168" xfId="0" applyAlignment="1" applyFont="1" applyNumberFormat="1">
      <alignment horizontal="center" readingOrder="0" vertical="center"/>
    </xf>
    <xf borderId="19" fillId="9" fontId="3" numFmtId="168" xfId="0" applyAlignment="1" applyBorder="1" applyFont="1" applyNumberFormat="1">
      <alignment horizontal="center" vertical="center"/>
    </xf>
    <xf borderId="0" fillId="0" fontId="2" numFmtId="9" xfId="0" applyFont="1" applyNumberFormat="1"/>
    <xf borderId="0" fillId="0" fontId="3" numFmtId="164" xfId="0" applyAlignment="1" applyFont="1" applyNumberFormat="1">
      <alignment horizontal="center" readingOrder="0" vertical="center"/>
    </xf>
    <xf borderId="0" fillId="0" fontId="2" numFmtId="168" xfId="0" applyAlignment="1" applyFont="1" applyNumberFormat="1">
      <alignment horizontal="center" vertical="center"/>
    </xf>
    <xf borderId="36" fillId="10" fontId="3" numFmtId="168" xfId="0" applyAlignment="1" applyBorder="1" applyFont="1" applyNumberFormat="1">
      <alignment horizontal="center" vertical="center"/>
    </xf>
    <xf borderId="36" fillId="10" fontId="2" numFmtId="168" xfId="0" applyAlignment="1" applyBorder="1" applyFont="1" applyNumberFormat="1">
      <alignment horizontal="center" vertical="center"/>
    </xf>
    <xf borderId="19" fillId="8" fontId="24" numFmtId="49" xfId="0" applyAlignment="1" applyBorder="1" applyFont="1" applyNumberFormat="1">
      <alignment vertical="center"/>
    </xf>
    <xf borderId="49" fillId="12" fontId="3" numFmtId="186" xfId="0" applyAlignment="1" applyBorder="1" applyFont="1" applyNumberFormat="1">
      <alignment horizontal="center" vertical="center"/>
    </xf>
    <xf borderId="19" fillId="8" fontId="14" numFmtId="179" xfId="0" applyAlignment="1" applyBorder="1" applyFont="1" applyNumberFormat="1">
      <alignment horizontal="right" readingOrder="0" vertical="center"/>
    </xf>
    <xf borderId="49" fillId="12" fontId="3" numFmtId="186" xfId="0" applyAlignment="1" applyBorder="1" applyFont="1" applyNumberFormat="1">
      <alignment horizontal="center" readingOrder="0" vertical="center"/>
    </xf>
    <xf borderId="19" fillId="8" fontId="24" numFmtId="182" xfId="0" applyAlignment="1" applyBorder="1" applyFont="1" applyNumberFormat="1">
      <alignment horizontal="right" vertical="center"/>
    </xf>
    <xf borderId="19" fillId="8" fontId="24" numFmtId="0" xfId="0" applyAlignment="1" applyBorder="1" applyFont="1">
      <alignment horizontal="center" vertical="center"/>
    </xf>
    <xf borderId="0" fillId="0" fontId="24" numFmtId="0" xfId="0" applyFont="1"/>
    <xf borderId="0" fillId="0" fontId="11" numFmtId="0" xfId="0" applyAlignment="1" applyFont="1">
      <alignment readingOrder="0" vertical="center"/>
    </xf>
    <xf borderId="0" fillId="21" fontId="68" numFmtId="3" xfId="0" applyAlignment="1" applyFont="1" applyNumberFormat="1">
      <alignment horizontal="right" vertical="bottom"/>
    </xf>
    <xf borderId="0" fillId="0" fontId="11" numFmtId="0" xfId="0" applyAlignment="1" applyFont="1">
      <alignment vertical="center"/>
    </xf>
    <xf borderId="0" fillId="0" fontId="11" numFmtId="169" xfId="0" applyAlignment="1" applyFont="1" applyNumberFormat="1">
      <alignment horizontal="center"/>
    </xf>
    <xf borderId="19" fillId="23" fontId="15" numFmtId="169" xfId="0" applyAlignment="1" applyBorder="1" applyFont="1" applyNumberFormat="1">
      <alignment horizontal="right" readingOrder="0" vertical="center"/>
    </xf>
    <xf borderId="19" fillId="23" fontId="15" numFmtId="172" xfId="0" applyAlignment="1" applyBorder="1" applyFont="1" applyNumberFormat="1">
      <alignment horizontal="right" readingOrder="0" vertical="center"/>
    </xf>
    <xf borderId="19" fillId="23" fontId="15" numFmtId="9" xfId="0" applyAlignment="1" applyBorder="1" applyFont="1" applyNumberFormat="1">
      <alignment horizontal="center" readingOrder="0" vertical="center"/>
    </xf>
    <xf borderId="0" fillId="0" fontId="11" numFmtId="169" xfId="0" applyAlignment="1" applyFont="1" applyNumberFormat="1">
      <alignment horizontal="center" vertical="center"/>
    </xf>
    <xf borderId="0" fillId="0" fontId="15" numFmtId="181" xfId="0" applyAlignment="1" applyFont="1" applyNumberFormat="1">
      <alignment vertical="center"/>
    </xf>
    <xf borderId="0" fillId="0" fontId="15" numFmtId="169" xfId="0" applyAlignment="1" applyFont="1" applyNumberFormat="1">
      <alignment horizontal="center" vertical="center"/>
    </xf>
    <xf borderId="156" fillId="0" fontId="11" numFmtId="3" xfId="0" applyAlignment="1" applyBorder="1" applyFont="1" applyNumberFormat="1">
      <alignment horizontal="right" vertical="center"/>
    </xf>
    <xf borderId="0" fillId="21" fontId="69" numFmtId="182" xfId="0" applyAlignment="1" applyFont="1" applyNumberFormat="1">
      <alignment readingOrder="0"/>
    </xf>
    <xf borderId="19" fillId="23" fontId="15" numFmtId="169" xfId="0" applyAlignment="1" applyBorder="1" applyFont="1" applyNumberFormat="1">
      <alignment horizontal="right" vertical="center"/>
    </xf>
    <xf borderId="19" fillId="23" fontId="15" numFmtId="3" xfId="0" applyAlignment="1" applyBorder="1" applyFont="1" applyNumberFormat="1">
      <alignment horizontal="right" vertical="center"/>
    </xf>
    <xf borderId="19" fillId="23" fontId="11" numFmtId="164" xfId="0" applyAlignment="1" applyBorder="1" applyFont="1" applyNumberFormat="1">
      <alignment horizontal="right" vertical="center"/>
    </xf>
    <xf borderId="0" fillId="21" fontId="68" numFmtId="49" xfId="0" applyAlignment="1" applyFont="1" applyNumberFormat="1">
      <alignment horizontal="right" vertical="bottom"/>
    </xf>
    <xf borderId="19" fillId="23" fontId="61" numFmtId="181" xfId="0" applyAlignment="1" applyBorder="1" applyFont="1" applyNumberFormat="1">
      <alignment readingOrder="0" vertical="center"/>
    </xf>
    <xf borderId="19" fillId="23" fontId="61" numFmtId="169" xfId="0" applyAlignment="1" applyBorder="1" applyFont="1" applyNumberFormat="1">
      <alignment horizontal="right" vertical="center"/>
    </xf>
    <xf borderId="19" fillId="23" fontId="62" numFmtId="164" xfId="0" applyAlignment="1" applyBorder="1" applyFont="1" applyNumberFormat="1">
      <alignment horizontal="right" vertical="center"/>
    </xf>
    <xf borderId="19" fillId="23" fontId="62" numFmtId="9" xfId="0" applyAlignment="1" applyBorder="1" applyFont="1" applyNumberFormat="1">
      <alignment horizontal="center" vertical="center"/>
    </xf>
    <xf borderId="1" fillId="31" fontId="3" numFmtId="166" xfId="0" applyAlignment="1" applyBorder="1" applyFont="1" applyNumberFormat="1">
      <alignment horizontal="left" vertical="top"/>
    </xf>
    <xf borderId="2" fillId="31" fontId="2" numFmtId="0" xfId="0" applyBorder="1" applyFont="1"/>
    <xf borderId="2" fillId="31" fontId="2" numFmtId="10" xfId="0" applyBorder="1" applyFont="1" applyNumberFormat="1"/>
    <xf borderId="2" fillId="31" fontId="3" numFmtId="0" xfId="0" applyBorder="1" applyFont="1"/>
    <xf borderId="3" fillId="31" fontId="2" numFmtId="0" xfId="0" applyBorder="1" applyFont="1"/>
    <xf borderId="0" fillId="0" fontId="1" numFmtId="4" xfId="0" applyAlignment="1" applyFont="1" applyNumberFormat="1">
      <alignment horizontal="right"/>
    </xf>
    <xf borderId="0" fillId="0" fontId="3" numFmtId="166" xfId="0" applyFont="1" applyNumberFormat="1"/>
    <xf borderId="23" fillId="31" fontId="2" numFmtId="166" xfId="0" applyAlignment="1" applyBorder="1" applyFont="1" applyNumberFormat="1">
      <alignment horizontal="left"/>
    </xf>
    <xf borderId="19" fillId="31" fontId="2" numFmtId="9" xfId="0" applyBorder="1" applyFont="1" applyNumberFormat="1"/>
    <xf borderId="0" fillId="0" fontId="37" numFmtId="0" xfId="0" applyAlignment="1" applyFont="1">
      <alignment vertical="center"/>
    </xf>
    <xf borderId="19" fillId="31" fontId="3" numFmtId="0" xfId="0" applyBorder="1" applyFont="1"/>
    <xf borderId="0" fillId="0" fontId="37" numFmtId="0" xfId="0" applyAlignment="1" applyFont="1">
      <alignment horizontal="center" vertical="center"/>
    </xf>
    <xf borderId="25" fillId="31" fontId="2" numFmtId="0" xfId="0" applyBorder="1" applyFont="1"/>
    <xf borderId="54" fillId="0" fontId="2" numFmtId="0" xfId="0" applyBorder="1" applyFont="1"/>
    <xf borderId="54" fillId="0" fontId="2" numFmtId="1" xfId="0" applyBorder="1" applyFont="1" applyNumberFormat="1"/>
    <xf borderId="0" fillId="0" fontId="70" numFmtId="0" xfId="0" applyAlignment="1" applyFont="1">
      <alignment vertical="center"/>
    </xf>
    <xf borderId="0" fillId="0" fontId="70" numFmtId="169" xfId="0" applyAlignment="1" applyFont="1" applyNumberFormat="1">
      <alignment vertical="center"/>
    </xf>
    <xf borderId="54" fillId="0" fontId="2" numFmtId="169" xfId="0" applyBorder="1" applyFont="1" applyNumberFormat="1"/>
    <xf borderId="0" fillId="0" fontId="3" numFmtId="169" xfId="0" applyFont="1" applyNumberFormat="1"/>
    <xf borderId="23" fillId="31" fontId="3" numFmtId="0" xfId="0" applyAlignment="1" applyBorder="1" applyFont="1">
      <alignment horizontal="left"/>
    </xf>
    <xf borderId="19" fillId="31" fontId="2" numFmtId="10" xfId="0" applyBorder="1" applyFont="1" applyNumberFormat="1"/>
    <xf borderId="157" fillId="31" fontId="3" numFmtId="0" xfId="0" applyAlignment="1" applyBorder="1" applyFont="1">
      <alignment horizontal="center"/>
    </xf>
    <xf borderId="158" fillId="0" fontId="6" numFmtId="0" xfId="0" applyBorder="1" applyFont="1"/>
    <xf borderId="159" fillId="0" fontId="6" numFmtId="0" xfId="0" applyBorder="1" applyFont="1"/>
    <xf borderId="0" fillId="0" fontId="2" numFmtId="10" xfId="0" applyFont="1" applyNumberFormat="1"/>
    <xf borderId="0" fillId="0" fontId="2" numFmtId="169" xfId="0" applyFont="1" applyNumberFormat="1"/>
    <xf borderId="0" fillId="0" fontId="1" numFmtId="179" xfId="0" applyAlignment="1" applyFont="1" applyNumberFormat="1">
      <alignment horizontal="right"/>
    </xf>
    <xf borderId="0" fillId="0" fontId="15" numFmtId="0" xfId="0" applyFont="1"/>
    <xf borderId="0" fillId="21" fontId="15" numFmtId="0" xfId="0" applyFont="1"/>
    <xf borderId="0" fillId="21" fontId="17" numFmtId="172" xfId="0" applyAlignment="1" applyFont="1" applyNumberFormat="1">
      <alignment horizontal="left" vertical="center"/>
    </xf>
    <xf borderId="0" fillId="21" fontId="17" numFmtId="3" xfId="0" applyAlignment="1" applyFont="1" applyNumberFormat="1">
      <alignment horizontal="right" vertical="center"/>
    </xf>
    <xf borderId="101" fillId="21" fontId="66" numFmtId="182" xfId="0" applyAlignment="1" applyBorder="1" applyFont="1" applyNumberFormat="1">
      <alignment horizontal="right" vertical="center"/>
    </xf>
    <xf borderId="101" fillId="21" fontId="63" numFmtId="9" xfId="0" applyAlignment="1" applyBorder="1" applyFont="1" applyNumberFormat="1">
      <alignment horizontal="center" vertical="center"/>
    </xf>
    <xf borderId="0" fillId="21" fontId="24" numFmtId="0" xfId="0" applyAlignment="1" applyFont="1">
      <alignment horizontal="center"/>
    </xf>
    <xf borderId="0" fillId="21" fontId="17" numFmtId="172" xfId="0" applyAlignment="1" applyFont="1" applyNumberFormat="1">
      <alignment horizontal="left" readingOrder="0" vertical="center"/>
    </xf>
    <xf borderId="0" fillId="0" fontId="17" numFmtId="3" xfId="0" applyAlignment="1" applyFont="1" applyNumberFormat="1">
      <alignment horizontal="right" vertical="center"/>
    </xf>
    <xf borderId="101" fillId="21" fontId="17" numFmtId="3" xfId="0" applyAlignment="1" applyBorder="1" applyFont="1" applyNumberFormat="1">
      <alignment horizontal="right" vertical="center"/>
    </xf>
    <xf borderId="27" fillId="21" fontId="15" numFmtId="0" xfId="0" applyBorder="1" applyFont="1"/>
    <xf borderId="0" fillId="21" fontId="16" numFmtId="0" xfId="0" applyAlignment="1" applyFont="1">
      <alignment horizontal="center"/>
    </xf>
    <xf borderId="0" fillId="21" fontId="16" numFmtId="0" xfId="0" applyFont="1"/>
    <xf borderId="0" fillId="21" fontId="69" numFmtId="3" xfId="0" applyAlignment="1" applyFont="1" applyNumberFormat="1">
      <alignment horizontal="right"/>
    </xf>
    <xf borderId="0" fillId="21" fontId="17" numFmtId="172" xfId="0" applyAlignment="1" applyFont="1" applyNumberFormat="1">
      <alignment horizontal="right" readingOrder="0" vertical="center"/>
    </xf>
    <xf borderId="0" fillId="21" fontId="16" numFmtId="0" xfId="0" applyAlignment="1" applyFont="1">
      <alignment horizontal="center" readingOrder="0"/>
    </xf>
    <xf borderId="0" fillId="21" fontId="17" numFmtId="49" xfId="0" applyAlignment="1" applyFont="1" applyNumberFormat="1">
      <alignment horizontal="left" readingOrder="0" vertical="center"/>
    </xf>
    <xf borderId="101" fillId="21" fontId="63" numFmtId="9" xfId="0" applyAlignment="1" applyBorder="1" applyFont="1" applyNumberFormat="1">
      <alignment horizontal="center" readingOrder="0" vertical="center"/>
    </xf>
    <xf borderId="101" fillId="21" fontId="69" numFmtId="3" xfId="0" applyAlignment="1" applyBorder="1" applyFont="1" applyNumberFormat="1">
      <alignment horizontal="right"/>
    </xf>
    <xf borderId="0" fillId="21" fontId="17" numFmtId="49" xfId="0" applyAlignment="1" applyFont="1" applyNumberFormat="1">
      <alignment horizontal="left" vertical="center"/>
    </xf>
    <xf borderId="0" fillId="21" fontId="17" numFmtId="3" xfId="0" applyAlignment="1" applyFont="1" applyNumberFormat="1">
      <alignment horizontal="right"/>
    </xf>
    <xf borderId="19" fillId="23" fontId="15" numFmtId="182" xfId="0" applyAlignment="1" applyBorder="1" applyFont="1" applyNumberFormat="1">
      <alignment vertical="center"/>
    </xf>
    <xf borderId="0" fillId="21" fontId="17" numFmtId="0" xfId="0" applyAlignment="1" applyFont="1">
      <alignment horizontal="left" readingOrder="0" vertical="center"/>
    </xf>
    <xf borderId="0" fillId="0" fontId="11" numFmtId="3" xfId="0" applyAlignment="1" applyFont="1" applyNumberFormat="1">
      <alignment horizontal="right"/>
    </xf>
    <xf borderId="101" fillId="21" fontId="66" numFmtId="9" xfId="0" applyAlignment="1" applyBorder="1" applyFont="1" applyNumberFormat="1">
      <alignment horizontal="center" vertical="center"/>
    </xf>
    <xf borderId="0" fillId="21" fontId="1" numFmtId="0" xfId="0" applyAlignment="1" applyFont="1">
      <alignment vertical="bottom"/>
    </xf>
    <xf borderId="27" fillId="21" fontId="1" numFmtId="0" xfId="0" applyAlignment="1" applyBorder="1" applyFont="1">
      <alignment vertical="bottom"/>
    </xf>
    <xf borderId="0" fillId="21" fontId="25" numFmtId="0" xfId="0" applyAlignment="1" applyFont="1">
      <alignment vertical="bottom"/>
    </xf>
    <xf borderId="101" fillId="0" fontId="17" numFmtId="3" xfId="0" applyAlignment="1" applyBorder="1" applyFont="1" applyNumberFormat="1">
      <alignment horizontal="right" vertical="center"/>
    </xf>
    <xf borderId="101" fillId="21" fontId="17" numFmtId="172" xfId="0" applyAlignment="1" applyBorder="1" applyFont="1" applyNumberFormat="1">
      <alignment horizontal="right" readingOrder="0" vertical="center"/>
    </xf>
    <xf borderId="156" fillId="21" fontId="17" numFmtId="3" xfId="0" applyAlignment="1" applyBorder="1" applyFont="1" applyNumberFormat="1">
      <alignment horizontal="right" vertical="center"/>
    </xf>
    <xf borderId="54" fillId="0" fontId="1" numFmtId="0" xfId="0" applyAlignment="1" applyBorder="1" applyFont="1">
      <alignment vertical="bottom"/>
    </xf>
    <xf borderId="54" fillId="34" fontId="60" numFmtId="0" xfId="0" applyAlignment="1" applyBorder="1" applyFill="1" applyFont="1">
      <alignment horizontal="center" vertical="bottom"/>
    </xf>
    <xf borderId="160" fillId="21" fontId="60" numFmtId="0" xfId="0" applyAlignment="1" applyBorder="1" applyFont="1">
      <alignment horizontal="center" vertical="bottom"/>
    </xf>
    <xf borderId="161" fillId="21" fontId="20" numFmtId="0" xfId="0" applyAlignment="1" applyBorder="1" applyFont="1">
      <alignment vertical="bottom"/>
    </xf>
    <xf borderId="54" fillId="0" fontId="71" numFmtId="4" xfId="0" applyAlignment="1" applyBorder="1" applyFont="1" applyNumberFormat="1">
      <alignment horizontal="right" vertical="bottom"/>
    </xf>
    <xf borderId="54" fillId="0" fontId="1" numFmtId="4" xfId="0" applyAlignment="1" applyBorder="1" applyFont="1" applyNumberFormat="1">
      <alignment vertical="bottom"/>
    </xf>
    <xf borderId="54" fillId="0" fontId="72" numFmtId="170" xfId="0" applyAlignment="1" applyBorder="1" applyFont="1" applyNumberFormat="1">
      <alignment horizontal="right" vertical="bottom"/>
    </xf>
    <xf borderId="0" fillId="21" fontId="1" numFmtId="0" xfId="0" applyAlignment="1" applyFont="1">
      <alignment vertical="bottom"/>
    </xf>
    <xf borderId="54" fillId="0" fontId="1" numFmtId="170" xfId="0" applyAlignment="1" applyBorder="1" applyFont="1" applyNumberFormat="1">
      <alignment vertical="bottom"/>
    </xf>
    <xf borderId="161" fillId="21" fontId="1" numFmtId="0" xfId="0" applyAlignment="1" applyBorder="1" applyFont="1">
      <alignment vertical="bottom"/>
    </xf>
    <xf borderId="54" fillId="0" fontId="73" numFmtId="4" xfId="0" applyAlignment="1" applyBorder="1" applyFont="1" applyNumberFormat="1">
      <alignment horizontal="right" vertical="bottom"/>
    </xf>
    <xf borderId="54" fillId="0" fontId="36" numFmtId="170" xfId="0" applyAlignment="1" applyBorder="1" applyFont="1" applyNumberFormat="1">
      <alignment horizontal="right" vertical="bottom"/>
    </xf>
    <xf borderId="162" fillId="21" fontId="17" numFmtId="3" xfId="0" applyAlignment="1" applyBorder="1" applyFont="1" applyNumberFormat="1">
      <alignment horizontal="right" vertical="center"/>
    </xf>
    <xf borderId="54" fillId="0" fontId="73" numFmtId="187" xfId="0" applyAlignment="1" applyBorder="1" applyFont="1" applyNumberFormat="1">
      <alignment horizontal="right" vertical="bottom"/>
    </xf>
    <xf borderId="54" fillId="0" fontId="1" numFmtId="187" xfId="0" applyAlignment="1" applyBorder="1" applyFont="1" applyNumberFormat="1">
      <alignment vertical="bottom"/>
    </xf>
    <xf borderId="0" fillId="21" fontId="74" numFmtId="0" xfId="0" applyAlignment="1" applyFont="1">
      <alignment vertical="bottom"/>
    </xf>
    <xf borderId="0" fillId="21" fontId="16" numFmtId="4" xfId="0" applyAlignment="1" applyFont="1" applyNumberFormat="1">
      <alignment horizontal="right"/>
    </xf>
    <xf borderId="0" fillId="21" fontId="75" numFmtId="4" xfId="0" applyAlignment="1" applyFont="1" applyNumberFormat="1">
      <alignment horizontal="right" vertical="bottom"/>
    </xf>
    <xf borderId="0" fillId="21" fontId="16" numFmtId="4" xfId="0" applyAlignment="1" applyFont="1" applyNumberFormat="1">
      <alignment horizontal="center"/>
    </xf>
    <xf borderId="86" fillId="23" fontId="61" numFmtId="182" xfId="0" applyAlignment="1" applyBorder="1" applyFont="1" applyNumberFormat="1">
      <alignment readingOrder="0" vertical="center"/>
    </xf>
    <xf borderId="86" fillId="23" fontId="61" numFmtId="172" xfId="0" applyAlignment="1" applyBorder="1" applyFont="1" applyNumberFormat="1">
      <alignment horizontal="right" vertical="center"/>
    </xf>
    <xf borderId="0" fillId="23" fontId="62" numFmtId="182" xfId="0" applyAlignment="1" applyFont="1" applyNumberFormat="1">
      <alignment horizontal="right" vertical="center"/>
    </xf>
    <xf borderId="0" fillId="23" fontId="66" numFmtId="9" xfId="0" applyAlignment="1" applyFont="1" applyNumberFormat="1">
      <alignment horizontal="center" readingOrder="0" vertical="center"/>
    </xf>
    <xf borderId="86" fillId="23" fontId="61" numFmtId="3" xfId="0" applyAlignment="1" applyBorder="1" applyFont="1" applyNumberFormat="1">
      <alignment horizontal="right" vertical="center"/>
    </xf>
    <xf borderId="86" fillId="23" fontId="62" numFmtId="182" xfId="0" applyAlignment="1" applyBorder="1" applyFont="1" applyNumberFormat="1">
      <alignment horizontal="right" vertical="center"/>
    </xf>
    <xf borderId="86" fillId="23" fontId="62" numFmtId="9" xfId="0" applyAlignment="1" applyBorder="1" applyFont="1" applyNumberFormat="1">
      <alignment horizontal="center" vertical="center"/>
    </xf>
    <xf borderId="0" fillId="21" fontId="2" numFmtId="0" xfId="0" applyFont="1"/>
    <xf borderId="0" fillId="0" fontId="11" numFmtId="172" xfId="0" applyFont="1" applyNumberFormat="1"/>
    <xf borderId="0" fillId="21" fontId="3" numFmtId="0" xfId="0" applyFont="1"/>
    <xf borderId="0" fillId="0" fontId="76" numFmtId="170" xfId="0" applyAlignment="1" applyFont="1" applyNumberFormat="1">
      <alignment horizontal="right" readingOrder="0"/>
    </xf>
    <xf borderId="19" fillId="21" fontId="12" numFmtId="0" xfId="0" applyAlignment="1" applyBorder="1" applyFont="1">
      <alignment horizontal="center"/>
    </xf>
    <xf borderId="0" fillId="0" fontId="76" numFmtId="169" xfId="0" applyAlignment="1" applyFont="1" applyNumberFormat="1">
      <alignment horizontal="right"/>
    </xf>
    <xf borderId="0" fillId="21" fontId="2" numFmtId="169" xfId="0" applyFont="1" applyNumberFormat="1"/>
    <xf borderId="0" fillId="21" fontId="3" numFmtId="164" xfId="0" applyAlignment="1" applyFont="1" applyNumberFormat="1">
      <alignment horizontal="center" vertical="center"/>
    </xf>
    <xf borderId="20" fillId="31" fontId="20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right"/>
    </xf>
    <xf borderId="0" fillId="0" fontId="20" numFmtId="0" xfId="0" applyAlignment="1" applyFont="1">
      <alignment vertical="center"/>
    </xf>
    <xf borderId="163" fillId="0" fontId="20" numFmtId="0" xfId="0" applyAlignment="1" applyBorder="1" applyFont="1">
      <alignment horizontal="right" readingOrder="0" vertical="center"/>
    </xf>
    <xf borderId="65" fillId="0" fontId="20" numFmtId="0" xfId="0" applyAlignment="1" applyBorder="1" applyFont="1">
      <alignment horizontal="right" readingOrder="0" vertical="center"/>
    </xf>
    <xf borderId="0" fillId="0" fontId="27" numFmtId="0" xfId="0" applyAlignment="1" applyFont="1">
      <alignment vertical="center"/>
    </xf>
    <xf borderId="164" fillId="0" fontId="20" numFmtId="0" xfId="0" applyAlignment="1" applyBorder="1" applyFont="1">
      <alignment vertical="center"/>
    </xf>
    <xf borderId="65" fillId="0" fontId="71" numFmtId="4" xfId="0" applyAlignment="1" applyBorder="1" applyFont="1" applyNumberFormat="1">
      <alignment readingOrder="0" vertical="center"/>
    </xf>
    <xf borderId="65" fillId="0" fontId="20" numFmtId="0" xfId="0" applyAlignment="1" applyBorder="1" applyFont="1">
      <alignment vertical="center"/>
    </xf>
    <xf borderId="65" fillId="31" fontId="20" numFmtId="0" xfId="0" applyAlignment="1" applyBorder="1" applyFont="1">
      <alignment vertical="center"/>
    </xf>
    <xf borderId="65" fillId="22" fontId="71" numFmtId="168" xfId="0" applyAlignment="1" applyBorder="1" applyFont="1" applyNumberFormat="1">
      <alignment vertical="center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168" xfId="0" applyFont="1" applyNumberFormat="1"/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19" fillId="17" fontId="13" numFmtId="0" xfId="0" applyBorder="1" applyFont="1"/>
    <xf borderId="19" fillId="17" fontId="2" numFmtId="0" xfId="0" applyBorder="1" applyFont="1"/>
    <xf borderId="19" fillId="17" fontId="3" numFmtId="168" xfId="0" applyAlignment="1" applyBorder="1" applyFont="1" applyNumberFormat="1">
      <alignment horizontal="center" vertical="center"/>
    </xf>
    <xf borderId="0" fillId="0" fontId="3" numFmtId="188" xfId="0" applyFont="1" applyNumberFormat="1"/>
    <xf borderId="54" fillId="7" fontId="13" numFmtId="0" xfId="0" applyBorder="1" applyFont="1"/>
    <xf borderId="0" fillId="0" fontId="77" numFmtId="0" xfId="0" applyFont="1"/>
    <xf borderId="0" fillId="0" fontId="3" numFmtId="0" xfId="0" applyAlignment="1" applyFont="1">
      <alignment horizontal="center"/>
    </xf>
    <xf borderId="54" fillId="21" fontId="1" numFmtId="0" xfId="0" applyAlignment="1" applyBorder="1" applyFont="1">
      <alignment vertical="bottom"/>
    </xf>
    <xf borderId="0" fillId="11" fontId="14" numFmtId="49" xfId="0" applyFont="1" applyNumberFormat="1"/>
    <xf borderId="0" fillId="11" fontId="14" numFmtId="0" xfId="0" applyAlignment="1" applyFont="1">
      <alignment horizontal="center"/>
    </xf>
    <xf borderId="0" fillId="0" fontId="11" numFmtId="49" xfId="0" applyFont="1" applyNumberFormat="1"/>
    <xf borderId="0" fillId="0" fontId="66" numFmtId="164" xfId="0" applyAlignment="1" applyFont="1" applyNumberFormat="1">
      <alignment horizontal="right"/>
    </xf>
    <xf borderId="0" fillId="0" fontId="66" numFmtId="9" xfId="0" applyAlignment="1" applyFont="1" applyNumberFormat="1">
      <alignment horizontal="center"/>
    </xf>
    <xf borderId="0" fillId="0" fontId="20" numFmtId="182" xfId="0" applyFont="1" applyNumberFormat="1"/>
    <xf borderId="0" fillId="21" fontId="69" numFmtId="3" xfId="0" applyFont="1" applyNumberFormat="1"/>
    <xf borderId="156" fillId="21" fontId="11" numFmtId="3" xfId="0" applyAlignment="1" applyBorder="1" applyFont="1" applyNumberFormat="1">
      <alignment horizontal="right"/>
    </xf>
    <xf borderId="156" fillId="23" fontId="15" numFmtId="181" xfId="0" applyBorder="1" applyFont="1" applyNumberFormat="1"/>
    <xf borderId="156" fillId="23" fontId="15" numFmtId="169" xfId="0" applyAlignment="1" applyBorder="1" applyFont="1" applyNumberFormat="1">
      <alignment horizontal="right" readingOrder="0"/>
    </xf>
    <xf borderId="156" fillId="23" fontId="66" numFmtId="164" xfId="0" applyAlignment="1" applyBorder="1" applyFont="1" applyNumberFormat="1">
      <alignment horizontal="right" readingOrder="0"/>
    </xf>
    <xf borderId="156" fillId="23" fontId="66" numFmtId="9" xfId="0" applyAlignment="1" applyBorder="1" applyFont="1" applyNumberFormat="1">
      <alignment horizontal="center" readingOrder="0" vertical="center"/>
    </xf>
    <xf borderId="0" fillId="0" fontId="1" numFmtId="14" xfId="0" applyFont="1" applyNumberFormat="1"/>
    <xf borderId="0" fillId="11" fontId="14" numFmtId="0" xfId="0" applyAlignment="1" applyFont="1">
      <alignment horizontal="right"/>
    </xf>
    <xf borderId="0" fillId="0" fontId="20" numFmtId="182" xfId="0" applyAlignment="1" applyFont="1" applyNumberFormat="1">
      <alignment readingOrder="0"/>
    </xf>
    <xf borderId="0" fillId="0" fontId="20" numFmtId="189" xfId="0" applyAlignment="1" applyFont="1" applyNumberFormat="1">
      <alignment readingOrder="0"/>
    </xf>
    <xf borderId="0" fillId="0" fontId="11" numFmtId="49" xfId="0" applyAlignment="1" applyFont="1" applyNumberFormat="1">
      <alignment readingOrder="0"/>
    </xf>
    <xf borderId="19" fillId="21" fontId="15" numFmtId="182" xfId="0" applyAlignment="1" applyBorder="1" applyFont="1" applyNumberFormat="1">
      <alignment horizontal="right" vertical="center"/>
    </xf>
    <xf borderId="0" fillId="21" fontId="37" numFmtId="10" xfId="0" applyFont="1" applyNumberFormat="1"/>
    <xf borderId="0" fillId="21" fontId="11" numFmtId="172" xfId="0" applyAlignment="1" applyFont="1" applyNumberFormat="1">
      <alignment readingOrder="0" vertical="center"/>
    </xf>
    <xf borderId="165" fillId="23" fontId="15" numFmtId="181" xfId="0" applyBorder="1" applyFont="1" applyNumberFormat="1"/>
    <xf borderId="0" fillId="21" fontId="17" numFmtId="172" xfId="0" applyAlignment="1" applyFont="1" applyNumberFormat="1">
      <alignment horizontal="right" vertical="center"/>
    </xf>
    <xf borderId="165" fillId="23" fontId="15" numFmtId="169" xfId="0" applyAlignment="1" applyBorder="1" applyFont="1" applyNumberFormat="1">
      <alignment horizontal="right"/>
    </xf>
    <xf borderId="165" fillId="23" fontId="66" numFmtId="164" xfId="0" applyAlignment="1" applyBorder="1" applyFont="1" applyNumberFormat="1">
      <alignment horizontal="right"/>
    </xf>
    <xf borderId="165" fillId="23" fontId="66" numFmtId="9" xfId="0" applyAlignment="1" applyBorder="1" applyFont="1" applyNumberFormat="1">
      <alignment horizontal="center"/>
    </xf>
    <xf borderId="0" fillId="0" fontId="1" numFmtId="49" xfId="0" applyFont="1" applyNumberFormat="1"/>
    <xf borderId="0" fillId="0" fontId="1" numFmtId="182" xfId="0" applyFont="1" applyNumberFormat="1"/>
    <xf borderId="0" fillId="21" fontId="1" numFmtId="182" xfId="0" applyFont="1" applyNumberFormat="1"/>
    <xf borderId="165" fillId="23" fontId="15" numFmtId="181" xfId="0" applyAlignment="1" applyBorder="1" applyFont="1" applyNumberFormat="1">
      <alignment readingOrder="0"/>
    </xf>
    <xf borderId="0" fillId="0" fontId="27" numFmtId="4" xfId="0" applyAlignment="1" applyFont="1" applyNumberFormat="1">
      <alignment horizontal="right" readingOrder="0" vertical="bottom"/>
    </xf>
    <xf borderId="0" fillId="21" fontId="37" numFmtId="49" xfId="0" applyAlignment="1" applyFont="1" applyNumberFormat="1">
      <alignment vertical="center"/>
    </xf>
    <xf borderId="0" fillId="21" fontId="37" numFmtId="182" xfId="0" applyAlignment="1" applyFont="1" applyNumberFormat="1">
      <alignment vertical="center"/>
    </xf>
    <xf borderId="0" fillId="21" fontId="37" numFmtId="10" xfId="0" applyAlignment="1" applyFont="1" applyNumberFormat="1">
      <alignment vertical="center"/>
    </xf>
    <xf borderId="0" fillId="0" fontId="37" numFmtId="182" xfId="0" applyAlignment="1" applyFont="1" applyNumberFormat="1">
      <alignment vertical="center"/>
    </xf>
    <xf borderId="0" fillId="0" fontId="27" numFmtId="177" xfId="0" applyFont="1" applyNumberFormat="1"/>
    <xf borderId="0" fillId="0" fontId="37" numFmtId="182" xfId="0" applyAlignment="1" applyFont="1" applyNumberFormat="1">
      <alignment horizontal="right" vertical="center"/>
    </xf>
    <xf borderId="0" fillId="0" fontId="37" numFmtId="9" xfId="0" applyAlignment="1" applyFont="1" applyNumberFormat="1">
      <alignment horizontal="center" vertical="center"/>
    </xf>
    <xf borderId="0" fillId="21" fontId="11" numFmtId="172" xfId="0" applyAlignment="1" applyFont="1" applyNumberFormat="1">
      <alignment horizontal="right" vertical="center"/>
    </xf>
    <xf borderId="0" fillId="0" fontId="27" numFmtId="166" xfId="0" applyFont="1" applyNumberFormat="1"/>
    <xf borderId="0" fillId="21" fontId="69" numFmtId="172" xfId="0" applyAlignment="1" applyFont="1" applyNumberFormat="1">
      <alignment horizontal="right"/>
    </xf>
    <xf borderId="0" fillId="0" fontId="37" numFmtId="49" xfId="0" applyAlignment="1" applyFont="1" applyNumberFormat="1">
      <alignment readingOrder="0" vertical="center"/>
    </xf>
    <xf borderId="0" fillId="0" fontId="27" numFmtId="190" xfId="0" applyFont="1" applyNumberFormat="1"/>
    <xf borderId="0" fillId="0" fontId="37" numFmtId="182" xfId="0" applyAlignment="1" applyFont="1" applyNumberFormat="1">
      <alignment readingOrder="0" vertical="center"/>
    </xf>
    <xf borderId="0" fillId="0" fontId="37" numFmtId="189" xfId="0" applyAlignment="1" applyFont="1" applyNumberFormat="1">
      <alignment readingOrder="0" vertical="center"/>
    </xf>
    <xf borderId="0" fillId="0" fontId="37" numFmtId="189" xfId="0" applyAlignment="1" applyFont="1" applyNumberFormat="1">
      <alignment horizontal="right" readingOrder="0" vertical="center"/>
    </xf>
    <xf borderId="0" fillId="0" fontId="72" numFmtId="0" xfId="0" applyFont="1"/>
    <xf borderId="0" fillId="0" fontId="28" numFmtId="49" xfId="0" applyFont="1" applyNumberFormat="1"/>
    <xf borderId="0" fillId="0" fontId="38" numFmtId="166" xfId="0" applyFont="1" applyNumberFormat="1"/>
    <xf borderId="0" fillId="0" fontId="78" numFmtId="3" xfId="0" applyFont="1" applyNumberFormat="1"/>
    <xf borderId="0" fillId="0" fontId="28" numFmtId="187" xfId="0" applyFont="1" applyNumberFormat="1"/>
    <xf borderId="0" fillId="0" fontId="79" numFmtId="49" xfId="0" applyFont="1" applyNumberFormat="1"/>
    <xf borderId="0" fillId="0" fontId="80" numFmtId="166" xfId="0" applyFont="1" applyNumberFormat="1"/>
    <xf borderId="0" fillId="0" fontId="81" numFmtId="3" xfId="0" applyFont="1" applyNumberFormat="1"/>
    <xf borderId="0" fillId="0" fontId="82" numFmtId="187" xfId="0" applyFont="1" applyNumberFormat="1"/>
    <xf borderId="0" fillId="0" fontId="11" numFmtId="169" xfId="0" applyAlignment="1" applyFont="1" applyNumberFormat="1">
      <alignment horizontal="right" readingOrder="0"/>
    </xf>
    <xf borderId="0" fillId="0" fontId="11" numFmtId="182" xfId="0" applyAlignment="1" applyFont="1" applyNumberFormat="1">
      <alignment horizontal="right"/>
    </xf>
    <xf borderId="0" fillId="0" fontId="11" numFmtId="172" xfId="0" applyAlignment="1" applyFont="1" applyNumberFormat="1">
      <alignment horizontal="right"/>
    </xf>
    <xf borderId="0" fillId="21" fontId="11" numFmtId="49" xfId="0" applyAlignment="1" applyFont="1" applyNumberFormat="1">
      <alignment readingOrder="0" vertical="center"/>
    </xf>
    <xf borderId="0" fillId="0" fontId="83" numFmtId="3" xfId="0" applyFont="1" applyNumberFormat="1"/>
    <xf borderId="0" fillId="0" fontId="84" numFmtId="187" xfId="0" applyFont="1" applyNumberFormat="1"/>
    <xf borderId="0" fillId="0" fontId="1" numFmtId="166" xfId="0" applyFont="1" applyNumberFormat="1"/>
    <xf borderId="19" fillId="23" fontId="24" numFmtId="9" xfId="0" applyAlignment="1" applyBorder="1" applyFont="1" applyNumberFormat="1">
      <alignment horizontal="center" vertical="center"/>
    </xf>
    <xf borderId="0" fillId="21" fontId="37" numFmtId="0" xfId="0" applyFont="1"/>
    <xf borderId="19" fillId="11" fontId="14" numFmtId="49" xfId="0" applyAlignment="1" applyBorder="1" applyFont="1" applyNumberFormat="1">
      <alignment readingOrder="0" vertical="center"/>
    </xf>
    <xf borderId="0" fillId="21" fontId="11" numFmtId="172" xfId="0" applyAlignment="1" applyFont="1" applyNumberFormat="1">
      <alignment vertical="center"/>
    </xf>
    <xf borderId="0" fillId="21" fontId="37" numFmtId="49" xfId="0" applyAlignment="1" applyFont="1" applyNumberFormat="1">
      <alignment readingOrder="0" vertical="center"/>
    </xf>
    <xf borderId="0" fillId="21" fontId="37" numFmtId="182" xfId="0" applyAlignment="1" applyFont="1" applyNumberFormat="1">
      <alignment readingOrder="0" vertical="center"/>
    </xf>
    <xf borderId="0" fillId="0" fontId="11" numFmtId="182" xfId="0" applyAlignment="1" applyFont="1" applyNumberFormat="1">
      <alignment horizontal="right" readingOrder="0" vertical="center"/>
    </xf>
    <xf borderId="0" fillId="21" fontId="11" numFmtId="182" xfId="0" applyAlignment="1" applyFont="1" applyNumberFormat="1">
      <alignment horizontal="right" readingOrder="0" vertical="center"/>
    </xf>
    <xf borderId="34" fillId="23" fontId="15" numFmtId="181" xfId="0" applyAlignment="1" applyBorder="1" applyFont="1" applyNumberFormat="1">
      <alignment vertical="center"/>
    </xf>
    <xf borderId="34" fillId="23" fontId="15" numFmtId="182" xfId="0" applyAlignment="1" applyBorder="1" applyFont="1" applyNumberFormat="1">
      <alignment horizontal="right" vertical="center"/>
    </xf>
    <xf borderId="34" fillId="23" fontId="15" numFmtId="9" xfId="0" applyAlignment="1" applyBorder="1" applyFont="1" applyNumberFormat="1">
      <alignment horizontal="center" vertical="center"/>
    </xf>
    <xf borderId="166" fillId="23" fontId="61" numFmtId="0" xfId="0" applyAlignment="1" applyBorder="1" applyFont="1">
      <alignment readingOrder="0" vertical="center"/>
    </xf>
    <xf borderId="166" fillId="23" fontId="61" numFmtId="182" xfId="0" applyAlignment="1" applyBorder="1" applyFont="1" applyNumberFormat="1">
      <alignment horizontal="right" vertical="center"/>
    </xf>
    <xf borderId="166" fillId="23" fontId="62" numFmtId="182" xfId="0" applyAlignment="1" applyBorder="1" applyFont="1" applyNumberFormat="1">
      <alignment horizontal="right" vertical="center"/>
    </xf>
    <xf borderId="166" fillId="23" fontId="62" numFmtId="9" xfId="0" applyAlignment="1" applyBorder="1" applyFont="1" applyNumberFormat="1">
      <alignment horizontal="center" vertical="center"/>
    </xf>
    <xf borderId="0" fillId="0" fontId="11" numFmtId="172" xfId="0" applyAlignment="1" applyFont="1" applyNumberFormat="1">
      <alignment horizontal="right" readingOrder="0" vertical="center"/>
    </xf>
    <xf borderId="20" fillId="31" fontId="32" numFmtId="0" xfId="0" applyAlignment="1" applyBorder="1" applyFont="1">
      <alignment horizontal="center"/>
    </xf>
    <xf borderId="0" fillId="0" fontId="37" numFmtId="189" xfId="0" applyAlignment="1" applyFont="1" applyNumberFormat="1">
      <alignment horizontal="right"/>
    </xf>
    <xf borderId="0" fillId="0" fontId="32" numFmtId="0" xfId="0" applyFont="1"/>
    <xf borderId="0" fillId="0" fontId="32" numFmtId="179" xfId="0" applyAlignment="1" applyFont="1" applyNumberFormat="1">
      <alignment horizontal="center" readingOrder="0"/>
    </xf>
    <xf borderId="0" fillId="0" fontId="85" numFmtId="166" xfId="0" applyAlignment="1" applyFont="1" applyNumberFormat="1">
      <alignment horizontal="center" readingOrder="1" vertical="center"/>
    </xf>
    <xf borderId="0" fillId="0" fontId="27" numFmtId="0" xfId="0" applyFont="1"/>
    <xf borderId="54" fillId="0" fontId="37" numFmtId="0" xfId="0" applyBorder="1" applyFont="1"/>
    <xf borderId="54" fillId="0" fontId="37" numFmtId="170" xfId="0" applyAlignment="1" applyBorder="1" applyFont="1" applyNumberFormat="1">
      <alignment horizontal="center" readingOrder="0"/>
    </xf>
    <xf borderId="0" fillId="0" fontId="86" numFmtId="166" xfId="0" applyAlignment="1" applyFont="1" applyNumberFormat="1">
      <alignment horizontal="right" readingOrder="1" vertical="center"/>
    </xf>
    <xf borderId="54" fillId="31" fontId="32" numFmtId="0" xfId="0" applyBorder="1" applyFont="1"/>
    <xf borderId="54" fillId="31" fontId="20" numFmtId="166" xfId="0" applyBorder="1" applyFont="1" applyNumberFormat="1"/>
    <xf borderId="0" fillId="0" fontId="1" numFmtId="170" xfId="0" applyAlignment="1" applyFont="1" applyNumberFormat="1">
      <alignment readingOrder="0"/>
    </xf>
    <xf borderId="0" fillId="0" fontId="87" numFmtId="0" xfId="0" applyAlignment="1" applyFont="1">
      <alignment horizontal="center" readingOrder="1" vertical="center"/>
    </xf>
    <xf borderId="36" fillId="19" fontId="13" numFmtId="0" xfId="0" applyBorder="1" applyFont="1"/>
    <xf borderId="19" fillId="19" fontId="2" numFmtId="0" xfId="0" applyBorder="1" applyFont="1"/>
    <xf borderId="0" fillId="0" fontId="2" numFmtId="16" xfId="0" applyFont="1" applyNumberFormat="1"/>
    <xf borderId="36" fillId="19" fontId="3" numFmtId="168" xfId="0" applyAlignment="1" applyBorder="1" applyFont="1" applyNumberFormat="1">
      <alignment horizontal="center" vertical="center"/>
    </xf>
    <xf borderId="36" fillId="19" fontId="2" numFmtId="168" xfId="0" applyAlignment="1" applyBorder="1" applyFont="1" applyNumberFormat="1">
      <alignment horizontal="center" vertical="center"/>
    </xf>
    <xf borderId="36" fillId="7" fontId="13" numFmtId="0" xfId="0" applyBorder="1" applyFont="1"/>
    <xf borderId="84" fillId="0" fontId="3" numFmtId="168" xfId="0" applyAlignment="1" applyBorder="1" applyFont="1" applyNumberFormat="1">
      <alignment horizontal="center" vertical="center"/>
    </xf>
    <xf borderId="84" fillId="0" fontId="2" numFmtId="168" xfId="0" applyAlignment="1" applyBorder="1" applyFont="1" applyNumberFormat="1">
      <alignment horizontal="center" vertical="center"/>
    </xf>
    <xf borderId="49" fillId="12" fontId="3" numFmtId="18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right"/>
    </xf>
    <xf borderId="0" fillId="0" fontId="3" numFmtId="2" xfId="0" applyAlignment="1" applyFont="1" applyNumberFormat="1">
      <alignment readingOrder="0"/>
    </xf>
    <xf quotePrefix="1" borderId="0" fillId="0" fontId="3" numFmtId="10" xfId="0" applyFont="1" applyNumberFormat="1"/>
    <xf borderId="0" fillId="0" fontId="2" numFmtId="10" xfId="0" applyAlignment="1" applyFont="1" applyNumberFormat="1">
      <alignment horizontal="center" vertical="center"/>
    </xf>
    <xf borderId="19" fillId="6" fontId="12" numFmtId="17" xfId="0" applyAlignment="1" applyBorder="1" applyFont="1" applyNumberFormat="1">
      <alignment horizontal="center"/>
    </xf>
    <xf borderId="36" fillId="7" fontId="13" numFmtId="0" xfId="0" applyAlignment="1" applyBorder="1" applyFont="1">
      <alignment horizontal="right" readingOrder="0"/>
    </xf>
    <xf borderId="84" fillId="0" fontId="3" numFmtId="3" xfId="0" applyAlignment="1" applyBorder="1" applyFont="1" applyNumberFormat="1">
      <alignment horizontal="center" vertical="center"/>
    </xf>
    <xf borderId="84" fillId="0" fontId="3" numFmtId="164" xfId="0" applyAlignment="1" applyBorder="1" applyFont="1" applyNumberFormat="1">
      <alignment horizontal="center" readingOrder="0" vertical="center"/>
    </xf>
    <xf borderId="84" fillId="0" fontId="3" numFmtId="164" xfId="0" applyAlignment="1" applyBorder="1" applyFont="1" applyNumberFormat="1">
      <alignment horizontal="center" readingOrder="0"/>
    </xf>
    <xf borderId="160" fillId="21" fontId="1" numFmtId="0" xfId="0" applyAlignment="1" applyBorder="1" applyFont="1">
      <alignment horizontal="center" vertical="bottom"/>
    </xf>
    <xf borderId="19" fillId="8" fontId="7" numFmtId="49" xfId="0" applyAlignment="1" applyBorder="1" applyFont="1" applyNumberFormat="1">
      <alignment horizontal="left" vertical="center"/>
    </xf>
    <xf borderId="167" fillId="8" fontId="5" numFmtId="179" xfId="0" applyAlignment="1" applyBorder="1" applyFont="1" applyNumberFormat="1">
      <alignment horizontal="right" readingOrder="0" vertical="center"/>
    </xf>
    <xf borderId="0" fillId="0" fontId="1" numFmtId="49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right" vertical="center"/>
    </xf>
    <xf borderId="0" fillId="21" fontId="1" numFmtId="164" xfId="0" applyAlignment="1" applyFont="1" applyNumberFormat="1">
      <alignment horizontal="right" vertical="center"/>
    </xf>
    <xf borderId="0" fillId="21" fontId="1" numFmtId="9" xfId="0" applyAlignment="1" applyFont="1" applyNumberFormat="1">
      <alignment horizontal="center" vertical="center"/>
    </xf>
    <xf borderId="19" fillId="9" fontId="20" numFmtId="181" xfId="0" applyAlignment="1" applyBorder="1" applyFont="1" applyNumberFormat="1">
      <alignment horizontal="left" vertical="center"/>
    </xf>
    <xf borderId="19" fillId="9" fontId="20" numFmtId="3" xfId="0" applyAlignment="1" applyBorder="1" applyFont="1" applyNumberFormat="1">
      <alignment horizontal="right" readingOrder="0" vertical="center"/>
    </xf>
    <xf borderId="19" fillId="9" fontId="72" numFmtId="164" xfId="0" applyAlignment="1" applyBorder="1" applyFont="1" applyNumberFormat="1">
      <alignment horizontal="right" readingOrder="0" vertical="center"/>
    </xf>
    <xf borderId="19" fillId="9" fontId="1" numFmtId="9" xfId="0" applyAlignment="1" applyBorder="1" applyFont="1" applyNumberFormat="1">
      <alignment horizontal="center" vertical="center"/>
    </xf>
    <xf borderId="0" fillId="21" fontId="1" numFmtId="0" xfId="0" applyAlignment="1" applyFont="1">
      <alignment vertical="center"/>
    </xf>
    <xf borderId="0" fillId="21" fontId="1" numFmtId="3" xfId="0" applyAlignment="1" applyFont="1" applyNumberFormat="1">
      <alignment horizontal="right" vertical="center"/>
    </xf>
    <xf borderId="19" fillId="9" fontId="20" numFmtId="182" xfId="0" applyAlignment="1" applyBorder="1" applyFont="1" applyNumberFormat="1">
      <alignment horizontal="right" vertical="center"/>
    </xf>
    <xf borderId="19" fillId="9" fontId="1" numFmtId="164" xfId="0" applyAlignment="1" applyBorder="1" applyFont="1" applyNumberFormat="1">
      <alignment horizontal="right" vertical="center"/>
    </xf>
    <xf borderId="19" fillId="9" fontId="20" numFmtId="0" xfId="0" applyAlignment="1" applyBorder="1" applyFont="1">
      <alignment horizontal="left" readingOrder="0" vertical="center"/>
    </xf>
    <xf borderId="19" fillId="9" fontId="7" numFmtId="164" xfId="0" applyAlignment="1" applyBorder="1" applyFont="1" applyNumberFormat="1">
      <alignment horizontal="right" vertical="center"/>
    </xf>
    <xf borderId="19" fillId="9" fontId="7" numFmtId="9" xfId="0" applyAlignment="1" applyBorder="1" applyFont="1" applyNumberFormat="1">
      <alignment horizontal="center" vertical="center"/>
    </xf>
    <xf borderId="0" fillId="21" fontId="37" numFmtId="4" xfId="0" applyFont="1" applyNumberFormat="1"/>
    <xf borderId="0" fillId="21" fontId="1" numFmtId="169" xfId="0" applyFont="1" applyNumberFormat="1"/>
    <xf borderId="0" fillId="21" fontId="1" numFmtId="166" xfId="0" applyAlignment="1" applyFont="1" applyNumberFormat="1">
      <alignment readingOrder="0"/>
    </xf>
    <xf borderId="167" fillId="8" fontId="24" numFmtId="49" xfId="0" applyAlignment="1" applyBorder="1" applyFont="1" applyNumberFormat="1">
      <alignment horizontal="left" vertical="center"/>
    </xf>
    <xf borderId="167" fillId="8" fontId="24" numFmtId="0" xfId="0" applyAlignment="1" applyBorder="1" applyFont="1">
      <alignment horizontal="center" vertical="center"/>
    </xf>
    <xf borderId="0" fillId="0" fontId="11" numFmtId="172" xfId="0" applyAlignment="1" applyFont="1" applyNumberFormat="1">
      <alignment horizontal="right" vertical="center"/>
    </xf>
    <xf borderId="0" fillId="21" fontId="69" numFmtId="172" xfId="0" applyAlignment="1" applyFont="1" applyNumberFormat="1">
      <alignment horizontal="right" vertical="center"/>
    </xf>
    <xf borderId="0" fillId="21" fontId="11" numFmtId="172" xfId="0" applyAlignment="1" applyFont="1" applyNumberFormat="1">
      <alignment horizontal="right" readingOrder="0" vertical="center"/>
    </xf>
    <xf borderId="0" fillId="0" fontId="88" numFmtId="172" xfId="0" applyAlignment="1" applyFont="1" applyNumberFormat="1">
      <alignment horizontal="right" vertical="center"/>
    </xf>
    <xf borderId="19" fillId="9" fontId="15" numFmtId="181" xfId="0" applyAlignment="1" applyBorder="1" applyFont="1" applyNumberFormat="1">
      <alignment horizontal="left" vertical="center"/>
    </xf>
    <xf borderId="19" fillId="9" fontId="15" numFmtId="182" xfId="0" applyAlignment="1" applyBorder="1" applyFont="1" applyNumberFormat="1">
      <alignment horizontal="center" vertical="center"/>
    </xf>
    <xf borderId="167" fillId="8" fontId="7" numFmtId="49" xfId="0" applyAlignment="1" applyBorder="1" applyFont="1" applyNumberFormat="1">
      <alignment horizontal="left" vertical="center"/>
    </xf>
    <xf borderId="167" fillId="8" fontId="7" numFmtId="0" xfId="0" applyAlignment="1" applyBorder="1" applyFont="1">
      <alignment horizontal="center" vertical="center"/>
    </xf>
    <xf borderId="0" fillId="21" fontId="69" numFmtId="172" xfId="0" applyAlignment="1" applyFont="1" applyNumberFormat="1">
      <alignment horizontal="right" readingOrder="0" vertical="center"/>
    </xf>
    <xf borderId="0" fillId="0" fontId="66" numFmtId="9" xfId="0" applyAlignment="1" applyFont="1" applyNumberFormat="1">
      <alignment horizontal="center" readingOrder="0" vertical="center"/>
    </xf>
    <xf borderId="19" fillId="9" fontId="15" numFmtId="181" xfId="0" applyAlignment="1" applyBorder="1" applyFont="1" applyNumberFormat="1">
      <alignment readingOrder="0" vertical="center"/>
    </xf>
    <xf borderId="0" fillId="0" fontId="1" numFmtId="172" xfId="0" applyAlignment="1" applyFont="1" applyNumberFormat="1">
      <alignment readingOrder="0"/>
    </xf>
    <xf borderId="0" fillId="0" fontId="29" numFmtId="191" xfId="0" applyAlignment="1" applyFont="1" applyNumberFormat="1">
      <alignment readingOrder="0"/>
    </xf>
    <xf borderId="0" fillId="0" fontId="29" numFmtId="191" xfId="0" applyFont="1" applyNumberFormat="1"/>
    <xf borderId="9" fillId="4" fontId="14" numFmtId="0" xfId="0" applyAlignment="1" applyBorder="1" applyFont="1">
      <alignment horizontal="center" shrinkToFit="0" wrapText="1"/>
    </xf>
    <xf borderId="13" fillId="4" fontId="14" numFmtId="0" xfId="0" applyAlignment="1" applyBorder="1" applyFont="1">
      <alignment horizontal="center" readingOrder="0"/>
    </xf>
    <xf borderId="13" fillId="4" fontId="14" numFmtId="0" xfId="0" applyAlignment="1" applyBorder="1" applyFont="1">
      <alignment horizontal="center" readingOrder="0"/>
    </xf>
    <xf borderId="5" fillId="4" fontId="5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26" fillId="0" fontId="11" numFmtId="0" xfId="0" applyBorder="1" applyFont="1"/>
    <xf borderId="5" fillId="0" fontId="11" numFmtId="3" xfId="0" applyAlignment="1" applyBorder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7" fillId="0" fontId="11" numFmtId="9" xfId="0" applyAlignment="1" applyBorder="1" applyFont="1" applyNumberFormat="1">
      <alignment horizontal="center"/>
    </xf>
    <xf borderId="0" fillId="0" fontId="11" numFmtId="172" xfId="0" applyAlignment="1" applyFont="1" applyNumberFormat="1">
      <alignment horizontal="center"/>
    </xf>
    <xf borderId="5" fillId="0" fontId="11" numFmtId="172" xfId="0" applyAlignment="1" applyBorder="1" applyFont="1" applyNumberFormat="1">
      <alignment horizontal="center"/>
    </xf>
    <xf borderId="26" fillId="0" fontId="11" numFmtId="0" xfId="0" applyBorder="1" applyFont="1"/>
    <xf borderId="5" fillId="0" fontId="11" numFmtId="164" xfId="0" applyAlignment="1" applyBorder="1" applyFont="1" applyNumberFormat="1">
      <alignment horizontal="center"/>
    </xf>
    <xf borderId="5" fillId="0" fontId="11" numFmtId="169" xfId="0" applyAlignment="1" applyBorder="1" applyFont="1" applyNumberFormat="1">
      <alignment horizontal="center"/>
    </xf>
    <xf borderId="7" fillId="0" fontId="11" numFmtId="169" xfId="0" applyAlignment="1" applyBorder="1" applyFont="1" applyNumberFormat="1">
      <alignment horizontal="center"/>
    </xf>
    <xf borderId="60" fillId="9" fontId="15" numFmtId="0" xfId="0" applyBorder="1" applyFont="1"/>
    <xf borderId="23" fillId="9" fontId="15" numFmtId="164" xfId="0" applyAlignment="1" applyBorder="1" applyFont="1" applyNumberFormat="1">
      <alignment horizontal="center"/>
    </xf>
    <xf borderId="19" fillId="9" fontId="15" numFmtId="164" xfId="0" applyAlignment="1" applyBorder="1" applyFont="1" applyNumberFormat="1">
      <alignment horizontal="center"/>
    </xf>
    <xf borderId="19" fillId="9" fontId="15" numFmtId="9" xfId="0" applyAlignment="1" applyBorder="1" applyFont="1" applyNumberFormat="1">
      <alignment horizontal="center"/>
    </xf>
    <xf borderId="25" fillId="9" fontId="15" numFmtId="9" xfId="0" applyAlignment="1" applyBorder="1" applyFont="1" applyNumberFormat="1">
      <alignment horizontal="center"/>
    </xf>
    <xf borderId="68" fillId="8" fontId="14" numFmtId="0" xfId="0" applyAlignment="1" applyBorder="1" applyFont="1">
      <alignment horizontal="center"/>
    </xf>
    <xf borderId="69" fillId="8" fontId="14" numFmtId="9" xfId="0" applyAlignment="1" applyBorder="1" applyFont="1" applyNumberFormat="1">
      <alignment horizontal="center"/>
    </xf>
    <xf borderId="70" fillId="8" fontId="14" numFmtId="9" xfId="0" applyAlignment="1" applyBorder="1" applyFont="1" applyNumberFormat="1">
      <alignment horizontal="center"/>
    </xf>
    <xf borderId="70" fillId="8" fontId="1" numFmtId="0" xfId="0" applyBorder="1" applyFont="1"/>
    <xf borderId="71" fillId="8" fontId="1" numFmtId="0" xfId="0" applyBorder="1" applyFont="1"/>
    <xf borderId="0" fillId="0" fontId="1" numFmtId="9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20" numFmtId="10" xfId="0" applyAlignment="1" applyFont="1" applyNumberFormat="1">
      <alignment vertical="bottom"/>
    </xf>
    <xf borderId="168" fillId="24" fontId="5" numFmtId="0" xfId="0" applyAlignment="1" applyBorder="1" applyFont="1">
      <alignment horizontal="center" readingOrder="0" shrinkToFit="0" vertical="center" wrapText="1"/>
    </xf>
    <xf borderId="168" fillId="24" fontId="5" numFmtId="0" xfId="0" applyAlignment="1" applyBorder="1" applyFont="1">
      <alignment horizontal="center" readingOrder="0" vertical="center"/>
    </xf>
    <xf borderId="169" fillId="0" fontId="6" numFmtId="0" xfId="0" applyBorder="1" applyFont="1"/>
    <xf borderId="170" fillId="0" fontId="6" numFmtId="0" xfId="0" applyBorder="1" applyFont="1"/>
    <xf borderId="171" fillId="0" fontId="6" numFmtId="0" xfId="0" applyBorder="1" applyFont="1"/>
    <xf borderId="171" fillId="24" fontId="5" numFmtId="0" xfId="0" applyAlignment="1" applyBorder="1" applyFont="1">
      <alignment horizontal="center" readingOrder="0" shrinkToFit="0" vertical="center" wrapText="1"/>
    </xf>
    <xf borderId="0" fillId="24" fontId="5" numFmtId="0" xfId="0" applyAlignment="1" applyFont="1">
      <alignment horizontal="center" readingOrder="0" shrinkToFit="0" vertical="center" wrapText="1"/>
    </xf>
    <xf borderId="171" fillId="0" fontId="11" numFmtId="0" xfId="0" applyAlignment="1" applyBorder="1" applyFont="1">
      <alignment readingOrder="0" vertical="center"/>
    </xf>
    <xf borderId="171" fillId="0" fontId="11" numFmtId="172" xfId="0" applyAlignment="1" applyBorder="1" applyFont="1" applyNumberFormat="1">
      <alignment horizontal="center" readingOrder="0" vertical="center"/>
    </xf>
    <xf borderId="0" fillId="0" fontId="11" numFmtId="172" xfId="0" applyAlignment="1" applyFont="1" applyNumberFormat="1">
      <alignment horizontal="center" readingOrder="0" vertical="center"/>
    </xf>
    <xf borderId="172" fillId="0" fontId="11" numFmtId="9" xfId="0" applyAlignment="1" applyBorder="1" applyFont="1" applyNumberFormat="1">
      <alignment horizontal="center" readingOrder="0" vertical="center"/>
    </xf>
    <xf borderId="0" fillId="35" fontId="1" numFmtId="0" xfId="0" applyAlignment="1" applyFill="1" applyFont="1">
      <alignment vertical="bottom"/>
    </xf>
    <xf borderId="171" fillId="0" fontId="11" numFmtId="3" xfId="0" applyAlignment="1" applyBorder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171" fillId="0" fontId="11" numFmtId="0" xfId="0" applyAlignment="1" applyBorder="1" applyFont="1">
      <alignment readingOrder="0" shrinkToFit="0" vertical="center" wrapText="0"/>
    </xf>
    <xf borderId="171" fillId="0" fontId="11" numFmtId="3" xfId="0" applyAlignment="1" applyBorder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171" fillId="0" fontId="11" numFmtId="169" xfId="0" applyAlignment="1" applyBorder="1" applyFont="1" applyNumberFormat="1">
      <alignment horizontal="center" vertical="center"/>
    </xf>
    <xf borderId="19" fillId="9" fontId="32" numFmtId="49" xfId="0" applyAlignment="1" applyBorder="1" applyFont="1" applyNumberFormat="1">
      <alignment readingOrder="0" vertical="center"/>
    </xf>
    <xf borderId="19" fillId="9" fontId="32" numFmtId="179" xfId="0" applyAlignment="1" applyBorder="1" applyFont="1" applyNumberFormat="1">
      <alignment horizontal="right" readingOrder="0" vertical="center"/>
    </xf>
    <xf borderId="19" fillId="9" fontId="32" numFmtId="0" xfId="0" applyAlignment="1" applyBorder="1" applyFont="1">
      <alignment horizontal="center" vertical="center"/>
    </xf>
    <xf borderId="0" fillId="33" fontId="29" numFmtId="0" xfId="0" applyFont="1"/>
    <xf borderId="173" fillId="0" fontId="11" numFmtId="0" xfId="0" applyAlignment="1" applyBorder="1" applyFont="1">
      <alignment readingOrder="0" vertical="center"/>
    </xf>
    <xf borderId="0" fillId="0" fontId="27" numFmtId="172" xfId="0" applyAlignment="1" applyFont="1" applyNumberFormat="1">
      <alignment horizontal="right" vertical="center"/>
    </xf>
    <xf borderId="172" fillId="0" fontId="1" numFmtId="169" xfId="0" applyAlignment="1" applyBorder="1" applyFont="1" applyNumberFormat="1">
      <alignment horizontal="center" vertical="bottom"/>
    </xf>
    <xf borderId="0" fillId="0" fontId="89" numFmtId="0" xfId="0" applyFont="1"/>
    <xf borderId="174" fillId="0" fontId="15" numFmtId="0" xfId="0" applyAlignment="1" applyBorder="1" applyFont="1">
      <alignment readingOrder="0" vertical="center"/>
    </xf>
    <xf borderId="0" fillId="0" fontId="32" numFmtId="182" xfId="0" applyAlignment="1" applyFont="1" applyNumberFormat="1">
      <alignment horizontal="right" vertical="center"/>
    </xf>
    <xf borderId="0" fillId="0" fontId="90" numFmtId="9" xfId="0" applyAlignment="1" applyFont="1" applyNumberFormat="1">
      <alignment readingOrder="0" vertical="center"/>
    </xf>
    <xf borderId="174" fillId="0" fontId="15" numFmtId="172" xfId="0" applyAlignment="1" applyBorder="1" applyFont="1" applyNumberFormat="1">
      <alignment horizontal="center" readingOrder="0" vertical="center"/>
    </xf>
    <xf borderId="175" fillId="0" fontId="15" numFmtId="172" xfId="0" applyAlignment="1" applyBorder="1" applyFont="1" applyNumberFormat="1">
      <alignment horizontal="center" readingOrder="0" vertical="center"/>
    </xf>
    <xf borderId="175" fillId="0" fontId="15" numFmtId="9" xfId="0" applyAlignment="1" applyBorder="1" applyFont="1" applyNumberFormat="1">
      <alignment horizontal="center" readingOrder="0" vertical="center"/>
    </xf>
    <xf borderId="174" fillId="0" fontId="15" numFmtId="3" xfId="0" applyAlignment="1" applyBorder="1" applyFont="1" applyNumberFormat="1">
      <alignment horizontal="center" readingOrder="0" vertical="center"/>
    </xf>
    <xf borderId="0" fillId="0" fontId="90" numFmtId="9" xfId="0" applyAlignment="1" applyFont="1" applyNumberFormat="1">
      <alignment vertical="center"/>
    </xf>
    <xf borderId="175" fillId="0" fontId="15" numFmtId="3" xfId="0" applyAlignment="1" applyBorder="1" applyFont="1" applyNumberFormat="1">
      <alignment horizontal="center" readingOrder="0" vertical="center"/>
    </xf>
    <xf borderId="176" fillId="0" fontId="15" numFmtId="9" xfId="0" applyAlignment="1" applyBorder="1" applyFont="1" applyNumberFormat="1">
      <alignment horizontal="center" readingOrder="0" vertical="center"/>
    </xf>
    <xf borderId="0" fillId="0" fontId="27" numFmtId="172" xfId="0" applyAlignment="1" applyFont="1" applyNumberFormat="1">
      <alignment horizontal="right" readingOrder="0" vertical="center"/>
    </xf>
    <xf borderId="0" fillId="0" fontId="1" numFmtId="2" xfId="0" applyFont="1" applyNumberFormat="1"/>
    <xf borderId="0" fillId="0" fontId="29" numFmtId="172" xfId="0" applyFont="1" applyNumberFormat="1"/>
    <xf borderId="177" fillId="24" fontId="5" numFmtId="0" xfId="0" applyAlignment="1" applyBorder="1" applyFont="1">
      <alignment horizontal="center" readingOrder="0" shrinkToFit="0" vertical="center" wrapText="1"/>
    </xf>
    <xf borderId="168" fillId="24" fontId="5" numFmtId="49" xfId="0" applyAlignment="1" applyBorder="1" applyFont="1" applyNumberFormat="1">
      <alignment horizontal="center" vertical="center"/>
    </xf>
    <xf borderId="168" fillId="24" fontId="5" numFmtId="0" xfId="0" applyAlignment="1" applyBorder="1" applyFont="1">
      <alignment horizontal="center" vertical="center"/>
    </xf>
    <xf borderId="178" fillId="0" fontId="6" numFmtId="0" xfId="0" applyBorder="1" applyFont="1"/>
    <xf borderId="171" fillId="24" fontId="7" numFmtId="0" xfId="0" applyAlignment="1" applyBorder="1" applyFont="1">
      <alignment horizontal="center" shrinkToFit="0" vertical="center" wrapText="1"/>
    </xf>
    <xf borderId="0" fillId="24" fontId="7" numFmtId="0" xfId="0" applyAlignment="1" applyFont="1">
      <alignment horizontal="center" shrinkToFit="0" vertical="center" wrapText="1"/>
    </xf>
    <xf borderId="172" fillId="24" fontId="7" numFmtId="0" xfId="0" applyAlignment="1" applyBorder="1" applyFont="1">
      <alignment horizontal="center" shrinkToFit="0" vertical="center" wrapText="1"/>
    </xf>
    <xf borderId="179" fillId="0" fontId="11" numFmtId="0" xfId="0" applyAlignment="1" applyBorder="1" applyFont="1">
      <alignment readingOrder="0" vertical="center"/>
    </xf>
    <xf borderId="178" fillId="0" fontId="11" numFmtId="192" xfId="0" applyAlignment="1" applyBorder="1" applyFont="1" applyNumberFormat="1">
      <alignment horizontal="center" readingOrder="0" vertical="center"/>
    </xf>
    <xf borderId="0" fillId="0" fontId="11" numFmtId="192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80" fillId="0" fontId="11" numFmtId="0" xfId="0" applyAlignment="1" applyBorder="1" applyFont="1">
      <alignment horizontal="center" readingOrder="0" vertical="center"/>
    </xf>
    <xf borderId="19" fillId="24" fontId="23" numFmtId="181" xfId="0" applyAlignment="1" applyBorder="1" applyFont="1" applyNumberFormat="1">
      <alignment vertical="center"/>
    </xf>
    <xf borderId="19" fillId="24" fontId="23" numFmtId="172" xfId="0" applyAlignment="1" applyBorder="1" applyFont="1" applyNumberFormat="1">
      <alignment horizontal="right" vertical="center"/>
    </xf>
    <xf borderId="181" fillId="0" fontId="15" numFmtId="0" xfId="0" applyAlignment="1" applyBorder="1" applyFont="1">
      <alignment readingOrder="0" vertical="center"/>
    </xf>
    <xf borderId="182" fillId="0" fontId="15" numFmtId="192" xfId="0" applyAlignment="1" applyBorder="1" applyFont="1" applyNumberFormat="1">
      <alignment horizontal="center" readingOrder="0" vertical="center"/>
    </xf>
    <xf borderId="19" fillId="24" fontId="91" numFmtId="172" xfId="0" applyAlignment="1" applyBorder="1" applyFont="1" applyNumberFormat="1">
      <alignment vertical="center"/>
    </xf>
    <xf borderId="183" fillId="0" fontId="15" numFmtId="192" xfId="0" applyAlignment="1" applyBorder="1" applyFont="1" applyNumberFormat="1">
      <alignment horizontal="center" readingOrder="0" vertical="center"/>
    </xf>
    <xf borderId="183" fillId="0" fontId="15" numFmtId="0" xfId="0" applyAlignment="1" applyBorder="1" applyFont="1">
      <alignment horizontal="center" readingOrder="0" vertical="center"/>
    </xf>
    <xf borderId="19" fillId="24" fontId="91" numFmtId="9" xfId="0" applyAlignment="1" applyBorder="1" applyFont="1" applyNumberFormat="1">
      <alignment vertical="center"/>
    </xf>
    <xf borderId="184" fillId="0" fontId="15" numFmtId="0" xfId="0" applyAlignment="1" applyBorder="1" applyFont="1">
      <alignment horizontal="center" readingOrder="0" vertical="center"/>
    </xf>
    <xf borderId="19" fillId="9" fontId="32" numFmtId="0" xfId="0" applyAlignment="1" applyBorder="1" applyFont="1">
      <alignment horizontal="right" vertical="center"/>
    </xf>
    <xf borderId="183" fillId="0" fontId="15" numFmtId="9" xfId="0" applyAlignment="1" applyBorder="1" applyFont="1" applyNumberFormat="1">
      <alignment horizontal="center" readingOrder="0" vertical="center"/>
    </xf>
    <xf borderId="184" fillId="0" fontId="15" numFmtId="9" xfId="0" applyAlignment="1" applyBorder="1" applyFont="1" applyNumberFormat="1">
      <alignment horizontal="center" readingOrder="0" vertical="center"/>
    </xf>
    <xf borderId="185" fillId="24" fontId="5" numFmtId="0" xfId="0" applyAlignment="1" applyBorder="1" applyFont="1">
      <alignment horizontal="center" readingOrder="0" shrinkToFit="0" vertical="center" wrapText="1"/>
    </xf>
    <xf borderId="177" fillId="24" fontId="5" numFmtId="49" xfId="0" applyAlignment="1" applyBorder="1" applyFont="1" applyNumberFormat="1">
      <alignment horizontal="center" readingOrder="0" vertical="center"/>
    </xf>
    <xf borderId="186" fillId="0" fontId="6" numFmtId="0" xfId="0" applyBorder="1" applyFont="1"/>
    <xf borderId="187" fillId="0" fontId="6" numFmtId="0" xfId="0" applyBorder="1" applyFont="1"/>
    <xf borderId="177" fillId="24" fontId="5" numFmtId="0" xfId="0" applyAlignment="1" applyBorder="1" applyFont="1">
      <alignment horizontal="center" readingOrder="0" vertical="center"/>
    </xf>
    <xf borderId="179" fillId="0" fontId="6" numFmtId="0" xfId="0" applyBorder="1" applyFont="1"/>
    <xf borderId="178" fillId="24" fontId="7" numFmtId="0" xfId="0" applyAlignment="1" applyBorder="1" applyFont="1">
      <alignment horizontal="center" shrinkToFit="0" vertical="center" wrapText="1"/>
    </xf>
    <xf borderId="180" fillId="24" fontId="7" numFmtId="0" xfId="0" applyAlignment="1" applyBorder="1" applyFont="1">
      <alignment horizontal="center" shrinkToFit="0" vertical="center" wrapText="1"/>
    </xf>
    <xf borderId="180" fillId="0" fontId="11" numFmtId="9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right"/>
    </xf>
    <xf borderId="0" fillId="0" fontId="37" numFmtId="0" xfId="0" applyAlignment="1" applyFont="1">
      <alignment readingOrder="0" vertical="center"/>
    </xf>
    <xf borderId="0" fillId="0" fontId="37" numFmtId="0" xfId="0" applyAlignment="1" applyFont="1">
      <alignment vertical="center"/>
    </xf>
    <xf borderId="160" fillId="34" fontId="60" numFmtId="0" xfId="0" applyAlignment="1" applyBorder="1" applyFont="1">
      <alignment horizontal="center" vertical="bottom"/>
    </xf>
    <xf borderId="0" fillId="24" fontId="31" numFmtId="181" xfId="0" applyAlignment="1" applyFont="1" applyNumberFormat="1">
      <alignment readingOrder="0" vertical="center"/>
    </xf>
    <xf borderId="54" fillId="21" fontId="20" numFmtId="0" xfId="0" applyAlignment="1" applyBorder="1" applyFont="1">
      <alignment vertical="bottom"/>
    </xf>
    <xf borderId="19" fillId="24" fontId="23" numFmtId="172" xfId="0" applyAlignment="1" applyBorder="1" applyFont="1" applyNumberFormat="1">
      <alignment vertical="center"/>
    </xf>
    <xf borderId="188" fillId="0" fontId="1" numFmtId="0" xfId="0" applyAlignment="1" applyBorder="1" applyFont="1">
      <alignment vertical="bottom"/>
    </xf>
    <xf borderId="0" fillId="24" fontId="23" numFmtId="169" xfId="0" applyAlignment="1" applyFont="1" applyNumberFormat="1">
      <alignment horizontal="center" vertical="center"/>
    </xf>
    <xf borderId="0" fillId="24" fontId="32" numFmtId="182" xfId="0" applyAlignment="1" applyFont="1" applyNumberFormat="1">
      <alignment horizontal="right" vertical="center"/>
    </xf>
    <xf borderId="0" fillId="24" fontId="90" numFmtId="9" xfId="0" applyAlignment="1" applyFont="1" applyNumberFormat="1">
      <alignment vertical="center"/>
    </xf>
    <xf borderId="19" fillId="24" fontId="31" numFmtId="0" xfId="0" applyAlignment="1" applyBorder="1" applyFont="1">
      <alignment readingOrder="0" vertical="center"/>
    </xf>
    <xf borderId="19" fillId="24" fontId="32" numFmtId="182" xfId="0" applyAlignment="1" applyBorder="1" applyFont="1" applyNumberFormat="1">
      <alignment horizontal="right" vertical="center"/>
    </xf>
    <xf borderId="0" fillId="0" fontId="1" numFmtId="169" xfId="0" applyFont="1" applyNumberFormat="1"/>
    <xf borderId="0" fillId="0" fontId="92" numFmtId="0" xfId="0" applyFont="1"/>
    <xf borderId="36" fillId="24" fontId="19" numFmtId="0" xfId="0" applyAlignment="1" applyBorder="1" applyFont="1">
      <alignment readingOrder="0" vertical="center"/>
    </xf>
    <xf borderId="19" fillId="24" fontId="24" numFmtId="0" xfId="0" applyAlignment="1" applyBorder="1" applyFont="1">
      <alignment horizontal="center" readingOrder="0" vertical="center"/>
    </xf>
    <xf borderId="19" fillId="9" fontId="15" numFmtId="49" xfId="0" applyAlignment="1" applyBorder="1" applyFont="1" applyNumberFormat="1">
      <alignment vertical="center"/>
    </xf>
    <xf borderId="0" fillId="0" fontId="11" numFmtId="193" xfId="0" applyAlignment="1" applyFont="1" applyNumberFormat="1">
      <alignment horizontal="center" readingOrder="0" vertical="center"/>
    </xf>
    <xf borderId="0" fillId="0" fontId="27" numFmtId="169" xfId="0" applyAlignment="1" applyFont="1" applyNumberFormat="1">
      <alignment horizontal="center" vertical="center"/>
    </xf>
    <xf borderId="0" fillId="0" fontId="11" numFmtId="49" xfId="0" applyAlignment="1" applyFont="1" applyNumberFormat="1">
      <alignment horizontal="left" vertical="center"/>
    </xf>
    <xf borderId="0" fillId="0" fontId="11" numFmtId="193" xfId="0" applyAlignment="1" applyFont="1" applyNumberFormat="1">
      <alignment readingOrder="0" vertical="center"/>
    </xf>
    <xf borderId="0" fillId="0" fontId="11" numFmtId="0" xfId="0" applyAlignment="1" applyFont="1">
      <alignment horizontal="left" vertical="center"/>
    </xf>
    <xf borderId="19" fillId="24" fontId="4" numFmtId="181" xfId="0" applyAlignment="1" applyBorder="1" applyFont="1" applyNumberFormat="1">
      <alignment vertical="center"/>
    </xf>
    <xf borderId="19" fillId="24" fontId="4" numFmtId="193" xfId="0" applyAlignment="1" applyBorder="1" applyFont="1" applyNumberFormat="1">
      <alignment vertical="center"/>
    </xf>
    <xf borderId="19" fillId="24" fontId="19" numFmtId="0" xfId="0" applyAlignment="1" applyBorder="1" applyFont="1">
      <alignment readingOrder="0" vertical="center"/>
    </xf>
    <xf borderId="0" fillId="0" fontId="11" numFmtId="193" xfId="0" applyAlignment="1" applyFont="1" applyNumberFormat="1">
      <alignment horizontal="center" vertical="center"/>
    </xf>
    <xf borderId="189" fillId="24" fontId="60" numFmtId="0" xfId="0" applyAlignment="1" applyBorder="1" applyFont="1">
      <alignment readingOrder="0" vertical="center"/>
    </xf>
    <xf borderId="190" fillId="24" fontId="5" numFmtId="0" xfId="0" applyAlignment="1" applyBorder="1" applyFont="1">
      <alignment readingOrder="0" vertical="center"/>
    </xf>
    <xf borderId="191" fillId="24" fontId="5" numFmtId="0" xfId="0" applyAlignment="1" applyBorder="1" applyFont="1">
      <alignment horizontal="center" readingOrder="0" vertical="center"/>
    </xf>
    <xf borderId="192" fillId="24" fontId="5" numFmtId="0" xfId="0" applyAlignment="1" applyBorder="1" applyFont="1">
      <alignment horizontal="center" readingOrder="0" vertical="center"/>
    </xf>
    <xf borderId="193" fillId="24" fontId="1" numFmtId="0" xfId="0" applyAlignment="1" applyBorder="1" applyFont="1">
      <alignment vertical="center"/>
    </xf>
    <xf borderId="86" fillId="0" fontId="6" numFmtId="0" xfId="0" applyBorder="1" applyFont="1"/>
    <xf borderId="19" fillId="24" fontId="5" numFmtId="194" xfId="0" applyAlignment="1" applyBorder="1" applyFont="1" applyNumberFormat="1">
      <alignment readingOrder="0" vertical="center"/>
    </xf>
    <xf borderId="194" fillId="0" fontId="6" numFmtId="0" xfId="0" applyBorder="1" applyFont="1"/>
    <xf borderId="193" fillId="0" fontId="1" numFmtId="49" xfId="0" applyAlignment="1" applyBorder="1" applyFont="1" applyNumberFormat="1">
      <alignment readingOrder="0" vertical="center"/>
    </xf>
    <xf borderId="0" fillId="0" fontId="1" numFmtId="49" xfId="0" applyAlignment="1" applyFont="1" applyNumberFormat="1">
      <alignment readingOrder="0" vertical="center"/>
    </xf>
    <xf borderId="19" fillId="33" fontId="20" numFmtId="194" xfId="0" applyAlignment="1" applyBorder="1" applyFont="1" applyNumberFormat="1">
      <alignment readingOrder="0" vertical="center"/>
    </xf>
    <xf borderId="134" fillId="0" fontId="20" numFmtId="9" xfId="0" applyAlignment="1" applyBorder="1" applyFont="1" applyNumberFormat="1">
      <alignment horizontal="center" readingOrder="0" vertical="center"/>
    </xf>
    <xf borderId="193" fillId="0" fontId="1" numFmtId="0" xfId="0" applyAlignment="1" applyBorder="1" applyFont="1">
      <alignment readingOrder="0" vertical="center"/>
    </xf>
    <xf borderId="134" fillId="0" fontId="6" numFmtId="0" xfId="0" applyBorder="1" applyFont="1"/>
    <xf borderId="193" fillId="24" fontId="7" numFmtId="181" xfId="0" applyAlignment="1" applyBorder="1" applyFont="1" applyNumberFormat="1">
      <alignment vertical="center"/>
    </xf>
    <xf borderId="19" fillId="24" fontId="5" numFmtId="181" xfId="0" applyAlignment="1" applyBorder="1" applyFont="1" applyNumberFormat="1">
      <alignment horizontal="right" readingOrder="0" vertical="center"/>
    </xf>
    <xf borderId="19" fillId="24" fontId="7" numFmtId="194" xfId="0" applyAlignment="1" applyBorder="1" applyFont="1" applyNumberFormat="1">
      <alignment readingOrder="0" vertical="center"/>
    </xf>
    <xf borderId="195" fillId="24" fontId="72" numFmtId="9" xfId="0" applyAlignment="1" applyBorder="1" applyFont="1" applyNumberFormat="1">
      <alignment vertical="center"/>
    </xf>
    <xf borderId="0" fillId="0" fontId="18" numFmtId="49" xfId="0" applyAlignment="1" applyFont="1" applyNumberFormat="1">
      <alignment horizontal="right" readingOrder="0" vertical="center"/>
    </xf>
    <xf borderId="19" fillId="33" fontId="18" numFmtId="194" xfId="0" applyAlignment="1" applyBorder="1" applyFont="1" applyNumberFormat="1">
      <alignment readingOrder="0" vertical="center"/>
    </xf>
    <xf borderId="134" fillId="0" fontId="29" numFmtId="0" xfId="0" applyBorder="1" applyFont="1"/>
    <xf borderId="195" fillId="24" fontId="93" numFmtId="9" xfId="0" applyAlignment="1" applyBorder="1" applyFont="1" applyNumberFormat="1">
      <alignment vertical="center"/>
    </xf>
    <xf borderId="0" fillId="33" fontId="29" numFmtId="0" xfId="0" applyAlignment="1" applyFont="1">
      <alignment vertical="center"/>
    </xf>
    <xf borderId="196" fillId="33" fontId="20" numFmtId="0" xfId="0" applyAlignment="1" applyBorder="1" applyFont="1">
      <alignment readingOrder="0" vertical="center"/>
    </xf>
    <xf borderId="84" fillId="0" fontId="18" numFmtId="49" xfId="0" applyAlignment="1" applyBorder="1" applyFont="1" applyNumberFormat="1">
      <alignment horizontal="right" readingOrder="0" vertical="center"/>
    </xf>
    <xf borderId="36" fillId="33" fontId="18" numFmtId="194" xfId="0" applyAlignment="1" applyBorder="1" applyFont="1" applyNumberFormat="1">
      <alignment readingOrder="0" vertical="center"/>
    </xf>
    <xf borderId="197" fillId="33" fontId="20" numFmtId="9" xfId="0" applyAlignment="1" applyBorder="1" applyFont="1" applyNumberFormat="1">
      <alignment vertical="center"/>
    </xf>
    <xf borderId="26" fillId="0" fontId="11" numFmtId="0" xfId="0" applyAlignment="1" applyBorder="1" applyFont="1">
      <alignment vertical="center"/>
    </xf>
    <xf borderId="5" fillId="0" fontId="11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7" fillId="0" fontId="11" numFmtId="9" xfId="0" applyAlignment="1" applyBorder="1" applyFont="1" applyNumberFormat="1">
      <alignment horizontal="center" vertical="center"/>
    </xf>
    <xf borderId="60" fillId="9" fontId="15" numFmtId="0" xfId="0" applyAlignment="1" applyBorder="1" applyFont="1">
      <alignment vertical="center"/>
    </xf>
    <xf borderId="23" fillId="9" fontId="15" numFmtId="164" xfId="0" applyAlignment="1" applyBorder="1" applyFont="1" applyNumberFormat="1">
      <alignment horizontal="center" vertical="center"/>
    </xf>
    <xf borderId="19" fillId="9" fontId="15" numFmtId="164" xfId="0" applyAlignment="1" applyBorder="1" applyFont="1" applyNumberFormat="1">
      <alignment horizontal="center" vertical="center"/>
    </xf>
    <xf borderId="25" fillId="9" fontId="15" numFmtId="9" xfId="0" applyAlignment="1" applyBorder="1" applyFont="1" applyNumberFormat="1">
      <alignment horizontal="center" vertical="center"/>
    </xf>
    <xf borderId="7" fillId="0" fontId="20" numFmtId="0" xfId="0" applyBorder="1" applyFont="1"/>
    <xf borderId="60" fillId="8" fontId="24" numFmtId="0" xfId="0" applyAlignment="1" applyBorder="1" applyFont="1">
      <alignment horizontal="center" vertical="center"/>
    </xf>
    <xf borderId="23" fillId="8" fontId="24" numFmtId="9" xfId="0" applyAlignment="1" applyBorder="1" applyFont="1" applyNumberFormat="1">
      <alignment horizontal="center" vertical="center"/>
    </xf>
    <xf borderId="19" fillId="8" fontId="24" numFmtId="9" xfId="0" applyAlignment="1" applyBorder="1" applyFont="1" applyNumberFormat="1">
      <alignment horizontal="center" vertical="center"/>
    </xf>
    <xf borderId="19" fillId="8" fontId="11" numFmtId="0" xfId="0" applyAlignment="1" applyBorder="1" applyFont="1">
      <alignment horizontal="center" vertical="center"/>
    </xf>
    <xf borderId="25" fillId="8" fontId="11" numFmtId="0" xfId="0" applyAlignment="1" applyBorder="1" applyFont="1">
      <alignment horizontal="center" vertical="center"/>
    </xf>
    <xf borderId="5" fillId="0" fontId="1" numFmtId="0" xfId="0" applyBorder="1" applyFont="1"/>
    <xf borderId="68" fillId="8" fontId="24" numFmtId="0" xfId="0" applyAlignment="1" applyBorder="1" applyFont="1">
      <alignment horizontal="center" vertical="center"/>
    </xf>
    <xf borderId="69" fillId="8" fontId="24" numFmtId="9" xfId="0" applyAlignment="1" applyBorder="1" applyFont="1" applyNumberFormat="1">
      <alignment horizontal="center" vertical="center"/>
    </xf>
    <xf borderId="70" fillId="8" fontId="24" numFmtId="9" xfId="0" applyAlignment="1" applyBorder="1" applyFont="1" applyNumberFormat="1">
      <alignment horizontal="center" vertical="center"/>
    </xf>
    <xf borderId="70" fillId="8" fontId="11" numFmtId="0" xfId="0" applyAlignment="1" applyBorder="1" applyFont="1">
      <alignment horizontal="center" vertical="center"/>
    </xf>
    <xf borderId="71" fillId="8" fontId="11" numFmtId="0" xfId="0" applyAlignment="1" applyBorder="1" applyFont="1">
      <alignment horizontal="center" vertical="center"/>
    </xf>
    <xf borderId="60" fillId="9" fontId="20" numFmtId="0" xfId="0" applyBorder="1" applyFont="1"/>
    <xf borderId="23" fillId="9" fontId="20" numFmtId="164" xfId="0" applyAlignment="1" applyBorder="1" applyFont="1" applyNumberFormat="1">
      <alignment horizontal="center" vertical="center"/>
    </xf>
    <xf borderId="19" fillId="9" fontId="20" numFmtId="164" xfId="0" applyAlignment="1" applyBorder="1" applyFont="1" applyNumberFormat="1">
      <alignment horizontal="center" vertical="center"/>
    </xf>
    <xf borderId="19" fillId="9" fontId="20" numFmtId="9" xfId="0" applyAlignment="1" applyBorder="1" applyFont="1" applyNumberFormat="1">
      <alignment horizontal="center"/>
    </xf>
    <xf borderId="25" fillId="9" fontId="20" numFmtId="9" xfId="0" applyAlignment="1" applyBorder="1" applyFont="1" applyNumberFormat="1">
      <alignment horizontal="center"/>
    </xf>
    <xf borderId="54" fillId="0" fontId="20" numFmtId="0" xfId="0" applyAlignment="1" applyBorder="1" applyFont="1">
      <alignment readingOrder="0" vertical="bottom"/>
    </xf>
    <xf borderId="160" fillId="34" fontId="60" numFmtId="0" xfId="0" applyAlignment="1" applyBorder="1" applyFont="1">
      <alignment horizontal="center" vertical="bottom"/>
    </xf>
    <xf borderId="54" fillId="21" fontId="1" numFmtId="0" xfId="0" applyAlignment="1" applyBorder="1" applyFont="1">
      <alignment horizontal="center" vertical="bottom"/>
    </xf>
    <xf borderId="161" fillId="21" fontId="20" numFmtId="0" xfId="0" applyAlignment="1" applyBorder="1" applyFont="1">
      <alignment vertical="bottom"/>
    </xf>
    <xf borderId="160" fillId="0" fontId="71" numFmtId="4" xfId="0" applyAlignment="1" applyBorder="1" applyFont="1" applyNumberFormat="1">
      <alignment horizontal="right" vertical="bottom"/>
    </xf>
    <xf borderId="161" fillId="0" fontId="1" numFmtId="0" xfId="0" applyAlignment="1" applyBorder="1" applyFont="1">
      <alignment vertical="bottom"/>
    </xf>
    <xf borderId="188" fillId="0" fontId="71" numFmtId="4" xfId="0" applyAlignment="1" applyBorder="1" applyFont="1" applyNumberFormat="1">
      <alignment horizontal="right" vertical="bottom"/>
    </xf>
    <xf borderId="160" fillId="0" fontId="71" numFmtId="4" xfId="0" applyAlignment="1" applyBorder="1" applyFont="1" applyNumberFormat="1">
      <alignment horizontal="right" readingOrder="0" vertical="bottom"/>
    </xf>
    <xf borderId="54" fillId="34" fontId="60" numFmtId="0" xfId="0" applyAlignment="1" applyBorder="1" applyFont="1">
      <alignment horizontal="center" vertical="bottom"/>
    </xf>
    <xf borderId="54" fillId="0" fontId="72" numFmtId="170" xfId="0" applyAlignment="1" applyBorder="1" applyFont="1" applyNumberFormat="1">
      <alignment horizontal="right" readingOrder="0" vertical="bottom"/>
    </xf>
    <xf borderId="54" fillId="0" fontId="71" numFmtId="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2">
    <dxf>
      <font>
        <b/>
        <color rgb="FFFF0000"/>
      </font>
      <fill>
        <patternFill patternType="none"/>
      </fill>
      <border/>
    </dxf>
    <dxf>
      <font>
        <b/>
        <color rgb="FF00B05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chemeClr val="dk1"/>
                </a:solidFill>
                <a:latin typeface="Arial"/>
              </a:defRPr>
            </a:pPr>
            <a:r>
              <a:rPr b="1" sz="2000">
                <a:solidFill>
                  <a:schemeClr val="dk1"/>
                </a:solidFill>
                <a:latin typeface="Arial"/>
              </a:rPr>
              <a:t>EBITDA ESTACIONAMENTO HANGAR</a:t>
            </a:r>
          </a:p>
        </c:rich>
      </c:tx>
      <c:layout>
        <c:manualLayout>
          <c:xMode val="edge"/>
          <c:yMode val="edge"/>
          <c:x val="0.027185628742514973"/>
          <c:y val="0.036784140969163"/>
        </c:manualLayout>
      </c:layout>
      <c:overlay val="0"/>
    </c:title>
    <c:plotArea>
      <c:layout>
        <c:manualLayout>
          <c:xMode val="edge"/>
          <c:yMode val="edge"/>
          <c:x val="0.07009803921568623"/>
          <c:y val="0.17871900826446294"/>
          <c:w val="0.9054779976506733"/>
          <c:h val="0.6783601565898216"/>
        </c:manualLayout>
      </c:layout>
      <c:lineChart>
        <c:ser>
          <c:idx val="0"/>
          <c:order val="0"/>
          <c:tx>
            <c:strRef>
              <c:f>'Hangar senha_capital OK'!$A$74</c:f>
            </c:strRef>
          </c:tx>
          <c:spPr>
            <a:ln cmpd="sng" w="9525">
              <a:solidFill>
                <a:srgbClr val="E6913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69138">
                  <a:alpha val="100000"/>
                </a:srgbClr>
              </a:solidFill>
              <a:ln cmpd="sng">
                <a:solidFill>
                  <a:srgbClr val="E69138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dLbl>
              <c:idx val="0"/>
              <c:layout>
                <c:manualLayout>
                  <c:xMode val="edge"/>
                  <c:yMode val="edge"/>
                  <c:x val="0.015641411402476744"/>
                  <c:y val="0.521927565688806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1038730583666363"/>
                  <c:y val="0.692982628882792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19463692174721825"/>
                  <c:y val="0.644431304461607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2737242379106952"/>
                  <c:y val="0.7142630345147216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35387305836663613"/>
                  <c:y val="0.6366960155032579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43782790038995667"/>
                  <c:y val="0.41487629146084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Mode val="edge"/>
                  <c:yMode val="edge"/>
                  <c:x val="0.5219042867280148"/>
                  <c:y val="0.465886022308949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Mode val="edge"/>
                  <c:yMode val="edge"/>
                  <c:x val="0.6091805798289567"/>
                  <c:y val="0.3824427350757609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Mode val="edge"/>
                  <c:yMode val="edge"/>
                  <c:x val="0.6897386081163921"/>
                  <c:y val="0.338427233709121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Mode val="edge"/>
                  <c:yMode val="edge"/>
                  <c:x val="0.7769087507880874"/>
                  <c:y val="0.733551405614280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Mode val="edge"/>
                  <c:yMode val="edge"/>
                  <c:x val="0.8583313763949855"/>
                  <c:y val="0.939414402479037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Mode val="edge"/>
                  <c:yMode val="edge"/>
                  <c:x val="0.9446369217472183"/>
                  <c:y val="0.606673763777319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'Hangar senha_capital OK'!$B$73:$M$73</c:f>
            </c:strRef>
          </c:cat>
          <c:val>
            <c:numRef>
              <c:f>'Hangar senha_capital OK'!$B$74:$M$74</c:f>
              <c:numCache/>
            </c:numRef>
          </c:val>
          <c:smooth val="0"/>
        </c:ser>
        <c:ser>
          <c:idx val="1"/>
          <c:order val="1"/>
          <c:tx>
            <c:strRef>
              <c:f>'Hangar senha_capital OK'!$A$75</c:f>
            </c:strRef>
          </c:tx>
          <c:spPr>
            <a:ln cmpd="sng" w="9525">
              <a:solidFill>
                <a:srgbClr val="417E59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417E59">
                  <a:alpha val="100000"/>
                </a:srgbClr>
              </a:solidFill>
              <a:ln cmpd="sng">
                <a:solidFill>
                  <a:srgbClr val="417E59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dLbl>
              <c:idx val="0"/>
              <c:layout>
                <c:manualLayout>
                  <c:xMode val="edge"/>
                  <c:yMode val="edge"/>
                  <c:x val="0.02519495003465362"/>
                  <c:y val="0.4232775958268591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1117281901308706"/>
                  <c:y val="0.598805833868119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18996630286037625"/>
                  <c:y val="0.5301658289831279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2734057866229559"/>
                  <c:y val="0.594519836486036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35673911995628926"/>
                  <c:y val="0.5224327346850316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44569842603968235"/>
                  <c:y val="0.609135964985777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Mode val="edge"/>
                  <c:yMode val="edge"/>
                  <c:x val="0.5207853015634636"/>
                  <c:y val="0.2377557664994793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Mode val="edge"/>
                  <c:yMode val="edge"/>
                  <c:x val="0.6091805798289567"/>
                  <c:y val="0.500964998989647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Mode val="edge"/>
                  <c:yMode val="edge"/>
                  <c:x val="0.6872063916999697"/>
                  <c:y val="0.425690936541763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Mode val="edge"/>
                  <c:yMode val="edge"/>
                  <c:x val="0.7688259242798692"/>
                  <c:y val="0.341990488166161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Mode val="edge"/>
                  <c:yMode val="edge"/>
                  <c:x val="0.8521592576132025"/>
                  <c:y val="0.3271892682060777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Mode val="edge"/>
                  <c:yMode val="edge"/>
                  <c:x val="0.9397386081163922"/>
                  <c:y val="0.3020835690305319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2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'Hangar senha_capital OK'!$B$73:$M$73</c:f>
            </c:strRef>
          </c:cat>
          <c:val>
            <c:numRef>
              <c:f>'Hangar senha_capital OK'!$B$75:$M$75</c:f>
              <c:numCache/>
            </c:numRef>
          </c:val>
          <c:smooth val="0"/>
        </c:ser>
        <c:ser>
          <c:idx val="2"/>
          <c:order val="2"/>
          <c:tx>
            <c:v>Realizado 2026</c:v>
          </c:tx>
          <c:spPr>
            <a:ln cmpd="sng" w="19050">
              <a:solidFill>
                <a:srgbClr val="0070C0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70C0">
                  <a:alpha val="100000"/>
                </a:srgbClr>
              </a:solidFill>
              <a:ln cmpd="sng">
                <a:solidFill>
                  <a:srgbClr val="0070C0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dLbl>
              <c:idx val="0"/>
              <c:layout>
                <c:manualLayout>
                  <c:xMode val="edge"/>
                  <c:yMode val="edge"/>
                  <c:x val="0.014922603790133637"/>
                  <c:y val="0.1207768961678150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11244022007128865"/>
                  <c:y val="0.439865223098554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1265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19417309960006746"/>
                  <c:y val="0.278782820819651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1265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27790385772551346"/>
                  <c:y val="0.486190335724694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1265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35029254001344645"/>
                  <c:y val="0.243006834270299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1265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4387090532471868"/>
                  <c:y val="0.500230988495381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Mode val="edge"/>
                  <c:yMode val="edge"/>
                  <c:x val="0.5238009107055686"/>
                  <c:y val="0.0517400808549712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Mode val="edge"/>
                  <c:yMode val="edge"/>
                  <c:x val="0.604771341043838"/>
                  <c:y val="0.02694033180093376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Mode val="edge"/>
                  <c:yMode val="edge"/>
                  <c:x val="0.6834144730662356"/>
                  <c:y val="-0.03684260057731366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Mode val="edge"/>
                  <c:yMode val="edge"/>
                  <c:x val="0.7850963225510922"/>
                  <c:y val="0.468462062789491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Mode val="edge"/>
                  <c:yMode val="edge"/>
                  <c:x val="0.8520535062384222"/>
                  <c:y val="0.941570364688763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Mode val="edge"/>
                  <c:yMode val="edge"/>
                  <c:x val="0.9399761200362263"/>
                  <c:y val="0.2589847324342644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206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'Hangar senha_capital OK'!$B$73:$M$73</c:f>
            </c:strRef>
          </c:cat>
          <c:val>
            <c:numRef>
              <c:f>'Hangar senha_capital OK'!$B$76:$M$76</c:f>
              <c:numCache/>
            </c:numRef>
          </c:val>
          <c:smooth val="0"/>
        </c:ser>
        <c:axId val="1179553296"/>
        <c:axId val="830161249"/>
      </c:lineChart>
      <c:catAx>
        <c:axId val="117955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830161249"/>
      </c:catAx>
      <c:valAx>
        <c:axId val="830161249"/>
        <c:scaling>
          <c:orientation val="minMax"/>
          <c:max val="3000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chemeClr val="dk1"/>
                </a:solidFill>
                <a:latin typeface="Arial"/>
              </a:defRPr>
            </a:pPr>
          </a:p>
        </c:txPr>
        <c:crossAx val="1179553296"/>
      </c:valAx>
    </c:plotArea>
    <c:legend>
      <c:legendPos val="b"/>
      <c:layout>
        <c:manualLayout>
          <c:xMode val="edge"/>
          <c:yMode val="edge"/>
          <c:x val="0.34984949903774887"/>
          <c:y val="0.9451461988304094"/>
        </c:manualLayout>
      </c:layout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3</xdr:row>
      <xdr:rowOff>19050</xdr:rowOff>
    </xdr:from>
    <xdr:ext cx="7391400" cy="3200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57</xdr:row>
      <xdr:rowOff>76200</xdr:rowOff>
    </xdr:from>
    <xdr:ext cx="504825" cy="466725"/>
    <xdr:sp>
      <xdr:nvSpPr>
        <xdr:cNvPr id="3" name="Shape 3"/>
        <xdr:cNvSpPr/>
      </xdr:nvSpPr>
      <xdr:spPr>
        <a:xfrm flipH="1" rot="3016845">
          <a:off x="5250750" y="3541875"/>
          <a:ext cx="190500" cy="476250"/>
        </a:xfrm>
        <a:prstGeom prst="up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45</xdr:row>
      <xdr:rowOff>19050</xdr:rowOff>
    </xdr:from>
    <xdr:ext cx="4133850" cy="1057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83</xdr:row>
      <xdr:rowOff>47625</xdr:rowOff>
    </xdr:from>
    <xdr:ext cx="11010900" cy="5810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42.14"/>
    <col customWidth="1" min="5" max="6" width="10.57"/>
    <col customWidth="1" min="7" max="7" width="29.86"/>
    <col customWidth="1" min="8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6" t="s">
        <v>0</v>
      </c>
      <c r="E3" s="8" t="s">
        <v>1</v>
      </c>
      <c r="F3" s="8" t="s">
        <v>2</v>
      </c>
      <c r="G3" s="9" t="s">
        <v>4</v>
      </c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Height="1">
      <c r="A4" s="1"/>
      <c r="B4" s="1"/>
      <c r="C4" s="1"/>
      <c r="D4" s="11"/>
      <c r="E4" s="13"/>
      <c r="F4" s="13"/>
      <c r="G4" s="14"/>
      <c r="H4" s="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7" t="s">
        <v>7</v>
      </c>
      <c r="E5" s="19">
        <v>0.375</v>
      </c>
      <c r="F5" s="19">
        <v>0.3819444444444444</v>
      </c>
      <c r="G5" s="21" t="s">
        <v>11</v>
      </c>
      <c r="H5" s="1"/>
      <c r="I5" s="23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7" t="s">
        <v>13</v>
      </c>
      <c r="E6" s="19">
        <v>0.3819444444444444</v>
      </c>
      <c r="F6" s="19">
        <v>0.3854166666666667</v>
      </c>
      <c r="G6" s="21" t="s">
        <v>14</v>
      </c>
      <c r="H6" s="1"/>
      <c r="I6" s="23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7" t="s">
        <v>17</v>
      </c>
      <c r="E7" s="19">
        <v>0.3854166666666667</v>
      </c>
      <c r="F7" s="19">
        <v>0.3923611111111111</v>
      </c>
      <c r="G7" s="21" t="s">
        <v>14</v>
      </c>
      <c r="H7" s="1"/>
      <c r="I7" s="2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7" t="s">
        <v>18</v>
      </c>
      <c r="E8" s="19">
        <v>0.3923611111111111</v>
      </c>
      <c r="F8" s="19">
        <v>0.3993055555555556</v>
      </c>
      <c r="G8" s="21" t="s">
        <v>14</v>
      </c>
      <c r="H8" s="1"/>
      <c r="I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7" t="s">
        <v>20</v>
      </c>
      <c r="E9" s="19">
        <v>0.3993055555555556</v>
      </c>
      <c r="F9" s="19">
        <v>0.40625</v>
      </c>
      <c r="G9" s="21" t="s">
        <v>14</v>
      </c>
      <c r="H9" s="1"/>
      <c r="I9" s="2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7" t="s">
        <v>24</v>
      </c>
      <c r="E10" s="19">
        <v>0.40625</v>
      </c>
      <c r="F10" s="19">
        <v>0.4201388888888889</v>
      </c>
      <c r="G10" s="21" t="s">
        <v>26</v>
      </c>
      <c r="H10" s="1"/>
      <c r="I10" s="23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7" t="s">
        <v>28</v>
      </c>
      <c r="E11" s="19">
        <v>0.4201388888888889</v>
      </c>
      <c r="F11" s="19">
        <v>0.43402777777777773</v>
      </c>
      <c r="G11" s="21" t="s">
        <v>29</v>
      </c>
      <c r="H11" s="1"/>
      <c r="I11" s="23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7" t="s">
        <v>35</v>
      </c>
      <c r="E12" s="19">
        <v>0.43402777777777773</v>
      </c>
      <c r="F12" s="19">
        <v>0.4479166666666667</v>
      </c>
      <c r="G12" s="46" t="s">
        <v>37</v>
      </c>
      <c r="H12" s="1"/>
      <c r="I12" s="23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47" t="s">
        <v>41</v>
      </c>
      <c r="E13" s="19"/>
      <c r="F13" s="19"/>
      <c r="G13" s="21"/>
      <c r="H13" s="1"/>
      <c r="I13" s="23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7" t="s">
        <v>42</v>
      </c>
      <c r="E14" s="19">
        <v>0.4479166666666667</v>
      </c>
      <c r="F14" s="19">
        <v>0.4618055555555556</v>
      </c>
      <c r="G14" s="46" t="s">
        <v>43</v>
      </c>
      <c r="H14" s="1"/>
      <c r="I14" s="23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7" t="s">
        <v>44</v>
      </c>
      <c r="E15" s="19">
        <v>0.4618055555555556</v>
      </c>
      <c r="F15" s="19">
        <v>0.4756944444444444</v>
      </c>
      <c r="G15" s="21" t="s">
        <v>45</v>
      </c>
      <c r="H15" s="1"/>
      <c r="I15" s="23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51" t="s">
        <v>46</v>
      </c>
      <c r="E16" s="53">
        <v>0.4756944444444444</v>
      </c>
      <c r="F16" s="53">
        <v>0.4895833333333333</v>
      </c>
      <c r="G16" s="55" t="s">
        <v>47</v>
      </c>
      <c r="H16" s="1"/>
      <c r="I16" s="23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5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6" t="s">
        <v>0</v>
      </c>
      <c r="E19" s="8" t="s">
        <v>1</v>
      </c>
      <c r="F19" s="8" t="s">
        <v>2</v>
      </c>
      <c r="G19" s="9" t="s">
        <v>4</v>
      </c>
      <c r="H19" s="1"/>
      <c r="I19" s="1"/>
      <c r="J19" s="5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7" t="s">
        <v>50</v>
      </c>
      <c r="E20" s="19">
        <v>0.375</v>
      </c>
      <c r="F20" s="19">
        <v>0.3819444444444444</v>
      </c>
      <c r="G20" s="21" t="s">
        <v>51</v>
      </c>
      <c r="H20" s="1"/>
      <c r="I20" s="1"/>
      <c r="J20" s="5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7" t="s">
        <v>52</v>
      </c>
      <c r="E21" s="19">
        <v>0.3819444444444444</v>
      </c>
      <c r="F21" s="19">
        <v>0.3993055555555556</v>
      </c>
      <c r="G21" s="46" t="s">
        <v>51</v>
      </c>
      <c r="H21" s="1"/>
      <c r="I21" s="1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51" t="s">
        <v>53</v>
      </c>
      <c r="E22" s="53">
        <v>0.3993055555555556</v>
      </c>
      <c r="F22" s="53">
        <v>0.4166666666666667</v>
      </c>
      <c r="G22" s="63" t="s">
        <v>51</v>
      </c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6" t="s">
        <v>0</v>
      </c>
      <c r="E25" s="8" t="s">
        <v>1</v>
      </c>
      <c r="F25" s="8" t="s">
        <v>2</v>
      </c>
      <c r="G25" s="9" t="s">
        <v>4</v>
      </c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71" t="s">
        <v>7</v>
      </c>
      <c r="E26" s="73">
        <v>0.375</v>
      </c>
      <c r="F26" s="73">
        <v>0.3819444444444444</v>
      </c>
      <c r="G26" s="74" t="s">
        <v>11</v>
      </c>
      <c r="H26" s="1"/>
      <c r="I26" s="23"/>
      <c r="J26" s="2"/>
      <c r="K26" s="23"/>
      <c r="L26" s="23"/>
      <c r="M26" s="2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71" t="s">
        <v>13</v>
      </c>
      <c r="E27" s="73">
        <v>0.3819444444444444</v>
      </c>
      <c r="F27" s="73">
        <v>0.3854166666666667</v>
      </c>
      <c r="G27" s="74" t="s">
        <v>14</v>
      </c>
      <c r="H27" s="1"/>
      <c r="I27" s="23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71" t="s">
        <v>17</v>
      </c>
      <c r="E28" s="73">
        <v>0.3854166666666667</v>
      </c>
      <c r="F28" s="73">
        <v>0.3923611111111111</v>
      </c>
      <c r="G28" s="74" t="s">
        <v>14</v>
      </c>
      <c r="H28" s="1"/>
      <c r="I28" s="23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71" t="s">
        <v>18</v>
      </c>
      <c r="E29" s="73">
        <v>0.3923611111111111</v>
      </c>
      <c r="F29" s="73">
        <v>0.3993055555555556</v>
      </c>
      <c r="G29" s="74" t="s">
        <v>14</v>
      </c>
      <c r="H29" s="1"/>
      <c r="I29" s="23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71" t="s">
        <v>20</v>
      </c>
      <c r="E30" s="73">
        <v>0.3993055555555556</v>
      </c>
      <c r="F30" s="73">
        <v>0.40625</v>
      </c>
      <c r="G30" s="74" t="s">
        <v>14</v>
      </c>
      <c r="H30" s="1"/>
      <c r="I30" s="23"/>
      <c r="J30" s="81">
        <v>0.40625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71" t="s">
        <v>24</v>
      </c>
      <c r="E31" s="84">
        <v>0.40625</v>
      </c>
      <c r="F31" s="84">
        <v>0.4201388888888889</v>
      </c>
      <c r="G31" s="74" t="s">
        <v>26</v>
      </c>
      <c r="H31" s="1"/>
      <c r="I31" s="23"/>
      <c r="J31" s="88">
        <v>0.4201388888888889</v>
      </c>
      <c r="K31" s="19"/>
      <c r="L31" s="9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71" t="s">
        <v>28</v>
      </c>
      <c r="E32" s="84">
        <v>0.4201388888888889</v>
      </c>
      <c r="F32" s="84">
        <v>0.4340277777777778</v>
      </c>
      <c r="G32" s="74" t="s">
        <v>29</v>
      </c>
      <c r="H32" s="1"/>
      <c r="I32" s="23"/>
      <c r="J32" s="95">
        <f>J31-J30</f>
        <v>0.01388888889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97" t="s">
        <v>74</v>
      </c>
      <c r="E33" s="84">
        <v>0.4340277777777778</v>
      </c>
      <c r="F33" s="84">
        <v>0.4479166666666667</v>
      </c>
      <c r="G33" s="98" t="s">
        <v>76</v>
      </c>
      <c r="H33" s="1"/>
      <c r="I33" s="23"/>
      <c r="J33" s="19"/>
      <c r="K33" s="19"/>
      <c r="L33" s="9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71" t="s">
        <v>41</v>
      </c>
      <c r="E34" s="73">
        <v>0.4166666666666667</v>
      </c>
      <c r="F34" s="73">
        <v>0.4305555555555556</v>
      </c>
      <c r="G34" s="74" t="s">
        <v>78</v>
      </c>
      <c r="H34" s="1"/>
      <c r="I34" s="23"/>
      <c r="J34" s="19"/>
      <c r="K34" s="19"/>
      <c r="L34" s="9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D35" s="71" t="s">
        <v>42</v>
      </c>
      <c r="E35" s="73">
        <v>0.4479166666666667</v>
      </c>
      <c r="F35" s="73">
        <v>0.4618055555555556</v>
      </c>
      <c r="G35" s="74" t="s">
        <v>79</v>
      </c>
    </row>
    <row r="36">
      <c r="D36" s="71" t="s">
        <v>44</v>
      </c>
      <c r="E36" s="73">
        <v>0.4618055555555556</v>
      </c>
      <c r="F36" s="73">
        <v>0.4756944444444444</v>
      </c>
      <c r="G36" s="74" t="s">
        <v>45</v>
      </c>
    </row>
    <row r="37">
      <c r="D37" s="101" t="s">
        <v>46</v>
      </c>
      <c r="E37" s="103">
        <v>0.4756944444444444</v>
      </c>
      <c r="F37" s="103">
        <v>0.4895833333333333</v>
      </c>
      <c r="G37" s="104" t="s">
        <v>81</v>
      </c>
    </row>
    <row r="40" ht="15.75" customHeight="1">
      <c r="A40" s="1"/>
      <c r="B40" s="1"/>
      <c r="C40" s="1"/>
      <c r="D40" s="106"/>
      <c r="E40" s="19"/>
      <c r="F40" s="19"/>
      <c r="G40" s="90"/>
      <c r="H40" s="1"/>
      <c r="I40" s="23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3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12" t="s">
        <v>0</v>
      </c>
      <c r="E43" s="115" t="s">
        <v>1</v>
      </c>
      <c r="F43" s="115" t="s">
        <v>2</v>
      </c>
      <c r="G43" s="116" t="s">
        <v>4</v>
      </c>
      <c r="H43" s="1"/>
      <c r="I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19" t="s">
        <v>88</v>
      </c>
      <c r="E44" s="121">
        <v>0.375</v>
      </c>
      <c r="F44" s="122">
        <v>0.3958333333333333</v>
      </c>
      <c r="G44" s="123" t="s">
        <v>90</v>
      </c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25" t="s">
        <v>91</v>
      </c>
      <c r="E45" s="127">
        <v>0.3958333333333333</v>
      </c>
      <c r="F45" s="127">
        <v>0.40625</v>
      </c>
      <c r="G45" s="129" t="s">
        <v>93</v>
      </c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31" t="s">
        <v>94</v>
      </c>
      <c r="E46" s="127">
        <v>0.40625</v>
      </c>
      <c r="F46" s="127">
        <v>0.4479166666666667</v>
      </c>
      <c r="G46" s="133" t="s">
        <v>14</v>
      </c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36" t="s">
        <v>95</v>
      </c>
      <c r="E47" s="138">
        <v>0.4479166666666667</v>
      </c>
      <c r="F47" s="138">
        <v>0.46875</v>
      </c>
      <c r="G47" s="140" t="s">
        <v>96</v>
      </c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J6:J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1.86"/>
    <col customWidth="1" min="2" max="5" width="11.86"/>
    <col customWidth="1" min="6" max="6" width="14.0"/>
    <col customWidth="1" min="7" max="10" width="11.86"/>
    <col customWidth="1" min="11" max="11" width="14.0"/>
    <col customWidth="1" min="12" max="13" width="11.86"/>
    <col customWidth="1" min="14" max="14" width="12.29"/>
    <col customWidth="1" min="15" max="15" width="12.43"/>
    <col customWidth="1" min="16" max="26" width="9.14"/>
  </cols>
  <sheetData>
    <row r="1" ht="10.5" customHeight="1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0.5" customHeight="1">
      <c r="A2" s="5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0.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0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20"/>
      <c r="M4" s="4"/>
      <c r="N4" s="4"/>
      <c r="O4" s="20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.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0.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.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0.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0.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.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0.5" customHeight="1">
      <c r="A11" s="4"/>
      <c r="B11" s="5"/>
      <c r="C11" s="5"/>
      <c r="D11" s="5"/>
      <c r="E11" s="5"/>
      <c r="F11" s="5"/>
      <c r="G11" s="20"/>
      <c r="H11" s="5"/>
      <c r="I11" s="5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0.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0.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0.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0.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0.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0.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.5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54"/>
      <c r="R20" s="4"/>
      <c r="S20" s="4"/>
      <c r="T20" s="4"/>
      <c r="U20" s="4"/>
      <c r="V20" s="4"/>
      <c r="W20" s="4"/>
      <c r="X20" s="4"/>
      <c r="Y20" s="4"/>
      <c r="Z20" s="4"/>
    </row>
    <row r="21" ht="10.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0.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 t="s">
        <v>48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.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.5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0.5" customHeight="1">
      <c r="A25" s="4"/>
      <c r="B25" s="5"/>
      <c r="C25" s="5"/>
      <c r="D25" s="5"/>
      <c r="E25" s="20"/>
      <c r="F25" s="5"/>
      <c r="G25" s="5"/>
      <c r="H25" s="5"/>
      <c r="I25" s="5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.5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.5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0.5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0.5" customHeight="1">
      <c r="A29" s="5" t="s">
        <v>55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7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0.5" customHeight="1">
      <c r="A30" s="78" t="s">
        <v>57</v>
      </c>
      <c r="B30" s="78" t="s">
        <v>58</v>
      </c>
      <c r="C30" s="78" t="s">
        <v>59</v>
      </c>
      <c r="D30" s="78" t="s">
        <v>60</v>
      </c>
      <c r="E30" s="78" t="s">
        <v>61</v>
      </c>
      <c r="F30" s="78" t="s">
        <v>62</v>
      </c>
      <c r="G30" s="78" t="s">
        <v>63</v>
      </c>
      <c r="H30" s="78" t="s">
        <v>64</v>
      </c>
      <c r="I30" s="78" t="s">
        <v>65</v>
      </c>
      <c r="J30" s="78" t="s">
        <v>66</v>
      </c>
      <c r="K30" s="78" t="s">
        <v>67</v>
      </c>
      <c r="L30" s="78" t="s">
        <v>68</v>
      </c>
      <c r="M30" s="78" t="s">
        <v>69</v>
      </c>
      <c r="N30" s="78" t="s">
        <v>70</v>
      </c>
      <c r="O30" s="4"/>
      <c r="P30" s="5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0.5" customHeight="1">
      <c r="A31" s="82" t="s">
        <v>40</v>
      </c>
      <c r="B31" s="83">
        <v>4255580.62</v>
      </c>
      <c r="C31" s="83">
        <v>4255580.62</v>
      </c>
      <c r="D31" s="83">
        <v>4299728.2</v>
      </c>
      <c r="E31" s="83">
        <v>4312550.76</v>
      </c>
      <c r="F31" s="83">
        <v>4405047.64</v>
      </c>
      <c r="G31" s="83">
        <v>4406354.11</v>
      </c>
      <c r="H31" s="83">
        <v>4406354.11</v>
      </c>
      <c r="I31" s="83">
        <v>4414743.16</v>
      </c>
      <c r="J31" s="86">
        <v>4414777.62</v>
      </c>
      <c r="K31" s="86">
        <v>4414815.74</v>
      </c>
      <c r="L31" s="86">
        <v>4476276.82</v>
      </c>
      <c r="M31" s="86">
        <v>4491045.59</v>
      </c>
      <c r="N31" s="89">
        <v>5.2552854989999995E7</v>
      </c>
      <c r="O31" s="91"/>
      <c r="P31" s="54"/>
      <c r="Q31" s="93"/>
      <c r="R31" s="4"/>
      <c r="S31" s="4"/>
      <c r="T31" s="4"/>
      <c r="U31" s="4"/>
      <c r="V31" s="4"/>
      <c r="W31" s="4"/>
      <c r="X31" s="4"/>
      <c r="Y31" s="4"/>
      <c r="Z31" s="4"/>
    </row>
    <row r="32" ht="10.5" customHeight="1">
      <c r="A32" s="82" t="s">
        <v>71</v>
      </c>
      <c r="B32" s="83">
        <v>-155328.68</v>
      </c>
      <c r="C32" s="83">
        <v>-155328.68</v>
      </c>
      <c r="D32" s="83">
        <v>-156940.01</v>
      </c>
      <c r="E32" s="83">
        <v>-157408.05</v>
      </c>
      <c r="F32" s="83">
        <v>-160784.31</v>
      </c>
      <c r="G32" s="83">
        <v>-160831.99</v>
      </c>
      <c r="H32" s="83">
        <v>-160831.99</v>
      </c>
      <c r="I32" s="83">
        <v>-161138.22</v>
      </c>
      <c r="J32" s="86">
        <v>-161139.48</v>
      </c>
      <c r="K32" s="86">
        <v>-161140.88</v>
      </c>
      <c r="L32" s="86">
        <v>-163384.2</v>
      </c>
      <c r="M32" s="86">
        <v>-163923.26</v>
      </c>
      <c r="N32" s="89">
        <v>-1918179.75</v>
      </c>
      <c r="O32" s="91"/>
      <c r="P32" s="54"/>
      <c r="Q32" s="54"/>
      <c r="R32" s="4"/>
      <c r="S32" s="4"/>
      <c r="T32" s="4"/>
      <c r="U32" s="4"/>
      <c r="V32" s="4"/>
      <c r="W32" s="4"/>
      <c r="X32" s="4"/>
      <c r="Y32" s="4"/>
      <c r="Z32" s="4"/>
    </row>
    <row r="33" ht="10.5" customHeight="1">
      <c r="A33" s="82" t="s">
        <v>72</v>
      </c>
      <c r="B33" s="83">
        <v>4100251.94</v>
      </c>
      <c r="C33" s="83">
        <v>4100251.94</v>
      </c>
      <c r="D33" s="83">
        <v>4142788.1900000004</v>
      </c>
      <c r="E33" s="83">
        <v>4155142.71</v>
      </c>
      <c r="F33" s="83">
        <v>4244263.33</v>
      </c>
      <c r="G33" s="83">
        <v>4245522.12</v>
      </c>
      <c r="H33" s="83">
        <v>4245522.12</v>
      </c>
      <c r="I33" s="83">
        <v>4253604.94</v>
      </c>
      <c r="J33" s="86">
        <v>4253638.14</v>
      </c>
      <c r="K33" s="86">
        <v>4253674.86</v>
      </c>
      <c r="L33" s="86">
        <v>4312892.62</v>
      </c>
      <c r="M33" s="86">
        <v>4327122.33</v>
      </c>
      <c r="N33" s="89">
        <v>5.0634675239999995E7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.5" customHeight="1">
      <c r="A34" s="82" t="s">
        <v>73</v>
      </c>
      <c r="B34" s="83">
        <v>0.0</v>
      </c>
      <c r="C34" s="83">
        <v>0.0</v>
      </c>
      <c r="D34" s="83">
        <v>0.0</v>
      </c>
      <c r="E34" s="83">
        <v>0.0</v>
      </c>
      <c r="F34" s="83">
        <v>0.0</v>
      </c>
      <c r="G34" s="83">
        <v>0.0</v>
      </c>
      <c r="H34" s="83">
        <v>0.0</v>
      </c>
      <c r="I34" s="83">
        <v>0.0</v>
      </c>
      <c r="J34" s="86">
        <v>0.0</v>
      </c>
      <c r="K34" s="86">
        <v>0.0</v>
      </c>
      <c r="L34" s="86">
        <v>0.0</v>
      </c>
      <c r="M34" s="86">
        <v>0.0</v>
      </c>
      <c r="N34" s="89">
        <v>0.0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0.5" customHeight="1">
      <c r="A35" s="82" t="s">
        <v>75</v>
      </c>
      <c r="B35" s="83">
        <v>4100251.94</v>
      </c>
      <c r="C35" s="83">
        <v>4100251.94</v>
      </c>
      <c r="D35" s="83">
        <v>4142788.1900000004</v>
      </c>
      <c r="E35" s="83">
        <v>4155142.71</v>
      </c>
      <c r="F35" s="83">
        <v>4244263.33</v>
      </c>
      <c r="G35" s="83">
        <v>4245522.12</v>
      </c>
      <c r="H35" s="83">
        <v>4245522.12</v>
      </c>
      <c r="I35" s="83">
        <v>4253604.94</v>
      </c>
      <c r="J35" s="86">
        <v>4253638.14</v>
      </c>
      <c r="K35" s="86">
        <v>4253674.86</v>
      </c>
      <c r="L35" s="86">
        <v>4312892.62</v>
      </c>
      <c r="M35" s="86">
        <v>4327122.33</v>
      </c>
      <c r="N35" s="89">
        <v>5.0634675239999995E7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.5" customHeight="1">
      <c r="A36" s="82" t="s">
        <v>77</v>
      </c>
      <c r="B36" s="83">
        <v>-760263.96</v>
      </c>
      <c r="C36" s="83">
        <v>-798744.39</v>
      </c>
      <c r="D36" s="83">
        <v>-781442.35</v>
      </c>
      <c r="E36" s="83">
        <v>-748713.91</v>
      </c>
      <c r="F36" s="83">
        <v>-782460.61</v>
      </c>
      <c r="G36" s="83">
        <v>-969918.35</v>
      </c>
      <c r="H36" s="83">
        <v>-731087.8</v>
      </c>
      <c r="I36" s="83">
        <v>-717953.57</v>
      </c>
      <c r="J36" s="86">
        <v>-758025.34</v>
      </c>
      <c r="K36" s="86">
        <v>-794650.89</v>
      </c>
      <c r="L36" s="86">
        <v>-744417.96</v>
      </c>
      <c r="M36" s="86">
        <v>-772997.37</v>
      </c>
      <c r="N36" s="89">
        <v>-9360676.499999998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.5" customHeight="1">
      <c r="A37" s="100" t="s">
        <v>80</v>
      </c>
      <c r="B37" s="102">
        <v>3339987.98</v>
      </c>
      <c r="C37" s="102">
        <v>3301507.55</v>
      </c>
      <c r="D37" s="102">
        <v>3361345.8400000003</v>
      </c>
      <c r="E37" s="102">
        <v>3406428.8</v>
      </c>
      <c r="F37" s="102">
        <v>3461802.72</v>
      </c>
      <c r="G37" s="102">
        <v>3275603.77</v>
      </c>
      <c r="H37" s="102">
        <v>3514434.3200000003</v>
      </c>
      <c r="I37" s="102">
        <v>3535651.3700000006</v>
      </c>
      <c r="J37" s="105">
        <v>3495612.8</v>
      </c>
      <c r="K37" s="105">
        <v>3459023.97</v>
      </c>
      <c r="L37" s="105">
        <v>3568474.66</v>
      </c>
      <c r="M37" s="105">
        <v>3554124.96</v>
      </c>
      <c r="N37" s="102">
        <v>4.127399874E7</v>
      </c>
      <c r="O37" s="107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0.5" customHeight="1">
      <c r="A38" s="82" t="s">
        <v>82</v>
      </c>
      <c r="B38" s="83">
        <v>-277405.6</v>
      </c>
      <c r="C38" s="83">
        <v>-277405.6</v>
      </c>
      <c r="D38" s="83">
        <v>-277672.27</v>
      </c>
      <c r="E38" s="83">
        <v>-280103.94</v>
      </c>
      <c r="F38" s="83">
        <v>-280120.61</v>
      </c>
      <c r="G38" s="83">
        <v>-280537.28</v>
      </c>
      <c r="H38" s="83">
        <v>-280932.28</v>
      </c>
      <c r="I38" s="83">
        <v>-280932.28</v>
      </c>
      <c r="J38" s="86">
        <v>-280932.28</v>
      </c>
      <c r="K38" s="86">
        <v>-282960.2</v>
      </c>
      <c r="L38" s="86">
        <v>-283585.2</v>
      </c>
      <c r="M38" s="86">
        <v>-288108.12</v>
      </c>
      <c r="N38" s="89">
        <v>-3370695.660000001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0.5" customHeight="1">
      <c r="A39" s="82" t="s">
        <v>83</v>
      </c>
      <c r="B39" s="83">
        <v>3062582.38</v>
      </c>
      <c r="C39" s="83">
        <v>3024101.9499999997</v>
      </c>
      <c r="D39" s="83">
        <v>3083673.5700000003</v>
      </c>
      <c r="E39" s="83">
        <v>3126324.86</v>
      </c>
      <c r="F39" s="83">
        <v>3181682.1100000003</v>
      </c>
      <c r="G39" s="83">
        <v>2995066.49</v>
      </c>
      <c r="H39" s="83">
        <v>3233502.04</v>
      </c>
      <c r="I39" s="83">
        <v>3254719.090000001</v>
      </c>
      <c r="J39" s="86">
        <v>3214680.5199999996</v>
      </c>
      <c r="K39" s="86">
        <v>3176063.77</v>
      </c>
      <c r="L39" s="86">
        <v>3284889.46</v>
      </c>
      <c r="M39" s="86">
        <v>3266016.84</v>
      </c>
      <c r="N39" s="89">
        <v>3.790330308E7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0.5" customHeight="1">
      <c r="A40" s="82" t="s">
        <v>84</v>
      </c>
      <c r="B40" s="83">
        <v>64429.04</v>
      </c>
      <c r="C40" s="83">
        <v>77216.4</v>
      </c>
      <c r="D40" s="83">
        <v>136348.91</v>
      </c>
      <c r="E40" s="83">
        <v>169248.96</v>
      </c>
      <c r="F40" s="83">
        <v>189012.67</v>
      </c>
      <c r="G40" s="83">
        <v>213302.15</v>
      </c>
      <c r="H40" s="83">
        <v>223089.23</v>
      </c>
      <c r="I40" s="83">
        <v>245606.63</v>
      </c>
      <c r="J40" s="86">
        <v>263720.52</v>
      </c>
      <c r="K40" s="86">
        <v>264115.61</v>
      </c>
      <c r="L40" s="86">
        <v>282622.91</v>
      </c>
      <c r="M40" s="86">
        <v>303474.83</v>
      </c>
      <c r="N40" s="89">
        <v>2432187.8600000003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0.5" customHeight="1">
      <c r="A41" s="82" t="s">
        <v>86</v>
      </c>
      <c r="B41" s="83">
        <v>3127011.42</v>
      </c>
      <c r="C41" s="83">
        <v>3101318.3499999996</v>
      </c>
      <c r="D41" s="83">
        <v>3220022.4800000004</v>
      </c>
      <c r="E41" s="83">
        <v>3295573.82</v>
      </c>
      <c r="F41" s="83">
        <v>3370694.7800000003</v>
      </c>
      <c r="G41" s="83">
        <v>3208368.64</v>
      </c>
      <c r="H41" s="83">
        <v>3456591.27</v>
      </c>
      <c r="I41" s="83">
        <v>3500325.7200000007</v>
      </c>
      <c r="J41" s="86">
        <v>3478401.0399999996</v>
      </c>
      <c r="K41" s="86">
        <v>3440179.38</v>
      </c>
      <c r="L41" s="86">
        <v>3567512.37</v>
      </c>
      <c r="M41" s="86">
        <v>3569491.67</v>
      </c>
      <c r="N41" s="89">
        <v>4.0335490940000005E7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.5" customHeight="1">
      <c r="A42" s="82" t="s">
        <v>87</v>
      </c>
      <c r="B42" s="83">
        <v>-585756.86</v>
      </c>
      <c r="C42" s="83">
        <v>-587460.42</v>
      </c>
      <c r="D42" s="83">
        <v>-609724.54</v>
      </c>
      <c r="E42" s="83">
        <v>-619661.52</v>
      </c>
      <c r="F42" s="83">
        <v>-633800.52</v>
      </c>
      <c r="G42" s="83">
        <v>-639556.94</v>
      </c>
      <c r="H42" s="83">
        <v>-640240.39</v>
      </c>
      <c r="I42" s="83">
        <v>-646164.88</v>
      </c>
      <c r="J42" s="86">
        <v>-649683.21</v>
      </c>
      <c r="K42" s="86">
        <v>-647177.54</v>
      </c>
      <c r="L42" s="86">
        <v>-657512.86</v>
      </c>
      <c r="M42" s="86">
        <v>-663565.2</v>
      </c>
      <c r="N42" s="89">
        <v>-7580304.88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0.5" customHeight="1">
      <c r="A43" s="82" t="s">
        <v>89</v>
      </c>
      <c r="B43" s="83">
        <v>2541254.56</v>
      </c>
      <c r="C43" s="83">
        <v>2513857.9299999997</v>
      </c>
      <c r="D43" s="83">
        <v>2610297.9400000004</v>
      </c>
      <c r="E43" s="83">
        <v>2675912.3</v>
      </c>
      <c r="F43" s="83">
        <v>2736894.2600000002</v>
      </c>
      <c r="G43" s="83">
        <v>2568811.7</v>
      </c>
      <c r="H43" s="83">
        <v>2816350.88</v>
      </c>
      <c r="I43" s="83">
        <v>2854160.840000001</v>
      </c>
      <c r="J43" s="86">
        <v>2828717.8299999996</v>
      </c>
      <c r="K43" s="86">
        <v>2793001.84</v>
      </c>
      <c r="L43" s="86">
        <v>2909999.5100000002</v>
      </c>
      <c r="M43" s="86">
        <v>2905926.4699999997</v>
      </c>
      <c r="N43" s="89">
        <v>3.275518606E7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0.5" customHeight="1">
      <c r="A44" s="126" t="s">
        <v>92</v>
      </c>
      <c r="B44" s="130">
        <v>44568.0</v>
      </c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>
        <v>44568.0</v>
      </c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ht="10.5" customHeight="1">
      <c r="A45" s="4"/>
      <c r="B45" s="134"/>
      <c r="C45" s="134"/>
      <c r="D45" s="134"/>
      <c r="E45" s="134"/>
      <c r="F45" s="134"/>
      <c r="G45" s="134"/>
      <c r="H45" s="134"/>
      <c r="I45" s="83"/>
      <c r="J45" s="83"/>
      <c r="K45" s="135"/>
      <c r="L45" s="135"/>
      <c r="M45" s="13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0.5" customHeight="1">
      <c r="A46" s="141" t="s">
        <v>97</v>
      </c>
      <c r="B46" s="142"/>
      <c r="C46" s="142"/>
      <c r="D46" s="142"/>
      <c r="E46" s="134"/>
      <c r="F46" s="141" t="s">
        <v>98</v>
      </c>
      <c r="G46" s="142"/>
      <c r="H46" s="142"/>
      <c r="I46" s="142"/>
      <c r="J46" s="134"/>
      <c r="K46" s="141" t="s">
        <v>99</v>
      </c>
      <c r="L46" s="142"/>
      <c r="M46" s="142"/>
      <c r="N46" s="14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0.5" customHeight="1">
      <c r="A47" s="143"/>
      <c r="B47" s="145" t="s">
        <v>101</v>
      </c>
      <c r="C47" s="145" t="s">
        <v>102</v>
      </c>
      <c r="D47" s="148" t="s">
        <v>103</v>
      </c>
      <c r="E47" s="150" t="s">
        <v>104</v>
      </c>
      <c r="F47" s="143"/>
      <c r="G47" s="145" t="s">
        <v>101</v>
      </c>
      <c r="H47" s="145" t="s">
        <v>102</v>
      </c>
      <c r="I47" s="148" t="s">
        <v>103</v>
      </c>
      <c r="J47" s="151"/>
      <c r="K47" s="143"/>
      <c r="L47" s="145" t="s">
        <v>101</v>
      </c>
      <c r="M47" s="145" t="s">
        <v>102</v>
      </c>
      <c r="N47" s="148" t="s">
        <v>103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0.5" customHeight="1">
      <c r="A48" s="152" t="s">
        <v>105</v>
      </c>
      <c r="B48" s="86">
        <f>$B$31</f>
        <v>4255580.62</v>
      </c>
      <c r="C48" s="86">
        <f>SUM($B$31)</f>
        <v>4255580.62</v>
      </c>
      <c r="D48" s="86">
        <f>N31</f>
        <v>52552854.99</v>
      </c>
      <c r="E48" s="156">
        <f>D49-D48</f>
        <v>1923233.69</v>
      </c>
      <c r="F48" s="152" t="s">
        <v>105</v>
      </c>
      <c r="G48" s="86">
        <f>E34</f>
        <v>0</v>
      </c>
      <c r="H48" s="86">
        <f>SUM(B34:E34)</f>
        <v>0</v>
      </c>
      <c r="I48" s="86">
        <f>N34</f>
        <v>0</v>
      </c>
      <c r="J48" s="151"/>
      <c r="K48" s="152" t="s">
        <v>105</v>
      </c>
      <c r="L48" s="86">
        <f>$B$37</f>
        <v>3339987.98</v>
      </c>
      <c r="M48" s="86">
        <f>SUM($B$37)</f>
        <v>3339987.98</v>
      </c>
      <c r="N48" s="86">
        <f>N37</f>
        <v>41273998.74</v>
      </c>
      <c r="O48" s="158">
        <f>N49-N48</f>
        <v>2236940.77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0.5" customHeight="1">
      <c r="A49" s="152" t="s">
        <v>106</v>
      </c>
      <c r="B49" s="86">
        <f>'Matriz senha_capital OK'!$B$34</f>
        <v>4291819.85</v>
      </c>
      <c r="C49" s="86">
        <f>SUM('Matriz senha_capital OK'!$B$34)</f>
        <v>4291819.85</v>
      </c>
      <c r="D49" s="86">
        <f>'Matriz senha_capital OK'!N34</f>
        <v>54476088.68</v>
      </c>
      <c r="E49" s="159">
        <f>B49-B48</f>
        <v>36239.23</v>
      </c>
      <c r="F49" s="152" t="s">
        <v>106</v>
      </c>
      <c r="G49" s="86">
        <v>0.0</v>
      </c>
      <c r="H49" s="86">
        <v>0.0</v>
      </c>
      <c r="I49" s="86">
        <v>0.0</v>
      </c>
      <c r="J49" s="151"/>
      <c r="K49" s="152" t="s">
        <v>106</v>
      </c>
      <c r="L49" s="86">
        <f>'Matriz senha_capital OK'!$B$40</f>
        <v>3442323.92</v>
      </c>
      <c r="M49" s="86">
        <f>SUM('Matriz senha_capital OK'!$B$40)</f>
        <v>3442323.92</v>
      </c>
      <c r="N49" s="86">
        <f>'Matriz senha_capital OK'!N40</f>
        <v>43510939.51</v>
      </c>
      <c r="O49" s="93">
        <f>L49-L48</f>
        <v>102335.94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0.5" customHeight="1">
      <c r="A50" s="152" t="s">
        <v>107</v>
      </c>
      <c r="B50" s="160">
        <f t="shared" ref="B50:D50" si="1">B49/B48-1</f>
        <v>0.008515695797</v>
      </c>
      <c r="C50" s="160">
        <f t="shared" si="1"/>
        <v>0.008515695797</v>
      </c>
      <c r="D50" s="160">
        <f t="shared" si="1"/>
        <v>0.03659617903</v>
      </c>
      <c r="E50" s="54"/>
      <c r="F50" s="152" t="s">
        <v>107</v>
      </c>
      <c r="G50" s="134" t="str">
        <f t="shared" ref="G50:I50" si="2">G48/G49</f>
        <v>#DIV/0!</v>
      </c>
      <c r="H50" s="134" t="str">
        <f t="shared" si="2"/>
        <v>#DIV/0!</v>
      </c>
      <c r="I50" s="134" t="str">
        <f t="shared" si="2"/>
        <v>#DIV/0!</v>
      </c>
      <c r="J50" s="151"/>
      <c r="K50" s="152" t="s">
        <v>107</v>
      </c>
      <c r="L50" s="160">
        <f t="shared" ref="L50:N50" si="3">L49/L48-1</f>
        <v>0.03063961326</v>
      </c>
      <c r="M50" s="160">
        <f t="shared" si="3"/>
        <v>0.03063961326</v>
      </c>
      <c r="N50" s="160">
        <f t="shared" si="3"/>
        <v>0.05419733581</v>
      </c>
      <c r="O50" s="9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0.5" customHeight="1">
      <c r="A51" s="4"/>
      <c r="B51" s="134"/>
      <c r="C51" s="134"/>
      <c r="D51" s="134"/>
      <c r="E51" s="134"/>
      <c r="F51" s="5"/>
      <c r="G51" s="5"/>
      <c r="H51" s="5"/>
      <c r="I51" s="5"/>
      <c r="J51" s="162"/>
      <c r="L51" s="8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0.5" customHeight="1">
      <c r="A52" s="4"/>
      <c r="B52" s="5"/>
      <c r="C52" s="5"/>
      <c r="D52" s="5"/>
      <c r="E52" s="134"/>
      <c r="F52" s="134"/>
      <c r="G52" s="134"/>
      <c r="H52" s="134"/>
      <c r="I52" s="163"/>
      <c r="J52" s="162"/>
      <c r="L52" s="13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0.5" customHeight="1">
      <c r="A53" s="141" t="s">
        <v>108</v>
      </c>
      <c r="B53" s="142"/>
      <c r="C53" s="142"/>
      <c r="D53" s="142"/>
      <c r="E53" s="150" t="s">
        <v>104</v>
      </c>
      <c r="F53" s="141" t="s">
        <v>109</v>
      </c>
      <c r="G53" s="142"/>
      <c r="H53" s="142"/>
      <c r="I53" s="142"/>
      <c r="J53" s="150"/>
      <c r="K53" s="150"/>
      <c r="L53" s="150"/>
      <c r="M53" s="15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0.5" customHeight="1">
      <c r="A54" s="143"/>
      <c r="B54" s="145" t="s">
        <v>101</v>
      </c>
      <c r="C54" s="145" t="s">
        <v>102</v>
      </c>
      <c r="D54" s="148" t="s">
        <v>103</v>
      </c>
      <c r="E54" s="54"/>
      <c r="F54" s="143"/>
      <c r="G54" s="145" t="s">
        <v>101</v>
      </c>
      <c r="H54" s="145" t="s">
        <v>102</v>
      </c>
      <c r="I54" s="148" t="s">
        <v>103</v>
      </c>
      <c r="J54" s="54"/>
      <c r="K54" s="54"/>
      <c r="L54" s="54"/>
      <c r="M54" s="5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0.5" customHeight="1">
      <c r="A55" s="152" t="s">
        <v>105</v>
      </c>
      <c r="B55" s="86">
        <f>$B$35</f>
        <v>4100251.94</v>
      </c>
      <c r="C55" s="86">
        <f>SUM($B$35)</f>
        <v>4100251.94</v>
      </c>
      <c r="D55" s="86">
        <f>N35</f>
        <v>50634675.24</v>
      </c>
      <c r="E55" s="167">
        <f>B56-B55</f>
        <v>33889.43</v>
      </c>
      <c r="F55" s="152" t="s">
        <v>105</v>
      </c>
      <c r="G55" s="86">
        <f>$B$36</f>
        <v>-760263.96</v>
      </c>
      <c r="H55" s="86">
        <f>SUM($B$36)</f>
        <v>-760263.96</v>
      </c>
      <c r="I55" s="86">
        <f>N36</f>
        <v>-9360676.5</v>
      </c>
      <c r="J55" s="171">
        <f>I55-I56</f>
        <v>-391585.53</v>
      </c>
      <c r="K55" s="5"/>
      <c r="L55" s="54"/>
      <c r="M55" s="54"/>
      <c r="N55" s="5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0.5" customHeight="1">
      <c r="A56" s="152" t="s">
        <v>106</v>
      </c>
      <c r="B56" s="86">
        <f>'Matriz senha_capital OK'!$B$38</f>
        <v>4134141.37</v>
      </c>
      <c r="C56" s="86">
        <f>SUM('Matriz senha_capital OK'!$B$38)</f>
        <v>4134141.37</v>
      </c>
      <c r="D56" s="86">
        <f>'Matriz senha_capital OK'!N38</f>
        <v>52480030.48</v>
      </c>
      <c r="E56" s="167">
        <f>D55-D56</f>
        <v>-1845355.24</v>
      </c>
      <c r="F56" s="152" t="s">
        <v>106</v>
      </c>
      <c r="G56" s="86">
        <f>'Matriz senha_capital OK'!$B$39</f>
        <v>-691817.45</v>
      </c>
      <c r="H56" s="86">
        <f>SUM('Matriz senha_capital OK'!$B$39)</f>
        <v>-691817.45</v>
      </c>
      <c r="I56" s="86">
        <f>'Matriz senha_capital OK'!N39</f>
        <v>-8969090.97</v>
      </c>
      <c r="J56" s="171">
        <f>G55-G56</f>
        <v>-68446.51</v>
      </c>
      <c r="K56" s="5"/>
      <c r="L56" s="54"/>
      <c r="M56" s="54"/>
      <c r="N56" s="5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0.5" customHeight="1">
      <c r="A57" s="152" t="s">
        <v>107</v>
      </c>
      <c r="B57" s="160">
        <f t="shared" ref="B57:D57" si="4">B56/B55-1</f>
        <v>0.008265206747</v>
      </c>
      <c r="C57" s="160">
        <f t="shared" si="4"/>
        <v>0.008265206747</v>
      </c>
      <c r="D57" s="160">
        <f t="shared" si="4"/>
        <v>0.03644449641</v>
      </c>
      <c r="E57" s="134"/>
      <c r="F57" s="152" t="s">
        <v>107</v>
      </c>
      <c r="G57" s="160">
        <f>H56/H55-1</f>
        <v>-0.09002992855</v>
      </c>
      <c r="H57" s="160">
        <f t="shared" ref="H57:I57" si="5">H56/H55-1</f>
        <v>-0.09002992855</v>
      </c>
      <c r="I57" s="160">
        <f t="shared" si="5"/>
        <v>-0.04183303739</v>
      </c>
      <c r="J57" s="54"/>
      <c r="K57" s="54"/>
      <c r="L57" s="13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0.5" customHeight="1">
      <c r="A58" s="4"/>
      <c r="B58" s="5"/>
      <c r="C58" s="5"/>
      <c r="D58" s="5"/>
      <c r="E58" s="134"/>
      <c r="F58" s="134"/>
      <c r="G58" s="134"/>
      <c r="H58" s="134"/>
      <c r="I58" s="134"/>
      <c r="J58" s="134"/>
      <c r="K58" s="134"/>
      <c r="L58" s="13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0.5" customHeight="1">
      <c r="A59" s="4"/>
      <c r="B59" s="5"/>
      <c r="C59" s="5"/>
      <c r="D59" s="5"/>
      <c r="E59" s="150" t="s">
        <v>104</v>
      </c>
      <c r="F59" s="150" t="s">
        <v>112</v>
      </c>
      <c r="G59" s="150" t="s">
        <v>113</v>
      </c>
      <c r="H59" s="150"/>
      <c r="I59" s="150"/>
      <c r="J59" s="150"/>
      <c r="K59" s="150"/>
      <c r="L59" s="150"/>
      <c r="M59" s="15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0.5" customHeight="1">
      <c r="A60" s="5" t="s">
        <v>114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7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0.5" customHeight="1">
      <c r="A61" s="78" t="s">
        <v>57</v>
      </c>
      <c r="B61" s="78" t="s">
        <v>58</v>
      </c>
      <c r="C61" s="78" t="s">
        <v>59</v>
      </c>
      <c r="D61" s="78" t="s">
        <v>60</v>
      </c>
      <c r="E61" s="78" t="s">
        <v>61</v>
      </c>
      <c r="F61" s="78" t="s">
        <v>62</v>
      </c>
      <c r="G61" s="78" t="s">
        <v>63</v>
      </c>
      <c r="H61" s="78" t="s">
        <v>64</v>
      </c>
      <c r="I61" s="78" t="s">
        <v>65</v>
      </c>
      <c r="J61" s="78" t="s">
        <v>66</v>
      </c>
      <c r="K61" s="78" t="s">
        <v>67</v>
      </c>
      <c r="L61" s="78" t="s">
        <v>68</v>
      </c>
      <c r="M61" s="78" t="s">
        <v>69</v>
      </c>
      <c r="N61" s="78" t="s">
        <v>70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0.5" customHeight="1">
      <c r="A62" s="82" t="s">
        <v>40</v>
      </c>
      <c r="B62" s="83">
        <v>1284468.92</v>
      </c>
      <c r="C62" s="83">
        <v>1288895.36</v>
      </c>
      <c r="D62" s="83">
        <v>1289247.83</v>
      </c>
      <c r="E62" s="83">
        <v>1290182.61</v>
      </c>
      <c r="F62" s="83">
        <v>1429936.93</v>
      </c>
      <c r="G62" s="83">
        <v>1492560.55</v>
      </c>
      <c r="H62" s="83">
        <v>1555184.17</v>
      </c>
      <c r="I62" s="83">
        <v>1629836.57</v>
      </c>
      <c r="J62" s="86">
        <v>1693797.14</v>
      </c>
      <c r="K62" s="86">
        <v>1800656.91</v>
      </c>
      <c r="L62" s="86">
        <v>1865473.09</v>
      </c>
      <c r="M62" s="86">
        <v>1865473.09</v>
      </c>
      <c r="N62" s="89">
        <v>1.848571317E7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0.5" customHeight="1">
      <c r="A63" s="82" t="s">
        <v>71</v>
      </c>
      <c r="B63" s="83">
        <v>-118813.36</v>
      </c>
      <c r="C63" s="83">
        <v>-119222.8</v>
      </c>
      <c r="D63" s="83">
        <v>-119255.4</v>
      </c>
      <c r="E63" s="83">
        <v>-119341.85</v>
      </c>
      <c r="F63" s="83">
        <v>-132269.13</v>
      </c>
      <c r="G63" s="83">
        <v>-138061.81</v>
      </c>
      <c r="H63" s="83">
        <v>-143854.49</v>
      </c>
      <c r="I63" s="83">
        <v>-150759.83</v>
      </c>
      <c r="J63" s="86">
        <v>-156676.18</v>
      </c>
      <c r="K63" s="86">
        <v>-166560.7</v>
      </c>
      <c r="L63" s="86">
        <v>-172556.19</v>
      </c>
      <c r="M63" s="86">
        <v>-172556.19</v>
      </c>
      <c r="N63" s="89">
        <v>-1709927.93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0.5" customHeight="1">
      <c r="A64" s="82" t="s">
        <v>72</v>
      </c>
      <c r="B64" s="83">
        <v>1165655.5599999998</v>
      </c>
      <c r="C64" s="83">
        <v>1169672.56</v>
      </c>
      <c r="D64" s="83">
        <v>1169992.4300000002</v>
      </c>
      <c r="E64" s="83">
        <v>1170840.76</v>
      </c>
      <c r="F64" s="83">
        <v>1297667.7999999998</v>
      </c>
      <c r="G64" s="83">
        <v>1354498.74</v>
      </c>
      <c r="H64" s="83">
        <v>1411329.68</v>
      </c>
      <c r="I64" s="83">
        <v>1479076.74</v>
      </c>
      <c r="J64" s="86">
        <v>1537120.96</v>
      </c>
      <c r="K64" s="86">
        <v>1634096.21</v>
      </c>
      <c r="L64" s="86">
        <v>1692916.9000000001</v>
      </c>
      <c r="M64" s="86">
        <v>1692916.9000000001</v>
      </c>
      <c r="N64" s="89">
        <v>1.6775785240000002E7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0.5" customHeight="1">
      <c r="A65" s="82" t="s">
        <v>73</v>
      </c>
      <c r="B65" s="83">
        <v>0.0</v>
      </c>
      <c r="C65" s="83">
        <v>0.0</v>
      </c>
      <c r="D65" s="83">
        <v>0.0</v>
      </c>
      <c r="E65" s="83">
        <v>0.0</v>
      </c>
      <c r="F65" s="83">
        <v>0.0</v>
      </c>
      <c r="G65" s="83">
        <v>0.0</v>
      </c>
      <c r="H65" s="83">
        <v>0.0</v>
      </c>
      <c r="I65" s="83">
        <v>0.0</v>
      </c>
      <c r="J65" s="86">
        <v>0.0</v>
      </c>
      <c r="K65" s="86">
        <v>0.0</v>
      </c>
      <c r="L65" s="86">
        <v>0.0</v>
      </c>
      <c r="M65" s="86">
        <v>0.0</v>
      </c>
      <c r="N65" s="89">
        <v>0.0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0.5" customHeight="1">
      <c r="A66" s="82" t="s">
        <v>75</v>
      </c>
      <c r="B66" s="83">
        <v>1165655.5599999998</v>
      </c>
      <c r="C66" s="83">
        <v>1169672.56</v>
      </c>
      <c r="D66" s="83">
        <v>1169992.4300000002</v>
      </c>
      <c r="E66" s="83">
        <v>1170840.76</v>
      </c>
      <c r="F66" s="83">
        <v>1297667.7999999998</v>
      </c>
      <c r="G66" s="83">
        <v>1354498.74</v>
      </c>
      <c r="H66" s="83">
        <v>1411329.68</v>
      </c>
      <c r="I66" s="83">
        <v>1479076.74</v>
      </c>
      <c r="J66" s="86">
        <v>1537120.96</v>
      </c>
      <c r="K66" s="86">
        <v>1634096.21</v>
      </c>
      <c r="L66" s="86">
        <v>1692916.9000000001</v>
      </c>
      <c r="M66" s="86">
        <v>1692916.9000000001</v>
      </c>
      <c r="N66" s="89">
        <v>1.6775785240000002E7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0.5" customHeight="1">
      <c r="A67" s="82" t="s">
        <v>77</v>
      </c>
      <c r="B67" s="83">
        <v>-423448.06</v>
      </c>
      <c r="C67" s="83">
        <v>-393887.09</v>
      </c>
      <c r="D67" s="83">
        <v>-432546.68</v>
      </c>
      <c r="E67" s="83">
        <v>-394130.93</v>
      </c>
      <c r="F67" s="83">
        <v>-424913.02</v>
      </c>
      <c r="G67" s="83">
        <v>-586217.81</v>
      </c>
      <c r="H67" s="83">
        <v>-458032.67</v>
      </c>
      <c r="I67" s="83">
        <v>-425691.05</v>
      </c>
      <c r="J67" s="86">
        <v>-417492.77</v>
      </c>
      <c r="K67" s="86">
        <v>-422019.22</v>
      </c>
      <c r="L67" s="86">
        <v>-424719.4</v>
      </c>
      <c r="M67" s="86">
        <v>-403290.58</v>
      </c>
      <c r="N67" s="89">
        <v>-5206389.28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0.5" customHeight="1">
      <c r="A68" s="100" t="s">
        <v>80</v>
      </c>
      <c r="B68" s="182">
        <v>742207.4999999998</v>
      </c>
      <c r="C68" s="182">
        <v>775785.47</v>
      </c>
      <c r="D68" s="182">
        <v>737445.7500000002</v>
      </c>
      <c r="E68" s="182">
        <v>776709.8300000001</v>
      </c>
      <c r="F68" s="182">
        <v>872754.7799999998</v>
      </c>
      <c r="G68" s="182">
        <v>768280.9299999999</v>
      </c>
      <c r="H68" s="182">
        <v>953297.01</v>
      </c>
      <c r="I68" s="182">
        <v>1053385.69</v>
      </c>
      <c r="J68" s="183">
        <v>1119628.19</v>
      </c>
      <c r="K68" s="183">
        <v>1212076.99</v>
      </c>
      <c r="L68" s="183">
        <v>1268197.5</v>
      </c>
      <c r="M68" s="183">
        <v>1289626.32</v>
      </c>
      <c r="N68" s="182">
        <v>1.1569395959999999E7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0.5" customHeight="1">
      <c r="A69" s="82" t="s">
        <v>82</v>
      </c>
      <c r="B69" s="83">
        <v>-235399.15</v>
      </c>
      <c r="C69" s="83">
        <v>-235399.15</v>
      </c>
      <c r="D69" s="83">
        <v>-235399.15</v>
      </c>
      <c r="E69" s="83">
        <v>-235399.15</v>
      </c>
      <c r="F69" s="83">
        <v>-242136.29</v>
      </c>
      <c r="G69" s="83">
        <v>-242552.96</v>
      </c>
      <c r="H69" s="83">
        <v>-242976.29</v>
      </c>
      <c r="I69" s="83">
        <v>-243392.96</v>
      </c>
      <c r="J69" s="86">
        <v>-243483.21</v>
      </c>
      <c r="K69" s="86">
        <v>-245017.14</v>
      </c>
      <c r="L69" s="86">
        <v>-245017.14</v>
      </c>
      <c r="M69" s="86">
        <v>-245047.14</v>
      </c>
      <c r="N69" s="89">
        <v>-2891219.7300000004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0.5" customHeight="1">
      <c r="A70" s="82" t="s">
        <v>83</v>
      </c>
      <c r="B70" s="83">
        <v>506808.34999999974</v>
      </c>
      <c r="C70" s="83">
        <v>540386.32</v>
      </c>
      <c r="D70" s="83">
        <v>502046.6000000002</v>
      </c>
      <c r="E70" s="83">
        <v>541310.68</v>
      </c>
      <c r="F70" s="83">
        <v>630618.4899999998</v>
      </c>
      <c r="G70" s="83">
        <v>525727.97</v>
      </c>
      <c r="H70" s="83">
        <v>710320.72</v>
      </c>
      <c r="I70" s="83">
        <v>809992.73</v>
      </c>
      <c r="J70" s="86">
        <v>876144.98</v>
      </c>
      <c r="K70" s="86">
        <v>967059.85</v>
      </c>
      <c r="L70" s="86">
        <v>1023180.36</v>
      </c>
      <c r="M70" s="86">
        <v>1044579.18</v>
      </c>
      <c r="N70" s="89">
        <v>8678176.23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0.5" customHeight="1">
      <c r="A71" s="82" t="s">
        <v>84</v>
      </c>
      <c r="B71" s="83">
        <v>-581246.23</v>
      </c>
      <c r="C71" s="83">
        <v>-602354.13</v>
      </c>
      <c r="D71" s="83">
        <v>-677847.94</v>
      </c>
      <c r="E71" s="83">
        <v>-711955.81</v>
      </c>
      <c r="F71" s="83">
        <v>-710061.05</v>
      </c>
      <c r="G71" s="83">
        <v>-714313.53</v>
      </c>
      <c r="H71" s="83">
        <v>-714203.38</v>
      </c>
      <c r="I71" s="83">
        <v>-704936.79</v>
      </c>
      <c r="J71" s="86">
        <v>-693403.29</v>
      </c>
      <c r="K71" s="86">
        <v>-676406.29</v>
      </c>
      <c r="L71" s="86">
        <v>-659886.53</v>
      </c>
      <c r="M71" s="86">
        <v>-672632.98</v>
      </c>
      <c r="N71" s="89">
        <v>-8119247.950000001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0.5" customHeight="1">
      <c r="A72" s="82" t="s">
        <v>86</v>
      </c>
      <c r="B72" s="83">
        <v>-74437.88000000024</v>
      </c>
      <c r="C72" s="83">
        <v>-61967.810000000056</v>
      </c>
      <c r="D72" s="83">
        <v>-175801.33999999973</v>
      </c>
      <c r="E72" s="83">
        <v>-170645.13</v>
      </c>
      <c r="F72" s="83">
        <v>-79442.56000000029</v>
      </c>
      <c r="G72" s="83">
        <v>-188585.56000000006</v>
      </c>
      <c r="H72" s="83">
        <v>-3882.6600000000326</v>
      </c>
      <c r="I72" s="83">
        <v>105055.93999999994</v>
      </c>
      <c r="J72" s="86">
        <v>182741.68999999994</v>
      </c>
      <c r="K72" s="86">
        <v>290653.55999999994</v>
      </c>
      <c r="L72" s="86">
        <v>363293.82999999996</v>
      </c>
      <c r="M72" s="86">
        <v>371946.20000000007</v>
      </c>
      <c r="N72" s="89">
        <v>558928.2799999994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0.5" customHeight="1">
      <c r="A73" s="82" t="s">
        <v>87</v>
      </c>
      <c r="B73" s="83">
        <v>0.0</v>
      </c>
      <c r="C73" s="83">
        <v>0.0</v>
      </c>
      <c r="D73" s="83">
        <v>0.0</v>
      </c>
      <c r="E73" s="83">
        <v>0.0</v>
      </c>
      <c r="F73" s="83">
        <v>0.0</v>
      </c>
      <c r="G73" s="83">
        <v>0.0</v>
      </c>
      <c r="H73" s="83">
        <v>0.0</v>
      </c>
      <c r="I73" s="83">
        <v>0.0</v>
      </c>
      <c r="J73" s="86">
        <v>0.0</v>
      </c>
      <c r="K73" s="86">
        <v>0.0</v>
      </c>
      <c r="L73" s="86">
        <v>-31375.19</v>
      </c>
      <c r="M73" s="86">
        <v>-72971.38</v>
      </c>
      <c r="N73" s="89">
        <v>-104346.57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0.5" customHeight="1">
      <c r="A74" s="82" t="s">
        <v>89</v>
      </c>
      <c r="B74" s="83">
        <v>-74437.88000000024</v>
      </c>
      <c r="C74" s="83">
        <v>-61967.810000000056</v>
      </c>
      <c r="D74" s="83">
        <v>-175801.33999999973</v>
      </c>
      <c r="E74" s="83">
        <v>-170645.13</v>
      </c>
      <c r="F74" s="83">
        <v>-79442.56000000029</v>
      </c>
      <c r="G74" s="83">
        <v>-188585.56000000006</v>
      </c>
      <c r="H74" s="83">
        <v>-3882.6600000000326</v>
      </c>
      <c r="I74" s="83">
        <v>105055.93999999994</v>
      </c>
      <c r="J74" s="86">
        <v>182741.68999999994</v>
      </c>
      <c r="K74" s="86">
        <v>290653.55999999994</v>
      </c>
      <c r="L74" s="86">
        <v>331918.63999999996</v>
      </c>
      <c r="M74" s="86">
        <v>298974.82000000007</v>
      </c>
      <c r="N74" s="89">
        <v>454581.70999999944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0.5" customHeight="1">
      <c r="A75" s="126" t="s">
        <v>92</v>
      </c>
      <c r="B75" s="130">
        <v>44568.0</v>
      </c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>
        <v>44568.0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0.5" customHeight="1">
      <c r="A76" s="4"/>
      <c r="B76" s="134"/>
      <c r="C76" s="134"/>
      <c r="D76" s="134"/>
      <c r="E76" s="134"/>
      <c r="F76" s="134"/>
      <c r="G76" s="134"/>
      <c r="H76" s="134"/>
      <c r="I76" s="83"/>
      <c r="J76" s="83"/>
      <c r="K76" s="135"/>
      <c r="L76" s="135"/>
      <c r="M76" s="137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0.5" customHeight="1">
      <c r="A77" s="141" t="s">
        <v>97</v>
      </c>
      <c r="B77" s="142"/>
      <c r="C77" s="142"/>
      <c r="D77" s="142"/>
      <c r="E77" s="134"/>
      <c r="F77" s="141" t="s">
        <v>98</v>
      </c>
      <c r="G77" s="142"/>
      <c r="H77" s="142"/>
      <c r="I77" s="142"/>
      <c r="J77" s="134"/>
      <c r="K77" s="141" t="s">
        <v>99</v>
      </c>
      <c r="L77" s="142"/>
      <c r="M77" s="142"/>
      <c r="N77" s="14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0.5" customHeight="1">
      <c r="A78" s="143"/>
      <c r="B78" s="145" t="s">
        <v>101</v>
      </c>
      <c r="C78" s="145" t="s">
        <v>102</v>
      </c>
      <c r="D78" s="148" t="s">
        <v>103</v>
      </c>
      <c r="E78" s="150" t="s">
        <v>104</v>
      </c>
      <c r="F78" s="143"/>
      <c r="G78" s="145" t="s">
        <v>101</v>
      </c>
      <c r="H78" s="145" t="s">
        <v>102</v>
      </c>
      <c r="I78" s="148" t="s">
        <v>103</v>
      </c>
      <c r="J78" s="151"/>
      <c r="K78" s="143"/>
      <c r="L78" s="145" t="s">
        <v>101</v>
      </c>
      <c r="M78" s="145" t="s">
        <v>102</v>
      </c>
      <c r="N78" s="148" t="s">
        <v>103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0.5" customHeight="1">
      <c r="A79" s="152" t="s">
        <v>105</v>
      </c>
      <c r="B79" s="86">
        <f>$B$62</f>
        <v>1284468.92</v>
      </c>
      <c r="C79" s="86">
        <f>SUM($B$62)</f>
        <v>1284468.92</v>
      </c>
      <c r="D79" s="86">
        <f>N62</f>
        <v>18485713.17</v>
      </c>
      <c r="E79" s="156">
        <f>D80-D79</f>
        <v>1386207.62</v>
      </c>
      <c r="F79" s="152" t="s">
        <v>105</v>
      </c>
      <c r="G79" s="86">
        <f>E65</f>
        <v>0</v>
      </c>
      <c r="H79" s="86">
        <f>SUM(B65:E65)</f>
        <v>0</v>
      </c>
      <c r="I79" s="86">
        <f>N65</f>
        <v>0</v>
      </c>
      <c r="J79" s="151"/>
      <c r="K79" s="152" t="s">
        <v>105</v>
      </c>
      <c r="L79" s="86">
        <f>$B$68</f>
        <v>742207.5</v>
      </c>
      <c r="M79" s="86">
        <f>SUM($B$68)</f>
        <v>742207.5</v>
      </c>
      <c r="N79" s="86">
        <f>N68</f>
        <v>11569395.96</v>
      </c>
      <c r="O79" s="93">
        <f>L79-L80</f>
        <v>-175564.53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0.5" customHeight="1">
      <c r="A80" s="152" t="s">
        <v>106</v>
      </c>
      <c r="B80" s="86">
        <f>'Demercado_senha capital OK'!$B$34</f>
        <v>1286906.9</v>
      </c>
      <c r="C80" s="86">
        <f>SUM('Demercado_senha capital OK'!$B$34)</f>
        <v>1286906.9</v>
      </c>
      <c r="D80" s="86">
        <f>'Demercado_senha capital OK'!N34</f>
        <v>19871920.79</v>
      </c>
      <c r="E80" s="156">
        <f>B80-B79</f>
        <v>2437.98</v>
      </c>
      <c r="F80" s="152" t="s">
        <v>106</v>
      </c>
      <c r="G80" s="86">
        <v>0.0</v>
      </c>
      <c r="H80" s="86">
        <v>0.0</v>
      </c>
      <c r="I80" s="86">
        <v>0.0</v>
      </c>
      <c r="J80" s="151"/>
      <c r="K80" s="152" t="s">
        <v>106</v>
      </c>
      <c r="L80" s="86">
        <f>'Demercado_senha capital OK'!$B$40</f>
        <v>917772.03</v>
      </c>
      <c r="M80" s="86">
        <f>SUM('Demercado_senha capital OK'!$B$40)</f>
        <v>917772.03</v>
      </c>
      <c r="N80" s="86">
        <f>'Demercado_senha capital OK'!N40</f>
        <v>12967375.59</v>
      </c>
      <c r="O80" s="158">
        <f>N79-N80</f>
        <v>-1397979.63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0.5" customHeight="1">
      <c r="A81" s="152" t="s">
        <v>107</v>
      </c>
      <c r="B81" s="160">
        <f t="shared" ref="B81:D81" si="6">B80/B79-1</f>
        <v>0.001898045147</v>
      </c>
      <c r="C81" s="160">
        <f t="shared" si="6"/>
        <v>0.001898045147</v>
      </c>
      <c r="D81" s="160">
        <f t="shared" si="6"/>
        <v>0.07498805198</v>
      </c>
      <c r="E81" s="54"/>
      <c r="F81" s="152" t="s">
        <v>107</v>
      </c>
      <c r="G81" s="134" t="str">
        <f t="shared" ref="G81:I81" si="7">G79/G80</f>
        <v>#DIV/0!</v>
      </c>
      <c r="H81" s="134" t="str">
        <f t="shared" si="7"/>
        <v>#DIV/0!</v>
      </c>
      <c r="I81" s="134" t="str">
        <f t="shared" si="7"/>
        <v>#DIV/0!</v>
      </c>
      <c r="J81" s="151"/>
      <c r="K81" s="152" t="s">
        <v>107</v>
      </c>
      <c r="L81" s="160">
        <f t="shared" ref="L81:N81" si="8">L80/L79-1</f>
        <v>0.2365437293</v>
      </c>
      <c r="M81" s="160">
        <f t="shared" si="8"/>
        <v>0.2365437293</v>
      </c>
      <c r="N81" s="160">
        <f t="shared" si="8"/>
        <v>0.1208342799</v>
      </c>
      <c r="O81" s="9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0.5" customHeight="1">
      <c r="A82" s="4"/>
      <c r="B82" s="134"/>
      <c r="C82" s="134"/>
      <c r="D82" s="134"/>
      <c r="E82" s="134"/>
      <c r="F82" s="5"/>
      <c r="G82" s="5"/>
      <c r="H82" s="5"/>
      <c r="I82" s="5"/>
      <c r="J82" s="162"/>
      <c r="L82" s="13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0.5" customHeight="1">
      <c r="A83" s="4"/>
      <c r="B83" s="5"/>
      <c r="C83" s="5"/>
      <c r="D83" s="5"/>
      <c r="E83" s="134"/>
      <c r="F83" s="134"/>
      <c r="G83" s="134"/>
      <c r="H83" s="134"/>
      <c r="I83" s="163"/>
      <c r="J83" s="162"/>
      <c r="L83" s="13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0.5" customHeight="1">
      <c r="A84" s="141" t="s">
        <v>108</v>
      </c>
      <c r="B84" s="142"/>
      <c r="C84" s="142"/>
      <c r="D84" s="142"/>
      <c r="E84" s="150" t="s">
        <v>104</v>
      </c>
      <c r="F84" s="141" t="s">
        <v>109</v>
      </c>
      <c r="G84" s="142"/>
      <c r="H84" s="142"/>
      <c r="I84" s="142"/>
      <c r="J84" s="150"/>
      <c r="K84" s="150"/>
      <c r="L84" s="86"/>
      <c r="M84" s="15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0.5" customHeight="1">
      <c r="A85" s="143"/>
      <c r="B85" s="145" t="s">
        <v>101</v>
      </c>
      <c r="C85" s="145" t="s">
        <v>102</v>
      </c>
      <c r="D85" s="148" t="s">
        <v>103</v>
      </c>
      <c r="E85" s="54"/>
      <c r="F85" s="143"/>
      <c r="G85" s="145" t="s">
        <v>101</v>
      </c>
      <c r="H85" s="145" t="s">
        <v>102</v>
      </c>
      <c r="I85" s="148" t="s">
        <v>103</v>
      </c>
      <c r="J85" s="54"/>
      <c r="K85" s="54"/>
      <c r="L85" s="54"/>
      <c r="M85" s="5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0.5" customHeight="1">
      <c r="A86" s="152" t="s">
        <v>105</v>
      </c>
      <c r="B86" s="86">
        <f>$B$66</f>
        <v>1165655.56</v>
      </c>
      <c r="C86" s="86">
        <f>SUM($B$66)</f>
        <v>1165655.56</v>
      </c>
      <c r="D86" s="86">
        <f>N66</f>
        <v>16775785.24</v>
      </c>
      <c r="E86" s="167">
        <f>B86-B87</f>
        <v>-1580.56</v>
      </c>
      <c r="F86" s="152" t="s">
        <v>105</v>
      </c>
      <c r="G86" s="86">
        <f>$B$67</f>
        <v>-423448.06</v>
      </c>
      <c r="H86" s="86">
        <f>SUM($B$67)</f>
        <v>-423448.06</v>
      </c>
      <c r="I86" s="86">
        <f>N67</f>
        <v>-5206389.28</v>
      </c>
      <c r="J86" s="54">
        <f>G86-G87</f>
        <v>-173983.97</v>
      </c>
      <c r="K86" s="54"/>
      <c r="L86" s="54"/>
      <c r="M86" s="5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0.5" customHeight="1">
      <c r="A87" s="152" t="s">
        <v>106</v>
      </c>
      <c r="B87" s="86">
        <f>'Demercado_senha capital OK'!$B$38</f>
        <v>1167236.12</v>
      </c>
      <c r="C87" s="86">
        <f>SUM('Demercado_senha capital OK'!$B$38)</f>
        <v>1167236.12</v>
      </c>
      <c r="D87" s="86">
        <f>'Demercado_senha capital OK'!N38</f>
        <v>18033125.96</v>
      </c>
      <c r="E87" s="167">
        <f>D86-D87</f>
        <v>-1257340.72</v>
      </c>
      <c r="F87" s="152" t="s">
        <v>106</v>
      </c>
      <c r="G87" s="86">
        <f>'Demercado_senha capital OK'!$B$39</f>
        <v>-249464.09</v>
      </c>
      <c r="H87" s="86">
        <f>SUM('Demercado_senha capital OK'!$B$39)</f>
        <v>-249464.09</v>
      </c>
      <c r="I87" s="86">
        <f>'Demercado_senha capital OK'!N39</f>
        <v>-5065750.37</v>
      </c>
      <c r="J87" s="54">
        <f>I87-I86</f>
        <v>140638.91</v>
      </c>
      <c r="K87" s="54"/>
      <c r="L87" s="54"/>
      <c r="M87" s="5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0.5" customHeight="1">
      <c r="A88" s="152" t="s">
        <v>107</v>
      </c>
      <c r="B88" s="160">
        <f t="shared" ref="B88:D88" si="9">B87/B86-1</f>
        <v>0.001355940858</v>
      </c>
      <c r="C88" s="160">
        <f t="shared" si="9"/>
        <v>0.001355940858</v>
      </c>
      <c r="D88" s="160">
        <f t="shared" si="9"/>
        <v>0.07494973869</v>
      </c>
      <c r="E88" s="134"/>
      <c r="F88" s="152" t="s">
        <v>107</v>
      </c>
      <c r="G88" s="160">
        <f t="shared" ref="G88:I88" si="10">G87/G86-1</f>
        <v>-0.4108744057</v>
      </c>
      <c r="H88" s="160">
        <f t="shared" si="10"/>
        <v>-0.4108744057</v>
      </c>
      <c r="I88" s="160">
        <f t="shared" si="10"/>
        <v>-0.02701275345</v>
      </c>
      <c r="J88" s="54"/>
      <c r="K88" s="134"/>
      <c r="L88" s="13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0.5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0.5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0.5" customHeight="1">
      <c r="A91" s="5" t="s">
        <v>126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7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0.5" customHeight="1">
      <c r="A92" s="78" t="s">
        <v>57</v>
      </c>
      <c r="B92" s="78" t="s">
        <v>58</v>
      </c>
      <c r="C92" s="78" t="s">
        <v>59</v>
      </c>
      <c r="D92" s="78" t="s">
        <v>60</v>
      </c>
      <c r="E92" s="78" t="s">
        <v>61</v>
      </c>
      <c r="F92" s="78" t="s">
        <v>62</v>
      </c>
      <c r="G92" s="78" t="s">
        <v>63</v>
      </c>
      <c r="H92" s="78" t="s">
        <v>64</v>
      </c>
      <c r="I92" s="78" t="s">
        <v>65</v>
      </c>
      <c r="J92" s="78" t="s">
        <v>66</v>
      </c>
      <c r="K92" s="216" t="s">
        <v>67</v>
      </c>
      <c r="L92" s="216" t="s">
        <v>68</v>
      </c>
      <c r="M92" s="216" t="s">
        <v>69</v>
      </c>
      <c r="N92" s="78" t="s">
        <v>70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0.5" customHeight="1">
      <c r="A93" s="82" t="s">
        <v>40</v>
      </c>
      <c r="B93" s="83">
        <v>89181.0</v>
      </c>
      <c r="C93" s="83">
        <v>93265.05</v>
      </c>
      <c r="D93" s="83">
        <v>96538.94</v>
      </c>
      <c r="E93" s="83">
        <v>100577.4</v>
      </c>
      <c r="F93" s="83">
        <v>102451.9</v>
      </c>
      <c r="G93" s="83">
        <v>104076.6</v>
      </c>
      <c r="H93" s="83">
        <v>105911.6</v>
      </c>
      <c r="I93" s="83">
        <v>116210.1</v>
      </c>
      <c r="J93" s="86">
        <v>113265.2</v>
      </c>
      <c r="K93" s="86">
        <v>118349.9</v>
      </c>
      <c r="L93" s="86">
        <v>119993.6</v>
      </c>
      <c r="M93" s="86">
        <v>147220.2</v>
      </c>
      <c r="N93" s="89">
        <v>1307041.49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0.5" customHeight="1">
      <c r="A94" s="82" t="s">
        <v>71</v>
      </c>
      <c r="B94" s="83">
        <v>-12708.29</v>
      </c>
      <c r="C94" s="83">
        <v>-13290.28</v>
      </c>
      <c r="D94" s="83">
        <v>-13756.81</v>
      </c>
      <c r="E94" s="83">
        <v>-14332.28</v>
      </c>
      <c r="F94" s="83">
        <v>-14599.4</v>
      </c>
      <c r="G94" s="83">
        <v>-14830.91</v>
      </c>
      <c r="H94" s="83">
        <v>-15092.41</v>
      </c>
      <c r="I94" s="83">
        <v>-16559.95</v>
      </c>
      <c r="J94" s="86">
        <v>-16140.28</v>
      </c>
      <c r="K94" s="86">
        <v>-16864.87</v>
      </c>
      <c r="L94" s="86">
        <v>-17099.09</v>
      </c>
      <c r="M94" s="86">
        <v>-20978.87</v>
      </c>
      <c r="N94" s="89">
        <v>-186253.44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0.5" customHeight="1">
      <c r="A95" s="82" t="s">
        <v>72</v>
      </c>
      <c r="B95" s="83">
        <v>76472.70999999999</v>
      </c>
      <c r="C95" s="83">
        <v>79974.77</v>
      </c>
      <c r="D95" s="83">
        <v>82782.13</v>
      </c>
      <c r="E95" s="83">
        <v>86245.12</v>
      </c>
      <c r="F95" s="83">
        <v>87852.5</v>
      </c>
      <c r="G95" s="83">
        <v>89245.69</v>
      </c>
      <c r="H95" s="83">
        <v>90819.19</v>
      </c>
      <c r="I95" s="83">
        <v>99650.15000000001</v>
      </c>
      <c r="J95" s="86">
        <v>97124.92</v>
      </c>
      <c r="K95" s="86">
        <v>101485.03</v>
      </c>
      <c r="L95" s="86">
        <v>102894.51000000001</v>
      </c>
      <c r="M95" s="86">
        <v>126241.33000000002</v>
      </c>
      <c r="N95" s="89">
        <v>1120788.05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0.5" customHeight="1">
      <c r="A96" s="82" t="s">
        <v>73</v>
      </c>
      <c r="B96" s="83">
        <v>0.0</v>
      </c>
      <c r="C96" s="83">
        <v>0.0</v>
      </c>
      <c r="D96" s="83">
        <v>0.0</v>
      </c>
      <c r="E96" s="83">
        <v>0.0</v>
      </c>
      <c r="F96" s="83">
        <v>0.0</v>
      </c>
      <c r="G96" s="83">
        <v>0.0</v>
      </c>
      <c r="H96" s="83">
        <v>0.0</v>
      </c>
      <c r="I96" s="83">
        <v>0.0</v>
      </c>
      <c r="J96" s="86">
        <v>0.0</v>
      </c>
      <c r="K96" s="86">
        <v>0.0</v>
      </c>
      <c r="L96" s="86">
        <v>0.0</v>
      </c>
      <c r="M96" s="86">
        <v>0.0</v>
      </c>
      <c r="N96" s="89">
        <v>0.0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0.5" customHeight="1">
      <c r="A97" s="82" t="s">
        <v>75</v>
      </c>
      <c r="B97" s="83">
        <v>76472.70999999999</v>
      </c>
      <c r="C97" s="83">
        <v>79974.77</v>
      </c>
      <c r="D97" s="83">
        <v>82782.13</v>
      </c>
      <c r="E97" s="83">
        <v>86245.12</v>
      </c>
      <c r="F97" s="83">
        <v>87852.5</v>
      </c>
      <c r="G97" s="83">
        <v>89245.69</v>
      </c>
      <c r="H97" s="83">
        <v>90819.19</v>
      </c>
      <c r="I97" s="83">
        <v>99650.15000000001</v>
      </c>
      <c r="J97" s="86">
        <v>97124.92</v>
      </c>
      <c r="K97" s="86">
        <v>101485.03</v>
      </c>
      <c r="L97" s="86">
        <v>102894.51000000001</v>
      </c>
      <c r="M97" s="86">
        <v>126241.33000000002</v>
      </c>
      <c r="N97" s="89">
        <v>1120788.05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0.5" customHeight="1">
      <c r="A98" s="82" t="s">
        <v>77</v>
      </c>
      <c r="B98" s="83">
        <v>-71519.69</v>
      </c>
      <c r="C98" s="83">
        <v>-72128.91</v>
      </c>
      <c r="D98" s="83">
        <v>-77029.02</v>
      </c>
      <c r="E98" s="83">
        <v>-76964.29</v>
      </c>
      <c r="F98" s="83">
        <v>-78606.29</v>
      </c>
      <c r="G98" s="83">
        <v>-71880.13</v>
      </c>
      <c r="H98" s="83">
        <v>-76126.63</v>
      </c>
      <c r="I98" s="83">
        <v>-75503.8</v>
      </c>
      <c r="J98" s="86">
        <v>-83726.88</v>
      </c>
      <c r="K98" s="86">
        <v>-76153.95</v>
      </c>
      <c r="L98" s="86">
        <v>-75523.3</v>
      </c>
      <c r="M98" s="86">
        <v>-104245.63</v>
      </c>
      <c r="N98" s="89">
        <v>-939408.52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0.5" customHeight="1">
      <c r="A99" s="100" t="s">
        <v>80</v>
      </c>
      <c r="B99" s="182">
        <v>4953.0199999999895</v>
      </c>
      <c r="C99" s="182">
        <v>7845.860000000001</v>
      </c>
      <c r="D99" s="182">
        <v>5753.110000000001</v>
      </c>
      <c r="E99" s="182">
        <v>9280.830000000002</v>
      </c>
      <c r="F99" s="182">
        <v>9246.210000000006</v>
      </c>
      <c r="G99" s="182">
        <v>17365.559999999998</v>
      </c>
      <c r="H99" s="182">
        <v>14692.559999999998</v>
      </c>
      <c r="I99" s="182">
        <v>24146.350000000006</v>
      </c>
      <c r="J99" s="183">
        <v>13398.039999999994</v>
      </c>
      <c r="K99" s="183">
        <v>25331.08</v>
      </c>
      <c r="L99" s="183">
        <v>27371.210000000006</v>
      </c>
      <c r="M99" s="183">
        <v>21995.70000000001</v>
      </c>
      <c r="N99" s="182">
        <v>181379.53000000003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customHeight="1">
      <c r="A100" s="82" t="s">
        <v>82</v>
      </c>
      <c r="B100" s="83">
        <v>-5464.53</v>
      </c>
      <c r="C100" s="83">
        <v>-5464.53</v>
      </c>
      <c r="D100" s="83">
        <v>-5547.86</v>
      </c>
      <c r="E100" s="83">
        <v>-5652.03</v>
      </c>
      <c r="F100" s="83">
        <v>-5693.53</v>
      </c>
      <c r="G100" s="83">
        <v>-5693.53</v>
      </c>
      <c r="H100" s="83">
        <v>-5693.53</v>
      </c>
      <c r="I100" s="83">
        <v>-5693.53</v>
      </c>
      <c r="J100" s="86">
        <v>-5764.36</v>
      </c>
      <c r="K100" s="86">
        <v>-5764.36</v>
      </c>
      <c r="L100" s="86">
        <v>-5764.36</v>
      </c>
      <c r="M100" s="86">
        <v>-5764.36</v>
      </c>
      <c r="N100" s="89">
        <v>-67960.51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customHeight="1">
      <c r="A101" s="82" t="s">
        <v>83</v>
      </c>
      <c r="B101" s="83">
        <v>-511.5100000000102</v>
      </c>
      <c r="C101" s="83">
        <v>2381.330000000001</v>
      </c>
      <c r="D101" s="83">
        <v>205.2500000000009</v>
      </c>
      <c r="E101" s="83">
        <v>3628.800000000002</v>
      </c>
      <c r="F101" s="83">
        <v>3552.6800000000067</v>
      </c>
      <c r="G101" s="83">
        <v>11672.029999999999</v>
      </c>
      <c r="H101" s="83">
        <v>8999.029999999999</v>
      </c>
      <c r="I101" s="83">
        <v>18452.820000000007</v>
      </c>
      <c r="J101" s="86">
        <v>7633.679999999994</v>
      </c>
      <c r="K101" s="86">
        <v>19566.72</v>
      </c>
      <c r="L101" s="86">
        <v>21606.850000000006</v>
      </c>
      <c r="M101" s="86">
        <v>16231.340000000011</v>
      </c>
      <c r="N101" s="89">
        <v>113419.02000000002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customHeight="1">
      <c r="A102" s="82" t="s">
        <v>84</v>
      </c>
      <c r="B102" s="83">
        <v>-913.58</v>
      </c>
      <c r="C102" s="83">
        <v>-889.1</v>
      </c>
      <c r="D102" s="83">
        <v>-838.8</v>
      </c>
      <c r="E102" s="83">
        <v>-605.73</v>
      </c>
      <c r="F102" s="83">
        <v>-585.14</v>
      </c>
      <c r="G102" s="83">
        <v>-506.13</v>
      </c>
      <c r="H102" s="83">
        <v>-213.73</v>
      </c>
      <c r="I102" s="83">
        <v>41.39</v>
      </c>
      <c r="J102" s="86">
        <v>405.88</v>
      </c>
      <c r="K102" s="86">
        <v>578.8</v>
      </c>
      <c r="L102" s="86">
        <v>1006.14</v>
      </c>
      <c r="M102" s="86">
        <v>998.4</v>
      </c>
      <c r="N102" s="89">
        <v>-1521.5999999999985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0.5" customHeight="1">
      <c r="A103" s="82" t="s">
        <v>86</v>
      </c>
      <c r="B103" s="83">
        <v>-1425.0900000000101</v>
      </c>
      <c r="C103" s="83">
        <v>1492.230000000001</v>
      </c>
      <c r="D103" s="83">
        <v>-633.549999999999</v>
      </c>
      <c r="E103" s="83">
        <v>3023.070000000002</v>
      </c>
      <c r="F103" s="83">
        <v>2967.540000000007</v>
      </c>
      <c r="G103" s="83">
        <v>11165.9</v>
      </c>
      <c r="H103" s="83">
        <v>8785.3</v>
      </c>
      <c r="I103" s="83">
        <v>18494.210000000006</v>
      </c>
      <c r="J103" s="86">
        <v>8039.559999999994</v>
      </c>
      <c r="K103" s="86">
        <v>20145.52</v>
      </c>
      <c r="L103" s="86">
        <v>22612.990000000005</v>
      </c>
      <c r="M103" s="86">
        <v>17229.740000000013</v>
      </c>
      <c r="N103" s="89">
        <v>111897.42000000001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0.5" customHeight="1">
      <c r="A104" s="82" t="s">
        <v>87</v>
      </c>
      <c r="B104" s="83">
        <v>0.0</v>
      </c>
      <c r="C104" s="83">
        <v>0.0</v>
      </c>
      <c r="D104" s="83">
        <v>0.0</v>
      </c>
      <c r="E104" s="83">
        <v>0.0</v>
      </c>
      <c r="F104" s="83">
        <v>0.0</v>
      </c>
      <c r="G104" s="83">
        <v>0.0</v>
      </c>
      <c r="H104" s="83">
        <v>0.0</v>
      </c>
      <c r="I104" s="83">
        <v>0.0</v>
      </c>
      <c r="J104" s="86">
        <v>0.0</v>
      </c>
      <c r="K104" s="86">
        <v>0.0</v>
      </c>
      <c r="L104" s="86">
        <v>0.0</v>
      </c>
      <c r="M104" s="86">
        <v>0.0</v>
      </c>
      <c r="N104" s="89">
        <v>0.0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0.5" customHeight="1">
      <c r="A105" s="82" t="s">
        <v>89</v>
      </c>
      <c r="B105" s="83">
        <v>-1425.0900000000101</v>
      </c>
      <c r="C105" s="83">
        <v>1492.230000000001</v>
      </c>
      <c r="D105" s="83">
        <v>-633.549999999999</v>
      </c>
      <c r="E105" s="83">
        <v>3023.070000000002</v>
      </c>
      <c r="F105" s="83">
        <v>2967.540000000007</v>
      </c>
      <c r="G105" s="83">
        <v>11165.9</v>
      </c>
      <c r="H105" s="83">
        <v>8785.3</v>
      </c>
      <c r="I105" s="83">
        <v>18494.210000000006</v>
      </c>
      <c r="J105" s="86">
        <v>8039.559999999994</v>
      </c>
      <c r="K105" s="86">
        <v>20145.52</v>
      </c>
      <c r="L105" s="86">
        <v>22612.990000000005</v>
      </c>
      <c r="M105" s="86">
        <v>17229.740000000013</v>
      </c>
      <c r="N105" s="89">
        <v>111897.42000000001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0.5" customHeight="1">
      <c r="A106" s="126" t="s">
        <v>92</v>
      </c>
      <c r="B106" s="130">
        <v>44568.0</v>
      </c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>
        <v>44568.0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s="4"/>
      <c r="B107" s="134"/>
      <c r="C107" s="134"/>
      <c r="D107" s="134"/>
      <c r="E107" s="134"/>
      <c r="F107" s="134"/>
      <c r="G107" s="134"/>
      <c r="H107" s="134"/>
      <c r="I107" s="83"/>
      <c r="J107" s="83"/>
      <c r="K107" s="135"/>
      <c r="L107" s="135"/>
      <c r="M107" s="13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s="141" t="s">
        <v>97</v>
      </c>
      <c r="B108" s="142"/>
      <c r="C108" s="142"/>
      <c r="D108" s="142"/>
      <c r="E108" s="134"/>
      <c r="F108" s="141" t="s">
        <v>98</v>
      </c>
      <c r="G108" s="142"/>
      <c r="H108" s="142"/>
      <c r="I108" s="142"/>
      <c r="J108" s="134"/>
      <c r="K108" s="141" t="s">
        <v>99</v>
      </c>
      <c r="L108" s="142"/>
      <c r="M108" s="142"/>
      <c r="N108" s="14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0.5" customHeight="1">
      <c r="A109" s="143"/>
      <c r="B109" s="145" t="s">
        <v>101</v>
      </c>
      <c r="C109" s="145" t="s">
        <v>102</v>
      </c>
      <c r="D109" s="148" t="s">
        <v>103</v>
      </c>
      <c r="E109" s="150" t="s">
        <v>104</v>
      </c>
      <c r="F109" s="143"/>
      <c r="G109" s="145" t="s">
        <v>101</v>
      </c>
      <c r="H109" s="145" t="s">
        <v>102</v>
      </c>
      <c r="I109" s="148" t="s">
        <v>103</v>
      </c>
      <c r="J109" s="151"/>
      <c r="K109" s="143"/>
      <c r="L109" s="145" t="s">
        <v>101</v>
      </c>
      <c r="M109" s="145" t="s">
        <v>102</v>
      </c>
      <c r="N109" s="148" t="s">
        <v>103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0.5" customHeight="1">
      <c r="A110" s="152" t="s">
        <v>105</v>
      </c>
      <c r="B110" s="86">
        <f>$B$93</f>
        <v>89181</v>
      </c>
      <c r="C110" s="86">
        <f>SUM($B$93)</f>
        <v>89181</v>
      </c>
      <c r="D110" s="86">
        <f>N93</f>
        <v>1307041.49</v>
      </c>
      <c r="E110" s="167" t="str">
        <f>B111-B110</f>
        <v>#REF!</v>
      </c>
      <c r="F110" s="152" t="s">
        <v>105</v>
      </c>
      <c r="G110" s="86">
        <f>E96</f>
        <v>0</v>
      </c>
      <c r="H110" s="86">
        <f>SUM(B96:E96)</f>
        <v>0</v>
      </c>
      <c r="I110" s="86">
        <f>N96</f>
        <v>0</v>
      </c>
      <c r="J110" s="151"/>
      <c r="K110" s="152" t="s">
        <v>105</v>
      </c>
      <c r="L110" s="86">
        <f>$B$99</f>
        <v>4953.02</v>
      </c>
      <c r="M110" s="86">
        <f>SUM($B$99)</f>
        <v>4953.02</v>
      </c>
      <c r="N110" s="86">
        <f>N99</f>
        <v>181379.53</v>
      </c>
      <c r="O110" s="243" t="str">
        <f>L110-L111</f>
        <v>#REF!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0.5" customHeight="1">
      <c r="A111" s="152" t="s">
        <v>106</v>
      </c>
      <c r="B111" s="86" t="str">
        <f>'Garoto senha_capital OK'!$B$48</f>
        <v>#REF!</v>
      </c>
      <c r="C111" s="86" t="str">
        <f>SUM('Garoto senha_capital OK'!$B$48)</f>
        <v>#REF!</v>
      </c>
      <c r="D111" s="86" t="str">
        <f>'Garoto senha_capital OK'!N48</f>
        <v>#REF!</v>
      </c>
      <c r="E111" s="167" t="str">
        <f>D111-D110</f>
        <v>#REF!</v>
      </c>
      <c r="F111" s="152" t="s">
        <v>106</v>
      </c>
      <c r="G111" s="86" t="str">
        <f>'Garoto senha_capital OK'!E51</f>
        <v>#REF!</v>
      </c>
      <c r="H111" s="86" t="str">
        <f>SUM('Garoto senha_capital OK'!B51:E51)</f>
        <v>#REF!</v>
      </c>
      <c r="I111" s="86" t="str">
        <f>'Garoto senha_capital OK'!N51</f>
        <v>#REF!</v>
      </c>
      <c r="J111" s="151"/>
      <c r="K111" s="152" t="s">
        <v>106</v>
      </c>
      <c r="L111" s="86" t="str">
        <f>'Garoto senha_capital OK'!$B$54</f>
        <v>#REF!</v>
      </c>
      <c r="M111" s="86" t="str">
        <f>SUM('Garoto senha_capital OK'!$B$54)</f>
        <v>#REF!</v>
      </c>
      <c r="N111" s="86" t="str">
        <f>'Garoto senha_capital OK'!N54</f>
        <v>#REF!</v>
      </c>
      <c r="O111" s="246" t="str">
        <f>N110-N111</f>
        <v>#REF!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0.5" customHeight="1">
      <c r="A112" s="152" t="s">
        <v>107</v>
      </c>
      <c r="B112" s="160" t="str">
        <f t="shared" ref="B112:D112" si="11">B111/B110-1</f>
        <v>#REF!</v>
      </c>
      <c r="C112" s="160" t="str">
        <f t="shared" si="11"/>
        <v>#REF!</v>
      </c>
      <c r="D112" s="160" t="str">
        <f t="shared" si="11"/>
        <v>#REF!</v>
      </c>
      <c r="E112" s="54"/>
      <c r="F112" s="152" t="s">
        <v>107</v>
      </c>
      <c r="G112" s="134" t="str">
        <f t="shared" ref="G112:I112" si="12">G110/G111</f>
        <v>#REF!</v>
      </c>
      <c r="H112" s="134" t="str">
        <f t="shared" si="12"/>
        <v>#REF!</v>
      </c>
      <c r="I112" s="134" t="str">
        <f t="shared" si="12"/>
        <v>#REF!</v>
      </c>
      <c r="J112" s="151"/>
      <c r="K112" s="152" t="s">
        <v>107</v>
      </c>
      <c r="L112" s="160" t="str">
        <f t="shared" ref="L112:N112" si="13">L110/L111-1</f>
        <v>#REF!</v>
      </c>
      <c r="M112" s="160" t="str">
        <f t="shared" si="13"/>
        <v>#REF!</v>
      </c>
      <c r="N112" s="160" t="str">
        <f t="shared" si="13"/>
        <v>#REF!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0.5" customHeight="1">
      <c r="A113" s="4"/>
      <c r="B113" s="134"/>
      <c r="C113" s="134"/>
      <c r="D113" s="134"/>
      <c r="E113" s="134"/>
      <c r="F113" s="5"/>
      <c r="G113" s="5"/>
      <c r="H113" s="5"/>
      <c r="I113" s="5"/>
      <c r="J113" s="162"/>
      <c r="L113" s="13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0.5" customHeight="1">
      <c r="A114" s="4"/>
      <c r="B114" s="5"/>
      <c r="C114" s="5"/>
      <c r="D114" s="5"/>
      <c r="E114" s="134"/>
      <c r="F114" s="134"/>
      <c r="G114" s="134"/>
      <c r="H114" s="134"/>
      <c r="I114" s="163"/>
      <c r="J114" s="162"/>
      <c r="L114" s="13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s="141" t="s">
        <v>108</v>
      </c>
      <c r="B115" s="142"/>
      <c r="C115" s="142"/>
      <c r="D115" s="142"/>
      <c r="E115" s="150" t="s">
        <v>104</v>
      </c>
      <c r="F115" s="141" t="s">
        <v>109</v>
      </c>
      <c r="G115" s="142"/>
      <c r="H115" s="142"/>
      <c r="I115" s="142"/>
      <c r="J115" s="150"/>
      <c r="K115" s="150"/>
      <c r="L115" s="150">
        <v>7648.0</v>
      </c>
      <c r="M115" s="150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0.5" customHeight="1">
      <c r="A116" s="143"/>
      <c r="B116" s="145" t="s">
        <v>101</v>
      </c>
      <c r="C116" s="145" t="s">
        <v>102</v>
      </c>
      <c r="D116" s="148" t="s">
        <v>103</v>
      </c>
      <c r="E116" s="54"/>
      <c r="F116" s="143"/>
      <c r="G116" s="145" t="s">
        <v>101</v>
      </c>
      <c r="H116" s="145" t="s">
        <v>102</v>
      </c>
      <c r="I116" s="148" t="s">
        <v>103</v>
      </c>
      <c r="J116" s="54"/>
      <c r="K116" s="54"/>
      <c r="L116" s="54"/>
      <c r="M116" s="5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0.5" customHeight="1">
      <c r="A117" s="152" t="s">
        <v>105</v>
      </c>
      <c r="B117" s="86">
        <f>$B$97</f>
        <v>76472.71</v>
      </c>
      <c r="C117" s="86">
        <f>SUM($B$97)</f>
        <v>76472.71</v>
      </c>
      <c r="D117" s="86">
        <f>N97</f>
        <v>1120788.05</v>
      </c>
      <c r="E117" s="167" t="str">
        <f>B117-B118</f>
        <v>#REF!</v>
      </c>
      <c r="F117" s="152" t="s">
        <v>105</v>
      </c>
      <c r="G117" s="86">
        <f>$B$98</f>
        <v>-71519.69</v>
      </c>
      <c r="H117" s="86">
        <f>SUM($B$98)</f>
        <v>-71519.69</v>
      </c>
      <c r="I117" s="86">
        <f>N98</f>
        <v>-939408.52</v>
      </c>
      <c r="J117" s="167" t="str">
        <f>G117-G118</f>
        <v>#REF!</v>
      </c>
      <c r="K117" s="54"/>
      <c r="L117" s="54"/>
      <c r="M117" s="5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0.5" customHeight="1">
      <c r="A118" s="152" t="s">
        <v>106</v>
      </c>
      <c r="B118" s="86" t="str">
        <f>'Garoto senha_capital OK'!$B$52</f>
        <v>#REF!</v>
      </c>
      <c r="C118" s="86" t="str">
        <f>SUM('Garoto senha_capital OK'!$B$52)</f>
        <v>#REF!</v>
      </c>
      <c r="D118" s="86" t="str">
        <f>'Garoto senha_capital OK'!N52</f>
        <v>#REF!</v>
      </c>
      <c r="E118" s="167" t="str">
        <f>D117-D118</f>
        <v>#REF!</v>
      </c>
      <c r="F118" s="152" t="s">
        <v>106</v>
      </c>
      <c r="G118" s="86" t="str">
        <f>'Garoto senha_capital OK'!$B$53</f>
        <v>#REF!</v>
      </c>
      <c r="H118" s="86" t="str">
        <f>SUM('Garoto senha_capital OK'!$B$53)</f>
        <v>#REF!</v>
      </c>
      <c r="I118" s="86" t="str">
        <f>'Garoto senha_capital OK'!N53</f>
        <v>#REF!</v>
      </c>
      <c r="J118" s="250" t="str">
        <f>I117-I118</f>
        <v>#REF!</v>
      </c>
      <c r="K118" s="54"/>
      <c r="L118" s="54"/>
      <c r="M118" s="5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0.5" customHeight="1">
      <c r="A119" s="152" t="s">
        <v>107</v>
      </c>
      <c r="B119" s="160" t="str">
        <f t="shared" ref="B119:D119" si="14">B118/B117-1</f>
        <v>#REF!</v>
      </c>
      <c r="C119" s="160" t="str">
        <f t="shared" si="14"/>
        <v>#REF!</v>
      </c>
      <c r="D119" s="160" t="str">
        <f t="shared" si="14"/>
        <v>#REF!</v>
      </c>
      <c r="E119" s="134"/>
      <c r="F119" s="152" t="s">
        <v>107</v>
      </c>
      <c r="G119" s="160" t="str">
        <f t="shared" ref="G119:I119" si="15">G118/G117-1</f>
        <v>#REF!</v>
      </c>
      <c r="H119" s="160" t="str">
        <f t="shared" si="15"/>
        <v>#REF!</v>
      </c>
      <c r="I119" s="160" t="str">
        <f t="shared" si="15"/>
        <v>#REF!</v>
      </c>
      <c r="J119" s="134"/>
      <c r="K119" s="134"/>
      <c r="L119" s="13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0.5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0.5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0.5" customHeight="1">
      <c r="A122" s="5" t="s">
        <v>128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7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0.5" customHeight="1">
      <c r="A123" s="78" t="s">
        <v>57</v>
      </c>
      <c r="B123" s="78" t="s">
        <v>58</v>
      </c>
      <c r="C123" s="78" t="s">
        <v>59</v>
      </c>
      <c r="D123" s="78" t="s">
        <v>60</v>
      </c>
      <c r="E123" s="78" t="s">
        <v>61</v>
      </c>
      <c r="F123" s="78" t="s">
        <v>62</v>
      </c>
      <c r="G123" s="78" t="s">
        <v>63</v>
      </c>
      <c r="H123" s="78" t="s">
        <v>64</v>
      </c>
      <c r="I123" s="78" t="s">
        <v>65</v>
      </c>
      <c r="J123" s="78" t="s">
        <v>66</v>
      </c>
      <c r="K123" s="78" t="s">
        <v>67</v>
      </c>
      <c r="L123" s="78" t="s">
        <v>68</v>
      </c>
      <c r="M123" s="78" t="s">
        <v>69</v>
      </c>
      <c r="N123" s="78" t="s">
        <v>70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0.5" customHeight="1">
      <c r="A124" s="82" t="s">
        <v>40</v>
      </c>
      <c r="B124" s="83">
        <v>156605.0</v>
      </c>
      <c r="C124" s="83">
        <v>151190.0</v>
      </c>
      <c r="D124" s="83">
        <v>151173.0</v>
      </c>
      <c r="E124" s="83">
        <v>164700.0</v>
      </c>
      <c r="F124" s="83">
        <v>159780.0</v>
      </c>
      <c r="G124" s="83">
        <v>166905.0</v>
      </c>
      <c r="H124" s="83">
        <v>181805.0</v>
      </c>
      <c r="I124" s="83">
        <v>200350.0</v>
      </c>
      <c r="J124" s="86">
        <v>195766.0</v>
      </c>
      <c r="K124" s="86">
        <v>196200.0</v>
      </c>
      <c r="L124" s="86">
        <v>191260.0</v>
      </c>
      <c r="M124" s="86">
        <v>171885.0</v>
      </c>
      <c r="N124" s="89">
        <v>2087619.0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0.5" customHeight="1">
      <c r="A125" s="82" t="s">
        <v>71</v>
      </c>
      <c r="B125" s="83">
        <v>-22316.21</v>
      </c>
      <c r="C125" s="83">
        <v>-21544.58</v>
      </c>
      <c r="D125" s="83">
        <v>-21542.15</v>
      </c>
      <c r="E125" s="83">
        <v>-23469.75</v>
      </c>
      <c r="F125" s="83">
        <v>-22768.65</v>
      </c>
      <c r="G125" s="83">
        <v>-23783.97</v>
      </c>
      <c r="H125" s="83">
        <v>-25907.22</v>
      </c>
      <c r="I125" s="83">
        <v>-28549.88</v>
      </c>
      <c r="J125" s="86">
        <v>-27896.66</v>
      </c>
      <c r="K125" s="86">
        <v>-27958.51</v>
      </c>
      <c r="L125" s="86">
        <v>-27254.56</v>
      </c>
      <c r="M125" s="86">
        <v>-24493.61</v>
      </c>
      <c r="N125" s="89">
        <v>-297485.75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0.5" customHeight="1">
      <c r="A126" s="82" t="s">
        <v>72</v>
      </c>
      <c r="B126" s="83">
        <v>134288.79</v>
      </c>
      <c r="C126" s="83">
        <v>129645.42</v>
      </c>
      <c r="D126" s="83">
        <v>129630.85</v>
      </c>
      <c r="E126" s="83">
        <v>141230.25</v>
      </c>
      <c r="F126" s="83">
        <v>137011.35</v>
      </c>
      <c r="G126" s="83">
        <v>143121.03</v>
      </c>
      <c r="H126" s="83">
        <v>155897.78</v>
      </c>
      <c r="I126" s="83">
        <v>171800.12</v>
      </c>
      <c r="J126" s="86">
        <v>167869.34</v>
      </c>
      <c r="K126" s="86">
        <v>168241.49</v>
      </c>
      <c r="L126" s="86">
        <v>164005.44</v>
      </c>
      <c r="M126" s="86">
        <v>147391.39</v>
      </c>
      <c r="N126" s="89">
        <v>1790133.25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0.5" customHeight="1">
      <c r="A127" s="82" t="s">
        <v>73</v>
      </c>
      <c r="B127" s="83">
        <v>0.0</v>
      </c>
      <c r="C127" s="83">
        <v>0.0</v>
      </c>
      <c r="D127" s="83">
        <v>0.0</v>
      </c>
      <c r="E127" s="83">
        <v>0.0</v>
      </c>
      <c r="F127" s="83">
        <v>0.0</v>
      </c>
      <c r="G127" s="83">
        <v>0.0</v>
      </c>
      <c r="H127" s="83">
        <v>0.0</v>
      </c>
      <c r="I127" s="83">
        <v>0.0</v>
      </c>
      <c r="J127" s="86">
        <v>0.0</v>
      </c>
      <c r="K127" s="86">
        <v>0.0</v>
      </c>
      <c r="L127" s="86">
        <v>0.0</v>
      </c>
      <c r="M127" s="86">
        <v>0.0</v>
      </c>
      <c r="N127" s="89">
        <v>0.0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0.5" customHeight="1">
      <c r="A128" s="82" t="s">
        <v>75</v>
      </c>
      <c r="B128" s="83">
        <v>134288.79</v>
      </c>
      <c r="C128" s="83">
        <v>129645.42</v>
      </c>
      <c r="D128" s="83">
        <v>129630.85</v>
      </c>
      <c r="E128" s="83">
        <v>141230.25</v>
      </c>
      <c r="F128" s="83">
        <v>137011.35</v>
      </c>
      <c r="G128" s="83">
        <v>143121.03</v>
      </c>
      <c r="H128" s="83">
        <v>155897.78</v>
      </c>
      <c r="I128" s="83">
        <v>171800.12</v>
      </c>
      <c r="J128" s="86">
        <v>167869.34</v>
      </c>
      <c r="K128" s="86">
        <v>168241.49</v>
      </c>
      <c r="L128" s="86">
        <v>164005.44</v>
      </c>
      <c r="M128" s="86">
        <v>147391.39</v>
      </c>
      <c r="N128" s="89">
        <v>1790133.25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0.5" customHeight="1">
      <c r="A129" s="82" t="s">
        <v>77</v>
      </c>
      <c r="B129" s="83">
        <v>-133446.95</v>
      </c>
      <c r="C129" s="83">
        <v>-118320.32</v>
      </c>
      <c r="D129" s="83">
        <v>-126332.76</v>
      </c>
      <c r="E129" s="83">
        <v>-133003.06</v>
      </c>
      <c r="F129" s="83">
        <v>-147943.8</v>
      </c>
      <c r="G129" s="83">
        <v>-122885.29</v>
      </c>
      <c r="H129" s="83">
        <v>-128934.98</v>
      </c>
      <c r="I129" s="83">
        <v>-128840.78</v>
      </c>
      <c r="J129" s="86">
        <v>-129544.25</v>
      </c>
      <c r="K129" s="86">
        <v>-130697.22</v>
      </c>
      <c r="L129" s="86">
        <v>-135091.17</v>
      </c>
      <c r="M129" s="86">
        <v>-130346.28</v>
      </c>
      <c r="N129" s="89">
        <v>-1565386.8599999999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0.5" customHeight="1">
      <c r="A130" s="100" t="s">
        <v>80</v>
      </c>
      <c r="B130" s="264">
        <v>841.8399999999965</v>
      </c>
      <c r="C130" s="264">
        <v>11325.099999999991</v>
      </c>
      <c r="D130" s="264">
        <v>3298.090000000011</v>
      </c>
      <c r="E130" s="264">
        <v>8227.190000000002</v>
      </c>
      <c r="F130" s="264">
        <v>-10932.449999999983</v>
      </c>
      <c r="G130" s="264">
        <v>20235.740000000005</v>
      </c>
      <c r="H130" s="264">
        <v>26962.800000000003</v>
      </c>
      <c r="I130" s="264">
        <v>42959.34</v>
      </c>
      <c r="J130" s="266">
        <v>38325.09</v>
      </c>
      <c r="K130" s="266">
        <v>37544.26999999999</v>
      </c>
      <c r="L130" s="266">
        <v>28914.26999999999</v>
      </c>
      <c r="M130" s="266">
        <v>17045.110000000015</v>
      </c>
      <c r="N130" s="264">
        <v>224746.39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0.5" customHeight="1">
      <c r="A131" s="82" t="s">
        <v>82</v>
      </c>
      <c r="B131" s="83">
        <v>-27049.78</v>
      </c>
      <c r="C131" s="83">
        <v>-27049.78</v>
      </c>
      <c r="D131" s="83">
        <v>-27232.95</v>
      </c>
      <c r="E131" s="83">
        <v>-27232.95</v>
      </c>
      <c r="F131" s="83">
        <v>-27232.95</v>
      </c>
      <c r="G131" s="83">
        <v>-27256.27</v>
      </c>
      <c r="H131" s="83">
        <v>-27256.27</v>
      </c>
      <c r="I131" s="83">
        <v>-27256.27</v>
      </c>
      <c r="J131" s="86">
        <v>-27256.27</v>
      </c>
      <c r="K131" s="86">
        <v>-27283.65</v>
      </c>
      <c r="L131" s="86">
        <v>-27283.65</v>
      </c>
      <c r="M131" s="86">
        <v>-27283.65</v>
      </c>
      <c r="N131" s="89">
        <v>-326674.44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0.5" customHeight="1">
      <c r="A132" s="82" t="s">
        <v>83</v>
      </c>
      <c r="B132" s="83">
        <v>-26207.940000000002</v>
      </c>
      <c r="C132" s="83">
        <v>-15724.680000000008</v>
      </c>
      <c r="D132" s="83">
        <v>-23934.85999999999</v>
      </c>
      <c r="E132" s="83">
        <v>-19005.76</v>
      </c>
      <c r="F132" s="83">
        <v>-38165.39999999998</v>
      </c>
      <c r="G132" s="83">
        <v>-7020.529999999995</v>
      </c>
      <c r="H132" s="83">
        <v>-293.4699999999975</v>
      </c>
      <c r="I132" s="83">
        <v>15703.069999999996</v>
      </c>
      <c r="J132" s="86">
        <v>11068.819999999996</v>
      </c>
      <c r="K132" s="86">
        <v>10260.619999999988</v>
      </c>
      <c r="L132" s="86">
        <v>1630.619999999988</v>
      </c>
      <c r="M132" s="86">
        <v>-10238.539999999986</v>
      </c>
      <c r="N132" s="89">
        <v>-101928.04999999999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0.5" customHeight="1">
      <c r="A133" s="82" t="s">
        <v>84</v>
      </c>
      <c r="B133" s="83">
        <v>-4012.99</v>
      </c>
      <c r="C133" s="83">
        <v>-3806.62</v>
      </c>
      <c r="D133" s="83">
        <v>-3688.4</v>
      </c>
      <c r="E133" s="83">
        <v>-3695.61</v>
      </c>
      <c r="F133" s="83">
        <v>-3499.4</v>
      </c>
      <c r="G133" s="83">
        <v>-3425.23</v>
      </c>
      <c r="H133" s="83">
        <v>-3323.95</v>
      </c>
      <c r="I133" s="83">
        <v>-3227.07</v>
      </c>
      <c r="J133" s="86">
        <v>-2530.0</v>
      </c>
      <c r="K133" s="86">
        <v>-2530.0</v>
      </c>
      <c r="L133" s="86">
        <v>-2530.0</v>
      </c>
      <c r="M133" s="86">
        <v>-2530.0</v>
      </c>
      <c r="N133" s="89">
        <v>-38799.270000000004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0.5" customHeight="1">
      <c r="A134" s="82" t="s">
        <v>86</v>
      </c>
      <c r="B134" s="83">
        <v>-30220.93</v>
      </c>
      <c r="C134" s="83">
        <v>-19531.300000000007</v>
      </c>
      <c r="D134" s="83">
        <v>-27623.25999999999</v>
      </c>
      <c r="E134" s="83">
        <v>-22701.37</v>
      </c>
      <c r="F134" s="83">
        <v>-41664.79999999998</v>
      </c>
      <c r="G134" s="83">
        <v>-10445.759999999995</v>
      </c>
      <c r="H134" s="83">
        <v>-3617.4199999999973</v>
      </c>
      <c r="I134" s="83">
        <v>12475.999999999996</v>
      </c>
      <c r="J134" s="86">
        <v>8538.819999999996</v>
      </c>
      <c r="K134" s="86">
        <v>7730.619999999988</v>
      </c>
      <c r="L134" s="86">
        <v>-899.3800000000119</v>
      </c>
      <c r="M134" s="86">
        <v>-12768.539999999986</v>
      </c>
      <c r="N134" s="89">
        <v>-140727.31999999995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0.5" customHeight="1">
      <c r="A135" s="82" t="s">
        <v>87</v>
      </c>
      <c r="B135" s="83">
        <v>0.0</v>
      </c>
      <c r="C135" s="83">
        <v>0.0</v>
      </c>
      <c r="D135" s="83">
        <v>0.0</v>
      </c>
      <c r="E135" s="83">
        <v>0.0</v>
      </c>
      <c r="F135" s="83">
        <v>0.0</v>
      </c>
      <c r="G135" s="83">
        <v>0.0</v>
      </c>
      <c r="H135" s="83">
        <v>0.0</v>
      </c>
      <c r="I135" s="83">
        <v>0.0</v>
      </c>
      <c r="J135" s="86">
        <v>0.0</v>
      </c>
      <c r="K135" s="86">
        <v>0.0</v>
      </c>
      <c r="L135" s="86">
        <v>0.0</v>
      </c>
      <c r="M135" s="86">
        <v>0.0</v>
      </c>
      <c r="N135" s="89">
        <v>0.0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0.5" customHeight="1">
      <c r="A136" s="82" t="s">
        <v>89</v>
      </c>
      <c r="B136" s="270">
        <v>-30220.93</v>
      </c>
      <c r="C136" s="270">
        <v>-19531.300000000007</v>
      </c>
      <c r="D136" s="270">
        <v>-27623.25999999999</v>
      </c>
      <c r="E136" s="270">
        <v>-22701.37</v>
      </c>
      <c r="F136" s="270">
        <v>-41664.79999999998</v>
      </c>
      <c r="G136" s="270">
        <v>-10445.759999999995</v>
      </c>
      <c r="H136" s="270">
        <v>-3617.4199999999973</v>
      </c>
      <c r="I136" s="270">
        <v>12475.999999999996</v>
      </c>
      <c r="J136" s="271">
        <v>8538.819999999996</v>
      </c>
      <c r="K136" s="271">
        <v>7730.619999999988</v>
      </c>
      <c r="L136" s="271">
        <v>-899.3800000000119</v>
      </c>
      <c r="M136" s="271">
        <v>-12768.539999999986</v>
      </c>
      <c r="N136" s="89">
        <v>-140727.31999999995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0.5" customHeight="1">
      <c r="A137" s="126" t="s">
        <v>92</v>
      </c>
      <c r="B137" s="130">
        <v>44568.0</v>
      </c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>
        <v>44568.0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0.5" customHeight="1">
      <c r="A138" s="4"/>
      <c r="B138" s="134"/>
      <c r="C138" s="134"/>
      <c r="D138" s="134"/>
      <c r="E138" s="134"/>
      <c r="F138" s="134"/>
      <c r="G138" s="134"/>
      <c r="H138" s="134"/>
      <c r="I138" s="83"/>
      <c r="J138" s="83"/>
      <c r="K138" s="135"/>
      <c r="L138" s="135"/>
      <c r="M138" s="13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0.5" customHeight="1">
      <c r="A139" s="141" t="s">
        <v>97</v>
      </c>
      <c r="B139" s="142"/>
      <c r="C139" s="142"/>
      <c r="D139" s="142"/>
      <c r="E139" s="134"/>
      <c r="F139" s="141" t="s">
        <v>98</v>
      </c>
      <c r="G139" s="142"/>
      <c r="H139" s="142"/>
      <c r="I139" s="142"/>
      <c r="J139" s="134"/>
      <c r="K139" s="141" t="s">
        <v>99</v>
      </c>
      <c r="L139" s="142"/>
      <c r="M139" s="142"/>
      <c r="N139" s="14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0.5" customHeight="1">
      <c r="A140" s="143"/>
      <c r="B140" s="145" t="s">
        <v>101</v>
      </c>
      <c r="C140" s="145" t="s">
        <v>102</v>
      </c>
      <c r="D140" s="148" t="s">
        <v>103</v>
      </c>
      <c r="E140" s="150" t="s">
        <v>104</v>
      </c>
      <c r="F140" s="143"/>
      <c r="G140" s="145" t="s">
        <v>101</v>
      </c>
      <c r="H140" s="145" t="s">
        <v>102</v>
      </c>
      <c r="I140" s="148" t="s">
        <v>103</v>
      </c>
      <c r="J140" s="151"/>
      <c r="K140" s="143"/>
      <c r="L140" s="145" t="s">
        <v>101</v>
      </c>
      <c r="M140" s="145" t="s">
        <v>102</v>
      </c>
      <c r="N140" s="148" t="s">
        <v>103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0.5" customHeight="1">
      <c r="A141" s="152" t="s">
        <v>105</v>
      </c>
      <c r="B141" s="86">
        <f>$B$124</f>
        <v>156605</v>
      </c>
      <c r="C141" s="86">
        <f>SUM($B$124)</f>
        <v>156605</v>
      </c>
      <c r="D141" s="86">
        <f>N124</f>
        <v>2087619</v>
      </c>
      <c r="E141" s="167">
        <f>B142-B141</f>
        <v>-7550.98</v>
      </c>
      <c r="F141" s="152" t="s">
        <v>105</v>
      </c>
      <c r="G141" s="86">
        <f>E127</f>
        <v>0</v>
      </c>
      <c r="H141" s="86">
        <f>SUM(B127:E127)</f>
        <v>0</v>
      </c>
      <c r="I141" s="86">
        <f>N127</f>
        <v>0</v>
      </c>
      <c r="J141" s="151"/>
      <c r="K141" s="152" t="s">
        <v>105</v>
      </c>
      <c r="L141" s="86">
        <f>$B$130</f>
        <v>841.84</v>
      </c>
      <c r="M141" s="86">
        <f>SUM($B$130)</f>
        <v>841.84</v>
      </c>
      <c r="N141" s="86">
        <f>N130</f>
        <v>224746.39</v>
      </c>
      <c r="O141" s="243">
        <f>L141-L142</f>
        <v>-6906.87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0.5" customHeight="1">
      <c r="A142" s="152" t="s">
        <v>106</v>
      </c>
      <c r="B142" s="86">
        <f>'Hangar senha_capital OK'!$B$49</f>
        <v>149054.02</v>
      </c>
      <c r="C142" s="86">
        <f>SUM('Hangar senha_capital OK'!$B$49)</f>
        <v>149054.02</v>
      </c>
      <c r="D142" s="86">
        <f>'Hangar senha_capital OK'!N49</f>
        <v>2321853.95</v>
      </c>
      <c r="E142" s="167">
        <f>D142-D141</f>
        <v>234234.95</v>
      </c>
      <c r="F142" s="152" t="s">
        <v>106</v>
      </c>
      <c r="G142" s="86">
        <f>'Hangar senha_capital OK'!E52</f>
        <v>0</v>
      </c>
      <c r="H142" s="86">
        <f>SUM('Hangar senha_capital OK'!B52:E52)</f>
        <v>0</v>
      </c>
      <c r="I142" s="86">
        <f>'Hangar senha_capital OK'!N52</f>
        <v>0</v>
      </c>
      <c r="J142" s="151"/>
      <c r="K142" s="152" t="s">
        <v>106</v>
      </c>
      <c r="L142" s="86">
        <f>'Hangar senha_capital OK'!$B$55</f>
        <v>7748.71</v>
      </c>
      <c r="M142" s="86">
        <f>SUM('Hangar senha_capital OK'!$B$55)</f>
        <v>7748.71</v>
      </c>
      <c r="N142" s="86">
        <f>'Hangar senha_capital OK'!N55</f>
        <v>234328.6</v>
      </c>
      <c r="O142" s="246">
        <f>N141-N142</f>
        <v>-9582.21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0.5" customHeight="1">
      <c r="A143" s="152" t="s">
        <v>107</v>
      </c>
      <c r="B143" s="160">
        <f t="shared" ref="B143:D143" si="16">B142/B141-1</f>
        <v>-0.0482167236</v>
      </c>
      <c r="C143" s="160">
        <f t="shared" si="16"/>
        <v>-0.0482167236</v>
      </c>
      <c r="D143" s="160">
        <f t="shared" si="16"/>
        <v>0.1122019631</v>
      </c>
      <c r="E143" s="54"/>
      <c r="F143" s="152" t="s">
        <v>107</v>
      </c>
      <c r="G143" s="134" t="str">
        <f t="shared" ref="G143:I143" si="17">G141/G142</f>
        <v>#DIV/0!</v>
      </c>
      <c r="H143" s="134" t="str">
        <f t="shared" si="17"/>
        <v>#DIV/0!</v>
      </c>
      <c r="I143" s="134" t="str">
        <f t="shared" si="17"/>
        <v>#DIV/0!</v>
      </c>
      <c r="J143" s="151"/>
      <c r="K143" s="152" t="s">
        <v>107</v>
      </c>
      <c r="L143" s="160">
        <f t="shared" ref="L143:N143" si="18">L141/L142-1</f>
        <v>-0.8913574001</v>
      </c>
      <c r="M143" s="160">
        <f t="shared" si="18"/>
        <v>-0.8913574001</v>
      </c>
      <c r="N143" s="160">
        <f t="shared" si="18"/>
        <v>-0.04089219156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0.5" customHeight="1">
      <c r="A144" s="4"/>
      <c r="B144" s="134"/>
      <c r="C144" s="134"/>
      <c r="D144" s="134"/>
      <c r="E144" s="134"/>
      <c r="F144" s="5"/>
      <c r="G144" s="5"/>
      <c r="H144" s="5"/>
      <c r="I144" s="5"/>
      <c r="J144" s="162"/>
      <c r="L144" s="13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0.5" customHeight="1">
      <c r="A145" s="4"/>
      <c r="B145" s="5"/>
      <c r="C145" s="5"/>
      <c r="D145" s="5"/>
      <c r="E145" s="134"/>
      <c r="F145" s="134"/>
      <c r="G145" s="134"/>
      <c r="H145" s="134"/>
      <c r="I145" s="163"/>
      <c r="J145" s="162"/>
      <c r="L145" s="13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0.5" customHeight="1">
      <c r="A146" s="141" t="s">
        <v>108</v>
      </c>
      <c r="B146" s="142"/>
      <c r="C146" s="142"/>
      <c r="D146" s="142"/>
      <c r="E146" s="150" t="s">
        <v>104</v>
      </c>
      <c r="F146" s="141" t="s">
        <v>109</v>
      </c>
      <c r="G146" s="142"/>
      <c r="H146" s="142"/>
      <c r="I146" s="142"/>
      <c r="J146" s="150"/>
      <c r="K146" s="150"/>
      <c r="L146" s="150"/>
      <c r="M146" s="150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0.5" customHeight="1">
      <c r="A147" s="143"/>
      <c r="B147" s="145" t="s">
        <v>101</v>
      </c>
      <c r="C147" s="145" t="s">
        <v>102</v>
      </c>
      <c r="D147" s="148" t="s">
        <v>103</v>
      </c>
      <c r="E147" s="54"/>
      <c r="F147" s="143"/>
      <c r="G147" s="145" t="s">
        <v>101</v>
      </c>
      <c r="H147" s="145" t="s">
        <v>102</v>
      </c>
      <c r="I147" s="148" t="s">
        <v>103</v>
      </c>
      <c r="J147" s="54"/>
      <c r="K147" s="54"/>
      <c r="L147" s="54"/>
      <c r="M147" s="5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0.5" customHeight="1">
      <c r="A148" s="152" t="s">
        <v>105</v>
      </c>
      <c r="B148" s="86">
        <f>$B$128</f>
        <v>134288.79</v>
      </c>
      <c r="C148" s="86">
        <f>SUM($B$128)</f>
        <v>134288.79</v>
      </c>
      <c r="D148" s="86">
        <f>N128</f>
        <v>1790133.25</v>
      </c>
      <c r="E148" s="167">
        <f>D149-D148</f>
        <v>195193.04</v>
      </c>
      <c r="F148" s="152" t="s">
        <v>105</v>
      </c>
      <c r="G148" s="86">
        <f>$B$129</f>
        <v>-133446.95</v>
      </c>
      <c r="H148" s="86">
        <f>SUM($B$129)</f>
        <v>-133446.95</v>
      </c>
      <c r="I148" s="86">
        <f>N129</f>
        <v>-1565386.86</v>
      </c>
      <c r="J148" s="167">
        <f>G149-G148</f>
        <v>13846.25</v>
      </c>
      <c r="K148" s="54"/>
      <c r="L148" s="54"/>
      <c r="M148" s="5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0.5" customHeight="1">
      <c r="A149" s="152" t="s">
        <v>106</v>
      </c>
      <c r="B149" s="86">
        <f>'Hangar senha_capital OK'!$B$53</f>
        <v>127349.41</v>
      </c>
      <c r="C149" s="86">
        <f>SUM('Hangar senha_capital OK'!$B$53)</f>
        <v>127349.41</v>
      </c>
      <c r="D149" s="86">
        <f>'Hangar senha_capital OK'!N53</f>
        <v>1985326.29</v>
      </c>
      <c r="E149" s="167">
        <f>B149-B148</f>
        <v>-6939.38</v>
      </c>
      <c r="F149" s="152" t="s">
        <v>106</v>
      </c>
      <c r="G149" s="86">
        <f>'Hangar senha_capital OK'!$B$54</f>
        <v>-119600.7</v>
      </c>
      <c r="H149" s="86">
        <f>SUM('Hangar senha_capital OK'!$B$54)</f>
        <v>-119600.7</v>
      </c>
      <c r="I149" s="86">
        <f>'Hangar senha_capital OK'!N54</f>
        <v>-1750997.69</v>
      </c>
      <c r="J149" s="167">
        <f>I149-I148</f>
        <v>-185610.83</v>
      </c>
      <c r="K149" s="54"/>
      <c r="L149" s="54"/>
      <c r="M149" s="5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0.5" customHeight="1">
      <c r="A150" s="152" t="s">
        <v>107</v>
      </c>
      <c r="B150" s="160">
        <f t="shared" ref="B150:D150" si="19">B149/B148-1</f>
        <v>-0.05167505046</v>
      </c>
      <c r="C150" s="160">
        <f t="shared" si="19"/>
        <v>-0.05167505046</v>
      </c>
      <c r="D150" s="160">
        <f t="shared" si="19"/>
        <v>0.1090382741</v>
      </c>
      <c r="E150" s="134"/>
      <c r="F150" s="152" t="s">
        <v>107</v>
      </c>
      <c r="G150" s="160">
        <f t="shared" ref="G150:I150" si="20">G149/G148-1</f>
        <v>-0.1037584598</v>
      </c>
      <c r="H150" s="160">
        <f t="shared" si="20"/>
        <v>-0.1037584598</v>
      </c>
      <c r="I150" s="160">
        <f t="shared" si="20"/>
        <v>0.118571859</v>
      </c>
      <c r="J150" s="134"/>
      <c r="K150" s="134"/>
      <c r="L150" s="13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0.5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0.5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0.5" customHeight="1">
      <c r="A153" s="5" t="s">
        <v>139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7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0.5" customHeight="1">
      <c r="A154" s="78" t="s">
        <v>57</v>
      </c>
      <c r="B154" s="78" t="s">
        <v>58</v>
      </c>
      <c r="C154" s="78" t="s">
        <v>59</v>
      </c>
      <c r="D154" s="78" t="s">
        <v>60</v>
      </c>
      <c r="E154" s="78" t="s">
        <v>61</v>
      </c>
      <c r="F154" s="78" t="s">
        <v>62</v>
      </c>
      <c r="G154" s="78" t="s">
        <v>63</v>
      </c>
      <c r="H154" s="78" t="s">
        <v>64</v>
      </c>
      <c r="I154" s="78" t="s">
        <v>65</v>
      </c>
      <c r="J154" s="78" t="s">
        <v>66</v>
      </c>
      <c r="K154" s="78" t="s">
        <v>67</v>
      </c>
      <c r="L154" s="78" t="s">
        <v>68</v>
      </c>
      <c r="M154" s="78" t="s">
        <v>69</v>
      </c>
      <c r="N154" s="78" t="s">
        <v>70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s="82" t="s">
        <v>40</v>
      </c>
      <c r="B155" s="83">
        <v>1778203.8</v>
      </c>
      <c r="C155" s="83">
        <v>1963260.21</v>
      </c>
      <c r="D155" s="83">
        <v>2007747.7</v>
      </c>
      <c r="E155" s="83">
        <v>1973788.43</v>
      </c>
      <c r="F155" s="83">
        <v>1979555.7</v>
      </c>
      <c r="G155" s="83">
        <v>1986858.02</v>
      </c>
      <c r="H155" s="83">
        <v>1992062.55</v>
      </c>
      <c r="I155" s="83">
        <v>1997039.01</v>
      </c>
      <c r="J155" s="86">
        <v>2002244.59</v>
      </c>
      <c r="K155" s="86">
        <v>2006666.96</v>
      </c>
      <c r="L155" s="86">
        <v>2011529.12</v>
      </c>
      <c r="M155" s="86">
        <v>2019876.1</v>
      </c>
      <c r="N155" s="89">
        <v>2.3718832190000005E7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0.5" customHeight="1">
      <c r="A156" s="82" t="s">
        <v>71</v>
      </c>
      <c r="B156" s="83">
        <v>-19256.04</v>
      </c>
      <c r="C156" s="83">
        <v>-19794.5</v>
      </c>
      <c r="D156" s="83">
        <v>-19854.17</v>
      </c>
      <c r="E156" s="83">
        <v>-19908.95</v>
      </c>
      <c r="F156" s="83">
        <v>-20015.77</v>
      </c>
      <c r="G156" s="83">
        <v>-20133.71</v>
      </c>
      <c r="H156" s="83">
        <v>-20183.24</v>
      </c>
      <c r="I156" s="83">
        <v>-20232.78</v>
      </c>
      <c r="J156" s="86">
        <v>-20277.17</v>
      </c>
      <c r="K156" s="86">
        <v>-20321.56</v>
      </c>
      <c r="L156" s="86">
        <v>-20365.94</v>
      </c>
      <c r="M156" s="86">
        <v>-20365.94</v>
      </c>
      <c r="N156" s="89">
        <v>-240709.77000000002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0.5" customHeight="1">
      <c r="A157" s="82" t="s">
        <v>72</v>
      </c>
      <c r="B157" s="83">
        <v>1758947.76</v>
      </c>
      <c r="C157" s="83">
        <v>1943465.71</v>
      </c>
      <c r="D157" s="83">
        <v>1987893.53</v>
      </c>
      <c r="E157" s="83">
        <v>1953879.48</v>
      </c>
      <c r="F157" s="83">
        <v>1959539.93</v>
      </c>
      <c r="G157" s="83">
        <v>1966724.31</v>
      </c>
      <c r="H157" s="83">
        <v>1971879.31</v>
      </c>
      <c r="I157" s="83">
        <v>1976806.23</v>
      </c>
      <c r="J157" s="86">
        <v>1981967.4200000002</v>
      </c>
      <c r="K157" s="86">
        <v>1986345.4</v>
      </c>
      <c r="L157" s="86">
        <v>1991163.1800000002</v>
      </c>
      <c r="M157" s="86">
        <v>1999510.1600000001</v>
      </c>
      <c r="N157" s="89">
        <v>2.347812242E7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0.5" customHeight="1">
      <c r="A158" s="82" t="s">
        <v>73</v>
      </c>
      <c r="B158" s="83">
        <v>-1535994.91</v>
      </c>
      <c r="C158" s="83">
        <v>-1700010.45</v>
      </c>
      <c r="D158" s="83">
        <v>-1739089.49</v>
      </c>
      <c r="E158" s="83">
        <v>-1709146.29</v>
      </c>
      <c r="F158" s="83">
        <v>-1713954.19</v>
      </c>
      <c r="G158" s="83">
        <v>-1720105.55</v>
      </c>
      <c r="H158" s="83">
        <v>-1724660.99</v>
      </c>
      <c r="I158" s="83">
        <v>-1729008.34</v>
      </c>
      <c r="J158" s="86">
        <v>-1733590.46</v>
      </c>
      <c r="K158" s="86">
        <v>-1737483.74</v>
      </c>
      <c r="L158" s="86">
        <v>-1741767.46</v>
      </c>
      <c r="M158" s="86">
        <v>-1749204.06</v>
      </c>
      <c r="N158" s="89">
        <v>-2.053401593E7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0.5" customHeight="1">
      <c r="A159" s="82" t="s">
        <v>75</v>
      </c>
      <c r="B159" s="83">
        <v>222952.8500000001</v>
      </c>
      <c r="C159" s="83">
        <v>243455.26</v>
      </c>
      <c r="D159" s="83">
        <v>248804.04000000004</v>
      </c>
      <c r="E159" s="83">
        <v>244733.18999999994</v>
      </c>
      <c r="F159" s="83">
        <v>245585.74</v>
      </c>
      <c r="G159" s="83">
        <v>246618.76</v>
      </c>
      <c r="H159" s="83">
        <v>247218.32000000007</v>
      </c>
      <c r="I159" s="83">
        <v>247797.8899999999</v>
      </c>
      <c r="J159" s="86">
        <v>248376.9600000002</v>
      </c>
      <c r="K159" s="86">
        <v>248861.65999999992</v>
      </c>
      <c r="L159" s="86">
        <v>249395.7200000002</v>
      </c>
      <c r="M159" s="86">
        <v>250306.1000000001</v>
      </c>
      <c r="N159" s="89">
        <v>2944106.49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0.5" customHeight="1">
      <c r="A160" s="82" t="s">
        <v>77</v>
      </c>
      <c r="B160" s="83">
        <v>-225391.49</v>
      </c>
      <c r="C160" s="83">
        <v>-211452.14</v>
      </c>
      <c r="D160" s="83">
        <v>-231994.62</v>
      </c>
      <c r="E160" s="83">
        <v>-221370.79</v>
      </c>
      <c r="F160" s="83">
        <v>-217437.66</v>
      </c>
      <c r="G160" s="83">
        <v>-192107.69</v>
      </c>
      <c r="H160" s="83">
        <v>-210870.38</v>
      </c>
      <c r="I160" s="83">
        <v>-190741.51</v>
      </c>
      <c r="J160" s="86">
        <v>-215504.45</v>
      </c>
      <c r="K160" s="86">
        <v>-124367.52</v>
      </c>
      <c r="L160" s="86">
        <v>-229955.66</v>
      </c>
      <c r="M160" s="86">
        <v>-208275.65</v>
      </c>
      <c r="N160" s="89">
        <v>-2479469.56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0.5" customHeight="1">
      <c r="A161" s="100" t="s">
        <v>80</v>
      </c>
      <c r="B161" s="264">
        <v>-2438.6399999998976</v>
      </c>
      <c r="C161" s="264">
        <v>32003.119999999995</v>
      </c>
      <c r="D161" s="264">
        <v>16809.420000000042</v>
      </c>
      <c r="E161" s="264">
        <v>23362.399999999936</v>
      </c>
      <c r="F161" s="264">
        <v>28148.079999999987</v>
      </c>
      <c r="G161" s="264">
        <v>54511.07000000001</v>
      </c>
      <c r="H161" s="264">
        <v>36347.94000000006</v>
      </c>
      <c r="I161" s="264">
        <v>57056.37999999989</v>
      </c>
      <c r="J161" s="266">
        <v>32872.510000000184</v>
      </c>
      <c r="K161" s="266">
        <v>124494.13999999991</v>
      </c>
      <c r="L161" s="266">
        <v>19440.0600000002</v>
      </c>
      <c r="M161" s="266">
        <v>42030.4500000001</v>
      </c>
      <c r="N161" s="264">
        <v>464636.9300000004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0.5" customHeight="1">
      <c r="A162" s="82" t="s">
        <v>82</v>
      </c>
      <c r="B162" s="83">
        <v>-20495.7</v>
      </c>
      <c r="C162" s="83">
        <v>-20495.7</v>
      </c>
      <c r="D162" s="83">
        <v>-20495.7</v>
      </c>
      <c r="E162" s="83">
        <v>-21162.37</v>
      </c>
      <c r="F162" s="83">
        <v>-21262.37</v>
      </c>
      <c r="G162" s="83">
        <v>-21262.37</v>
      </c>
      <c r="H162" s="83">
        <v>-21262.37</v>
      </c>
      <c r="I162" s="83">
        <v>-21262.37</v>
      </c>
      <c r="J162" s="86">
        <v>-21262.37</v>
      </c>
      <c r="K162" s="86">
        <v>-21262.37</v>
      </c>
      <c r="L162" s="86">
        <v>-21262.37</v>
      </c>
      <c r="M162" s="86">
        <v>-21262.37</v>
      </c>
      <c r="N162" s="89">
        <v>-252748.42999999996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0.5" customHeight="1">
      <c r="A163" s="82" t="s">
        <v>83</v>
      </c>
      <c r="B163" s="83">
        <v>-22934.3399999999</v>
      </c>
      <c r="C163" s="83">
        <v>11507.419999999995</v>
      </c>
      <c r="D163" s="83">
        <v>-3686.279999999959</v>
      </c>
      <c r="E163" s="83">
        <v>2200.029999999937</v>
      </c>
      <c r="F163" s="83">
        <v>6885.709999999988</v>
      </c>
      <c r="G163" s="83">
        <v>33248.70000000001</v>
      </c>
      <c r="H163" s="83">
        <v>15085.570000000062</v>
      </c>
      <c r="I163" s="83">
        <v>35794.00999999989</v>
      </c>
      <c r="J163" s="86">
        <v>11610.140000000185</v>
      </c>
      <c r="K163" s="86">
        <v>103231.76999999992</v>
      </c>
      <c r="L163" s="86">
        <v>-1822.3099999997976</v>
      </c>
      <c r="M163" s="86">
        <v>20768.0800000001</v>
      </c>
      <c r="N163" s="89">
        <v>211888.50000000047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0.5" customHeight="1">
      <c r="A164" s="82" t="s">
        <v>84</v>
      </c>
      <c r="B164" s="83">
        <v>-17862.07</v>
      </c>
      <c r="C164" s="83">
        <v>-17870.82</v>
      </c>
      <c r="D164" s="83">
        <v>-18259.78</v>
      </c>
      <c r="E164" s="83">
        <v>-18725.35</v>
      </c>
      <c r="F164" s="83">
        <v>-18826.35</v>
      </c>
      <c r="G164" s="83">
        <v>-18976.73</v>
      </c>
      <c r="H164" s="83">
        <v>-19256.06</v>
      </c>
      <c r="I164" s="83">
        <v>-17874.74</v>
      </c>
      <c r="J164" s="86">
        <v>-17998.68</v>
      </c>
      <c r="K164" s="86">
        <v>-18694.25</v>
      </c>
      <c r="L164" s="86">
        <v>-18952.82</v>
      </c>
      <c r="M164" s="86">
        <v>-19467.2</v>
      </c>
      <c r="N164" s="89">
        <v>-222764.85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s="82" t="s">
        <v>86</v>
      </c>
      <c r="B165" s="83">
        <v>-40796.4099999999</v>
      </c>
      <c r="C165" s="83">
        <v>-6363.400000000005</v>
      </c>
      <c r="D165" s="83">
        <v>-21946.059999999958</v>
      </c>
      <c r="E165" s="83">
        <v>-16525.32000000006</v>
      </c>
      <c r="F165" s="83">
        <v>-11940.64000000001</v>
      </c>
      <c r="G165" s="83">
        <v>14271.970000000012</v>
      </c>
      <c r="H165" s="83">
        <v>-4170.48999999994</v>
      </c>
      <c r="I165" s="83">
        <v>17919.26999999989</v>
      </c>
      <c r="J165" s="86">
        <v>-6388.539999999815</v>
      </c>
      <c r="K165" s="86">
        <v>84537.51999999992</v>
      </c>
      <c r="L165" s="86">
        <v>-20775.129999999797</v>
      </c>
      <c r="M165" s="86">
        <v>1300.8800000000992</v>
      </c>
      <c r="N165" s="89">
        <v>-10876.34999999954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0.5" customHeight="1">
      <c r="A166" s="82" t="s">
        <v>87</v>
      </c>
      <c r="B166" s="83">
        <v>0.0</v>
      </c>
      <c r="C166" s="83">
        <v>0.0</v>
      </c>
      <c r="D166" s="83">
        <v>0.0</v>
      </c>
      <c r="E166" s="83">
        <v>-12485.54</v>
      </c>
      <c r="F166" s="83">
        <v>4911.68</v>
      </c>
      <c r="G166" s="83">
        <v>7573.86</v>
      </c>
      <c r="H166" s="83">
        <v>0.0</v>
      </c>
      <c r="I166" s="83">
        <v>0.0</v>
      </c>
      <c r="J166" s="86">
        <v>0.0</v>
      </c>
      <c r="K166" s="86">
        <v>0.0</v>
      </c>
      <c r="L166" s="86">
        <v>0.0</v>
      </c>
      <c r="M166" s="86">
        <v>0.0</v>
      </c>
      <c r="N166" s="89">
        <v>-9.094947017729282E-13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s="82" t="s">
        <v>89</v>
      </c>
      <c r="B167" s="83">
        <v>-40796.4099999999</v>
      </c>
      <c r="C167" s="83">
        <v>-6363.400000000005</v>
      </c>
      <c r="D167" s="83">
        <v>-21946.059999999958</v>
      </c>
      <c r="E167" s="83">
        <v>-29010.860000000062</v>
      </c>
      <c r="F167" s="83">
        <v>-7028.96000000001</v>
      </c>
      <c r="G167" s="83">
        <v>21845.830000000013</v>
      </c>
      <c r="H167" s="83">
        <v>-4170.48999999994</v>
      </c>
      <c r="I167" s="83">
        <v>17919.26999999989</v>
      </c>
      <c r="J167" s="86">
        <v>-6388.539999999815</v>
      </c>
      <c r="K167" s="86">
        <v>84537.51999999992</v>
      </c>
      <c r="L167" s="86">
        <v>-20775.129999999797</v>
      </c>
      <c r="M167" s="86">
        <v>1300.8800000000992</v>
      </c>
      <c r="N167" s="89">
        <v>-10876.349999999573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s="126" t="s">
        <v>92</v>
      </c>
      <c r="B168" s="130">
        <v>44568.0</v>
      </c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>
        <v>44568.0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s="4"/>
      <c r="B169" s="134"/>
      <c r="C169" s="134"/>
      <c r="D169" s="134"/>
      <c r="E169" s="134"/>
      <c r="F169" s="134"/>
      <c r="G169" s="134"/>
      <c r="H169" s="134"/>
      <c r="I169" s="83"/>
      <c r="J169" s="83"/>
      <c r="K169" s="135"/>
      <c r="L169" s="135"/>
      <c r="M169" s="13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s="141" t="s">
        <v>97</v>
      </c>
      <c r="B170" s="142"/>
      <c r="C170" s="142"/>
      <c r="D170" s="142"/>
      <c r="E170" s="134"/>
      <c r="F170" s="141" t="s">
        <v>98</v>
      </c>
      <c r="G170" s="142"/>
      <c r="H170" s="142"/>
      <c r="I170" s="142"/>
      <c r="J170" s="134"/>
      <c r="K170" s="141" t="s">
        <v>99</v>
      </c>
      <c r="L170" s="142"/>
      <c r="M170" s="142"/>
      <c r="N170" s="14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s="143"/>
      <c r="B171" s="145" t="s">
        <v>101</v>
      </c>
      <c r="C171" s="145" t="s">
        <v>102</v>
      </c>
      <c r="D171" s="148" t="s">
        <v>103</v>
      </c>
      <c r="E171" s="150" t="s">
        <v>104</v>
      </c>
      <c r="F171" s="143"/>
      <c r="G171" s="145" t="s">
        <v>101</v>
      </c>
      <c r="H171" s="145" t="s">
        <v>102</v>
      </c>
      <c r="I171" s="148" t="s">
        <v>103</v>
      </c>
      <c r="J171" s="151"/>
      <c r="K171" s="143"/>
      <c r="L171" s="145" t="s">
        <v>101</v>
      </c>
      <c r="M171" s="145" t="s">
        <v>102</v>
      </c>
      <c r="N171" s="148" t="s">
        <v>103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s="152" t="s">
        <v>105</v>
      </c>
      <c r="B172" s="86">
        <f>$B$155</f>
        <v>1778203.8</v>
      </c>
      <c r="C172" s="86">
        <f>SUM($B$155)</f>
        <v>1778203.8</v>
      </c>
      <c r="D172" s="86">
        <f>N155</f>
        <v>23718832.19</v>
      </c>
      <c r="E172" s="156" t="str">
        <f>B172-B173</f>
        <v>#REF!</v>
      </c>
      <c r="F172" s="152" t="s">
        <v>105</v>
      </c>
      <c r="G172" s="86">
        <f>$B$158</f>
        <v>-1535994.91</v>
      </c>
      <c r="H172" s="86">
        <f>SUM($B$158)</f>
        <v>-1535994.91</v>
      </c>
      <c r="I172" s="86">
        <f>N158</f>
        <v>-20534015.93</v>
      </c>
      <c r="J172" s="156" t="str">
        <f>G172-G173</f>
        <v>#REF!</v>
      </c>
      <c r="K172" s="152" t="s">
        <v>105</v>
      </c>
      <c r="L172" s="86">
        <f>$B$161</f>
        <v>-2438.64</v>
      </c>
      <c r="M172" s="86">
        <f>SUM($B$161)</f>
        <v>-2438.64</v>
      </c>
      <c r="N172" s="86">
        <f>N161</f>
        <v>464636.93</v>
      </c>
      <c r="O172" s="246" t="str">
        <f>N172-N173</f>
        <v>#REF!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s="152" t="s">
        <v>106</v>
      </c>
      <c r="B173" s="86" t="str">
        <f>'Posto Esteio senha_capital OK'!$B$34</f>
        <v>#REF!</v>
      </c>
      <c r="C173" s="86" t="str">
        <f>SUM('Posto Esteio senha_capital OK'!$B$34)</f>
        <v>#REF!</v>
      </c>
      <c r="D173" s="86" t="str">
        <f>'Posto Esteio senha_capital OK'!N34</f>
        <v>#REF!</v>
      </c>
      <c r="E173" s="156" t="str">
        <f>D172-D173</f>
        <v>#REF!</v>
      </c>
      <c r="F173" s="152" t="s">
        <v>106</v>
      </c>
      <c r="G173" s="86" t="str">
        <f>'Posto Esteio senha_capital OK'!$B$37</f>
        <v>#REF!</v>
      </c>
      <c r="H173" s="86" t="str">
        <f>SUM('Posto Esteio senha_capital OK'!$B$37)</f>
        <v>#REF!</v>
      </c>
      <c r="I173" s="86" t="str">
        <f>'Posto Esteio senha_capital OK'!N37</f>
        <v>#REF!</v>
      </c>
      <c r="J173" s="156" t="str">
        <f>I172-I173</f>
        <v>#REF!</v>
      </c>
      <c r="K173" s="152" t="s">
        <v>106</v>
      </c>
      <c r="L173" s="86" t="str">
        <f>'Posto Esteio senha_capital OK'!$B$40</f>
        <v>#REF!</v>
      </c>
      <c r="M173" s="86" t="str">
        <f>SUM('Posto Esteio senha_capital OK'!$B$40)</f>
        <v>#REF!</v>
      </c>
      <c r="N173" s="86" t="str">
        <f>'Posto Esteio senha_capital OK'!N40</f>
        <v>#REF!</v>
      </c>
      <c r="O173" s="243" t="str">
        <f>L172-L173</f>
        <v>#REF!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s="152" t="s">
        <v>107</v>
      </c>
      <c r="B174" s="160" t="str">
        <f t="shared" ref="B174:D174" si="21">B173/B172-1</f>
        <v>#REF!</v>
      </c>
      <c r="C174" s="160" t="str">
        <f t="shared" si="21"/>
        <v>#REF!</v>
      </c>
      <c r="D174" s="160" t="str">
        <f t="shared" si="21"/>
        <v>#REF!</v>
      </c>
      <c r="E174" s="54"/>
      <c r="F174" s="152" t="s">
        <v>107</v>
      </c>
      <c r="G174" s="310" t="str">
        <f t="shared" ref="G174:I174" si="22">G173/G172-1</f>
        <v>#REF!</v>
      </c>
      <c r="H174" s="310" t="str">
        <f t="shared" si="22"/>
        <v>#REF!</v>
      </c>
      <c r="I174" s="310" t="str">
        <f t="shared" si="22"/>
        <v>#REF!</v>
      </c>
      <c r="J174" s="151"/>
      <c r="K174" s="152" t="s">
        <v>107</v>
      </c>
      <c r="L174" s="160" t="str">
        <f t="shared" ref="L174:N174" si="23">L173/L172-1</f>
        <v>#REF!</v>
      </c>
      <c r="M174" s="160" t="str">
        <f t="shared" si="23"/>
        <v>#REF!</v>
      </c>
      <c r="N174" s="160" t="str">
        <f t="shared" si="23"/>
        <v>#REF!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s="4"/>
      <c r="B175" s="134"/>
      <c r="C175" s="134"/>
      <c r="D175" s="134"/>
      <c r="E175" s="134"/>
      <c r="F175" s="5"/>
      <c r="G175" s="5"/>
      <c r="H175" s="5"/>
      <c r="I175" s="5"/>
      <c r="J175" s="162"/>
      <c r="L175" s="13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s="4"/>
      <c r="B176" s="5"/>
      <c r="C176" s="5"/>
      <c r="D176" s="5"/>
      <c r="E176" s="134"/>
      <c r="F176" s="134"/>
      <c r="G176" s="134"/>
      <c r="H176" s="134"/>
      <c r="I176" s="163"/>
      <c r="J176" s="162"/>
      <c r="L176" s="86" t="str">
        <f>N172-N173</f>
        <v>#REF!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s="141" t="s">
        <v>108</v>
      </c>
      <c r="B177" s="142"/>
      <c r="C177" s="142"/>
      <c r="D177" s="142"/>
      <c r="E177" s="150" t="s">
        <v>104</v>
      </c>
      <c r="F177" s="141" t="s">
        <v>109</v>
      </c>
      <c r="G177" s="142"/>
      <c r="H177" s="142"/>
      <c r="I177" s="142"/>
      <c r="J177" s="150"/>
      <c r="K177" s="150"/>
      <c r="L177" s="150"/>
      <c r="M177" s="150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0.5" customHeight="1">
      <c r="A178" s="143"/>
      <c r="B178" s="145" t="s">
        <v>101</v>
      </c>
      <c r="C178" s="145" t="s">
        <v>102</v>
      </c>
      <c r="D178" s="148" t="s">
        <v>103</v>
      </c>
      <c r="E178" s="54"/>
      <c r="F178" s="143"/>
      <c r="G178" s="145" t="s">
        <v>101</v>
      </c>
      <c r="H178" s="145" t="s">
        <v>102</v>
      </c>
      <c r="I178" s="148" t="s">
        <v>103</v>
      </c>
      <c r="J178" s="54"/>
      <c r="K178" s="54"/>
      <c r="L178" s="54"/>
      <c r="M178" s="5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0.5" customHeight="1">
      <c r="A179" s="152" t="s">
        <v>105</v>
      </c>
      <c r="B179" s="86">
        <f>$B$159</f>
        <v>222952.85</v>
      </c>
      <c r="C179" s="86">
        <f>SUM($B$159)</f>
        <v>222952.85</v>
      </c>
      <c r="D179" s="86">
        <f>N159</f>
        <v>2944106.49</v>
      </c>
      <c r="E179" s="167" t="str">
        <f>B179-B180</f>
        <v>#REF!</v>
      </c>
      <c r="F179" s="152" t="s">
        <v>105</v>
      </c>
      <c r="G179" s="86">
        <f>$B$160</f>
        <v>-225391.49</v>
      </c>
      <c r="H179" s="86">
        <f>SUM($B$160)</f>
        <v>-225391.49</v>
      </c>
      <c r="I179" s="86">
        <f>N160</f>
        <v>-2479469.56</v>
      </c>
      <c r="J179" s="167" t="str">
        <f>G179-G180</f>
        <v>#REF!</v>
      </c>
      <c r="K179" s="54"/>
      <c r="L179" s="54"/>
      <c r="M179" s="5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0.5" customHeight="1">
      <c r="A180" s="152" t="s">
        <v>106</v>
      </c>
      <c r="B180" s="86" t="str">
        <f>'Posto Esteio senha_capital OK'!$B$38</f>
        <v>#REF!</v>
      </c>
      <c r="C180" s="86" t="str">
        <f>SUM('Posto Esteio senha_capital OK'!$B$38)</f>
        <v>#REF!</v>
      </c>
      <c r="D180" s="86" t="str">
        <f>'Posto Esteio senha_capital OK'!N38</f>
        <v>#REF!</v>
      </c>
      <c r="E180" s="167" t="str">
        <f>D180-D179</f>
        <v>#REF!</v>
      </c>
      <c r="F180" s="152" t="s">
        <v>106</v>
      </c>
      <c r="G180" s="86" t="str">
        <f>'Posto Esteio senha_capital OK'!$B$39</f>
        <v>#REF!</v>
      </c>
      <c r="H180" s="86" t="str">
        <f>SUM('Posto Esteio senha_capital OK'!$B$39)</f>
        <v>#REF!</v>
      </c>
      <c r="I180" s="86" t="str">
        <f>'Posto Esteio senha_capital OK'!N39</f>
        <v>#REF!</v>
      </c>
      <c r="J180" s="167" t="str">
        <f>I180-I179</f>
        <v>#REF!</v>
      </c>
      <c r="K180" s="54"/>
      <c r="L180" s="54"/>
      <c r="M180" s="5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0.5" customHeight="1">
      <c r="A181" s="152" t="s">
        <v>107</v>
      </c>
      <c r="B181" s="160" t="str">
        <f t="shared" ref="B181:D181" si="24">B180/B179-1</f>
        <v>#REF!</v>
      </c>
      <c r="C181" s="160" t="str">
        <f t="shared" si="24"/>
        <v>#REF!</v>
      </c>
      <c r="D181" s="160" t="str">
        <f t="shared" si="24"/>
        <v>#REF!</v>
      </c>
      <c r="E181" s="134"/>
      <c r="F181" s="152" t="s">
        <v>107</v>
      </c>
      <c r="G181" s="160" t="str">
        <f t="shared" ref="G181:I181" si="25">G180/G179-1</f>
        <v>#REF!</v>
      </c>
      <c r="H181" s="160" t="str">
        <f t="shared" si="25"/>
        <v>#REF!</v>
      </c>
      <c r="I181" s="160" t="str">
        <f t="shared" si="25"/>
        <v>#REF!</v>
      </c>
      <c r="J181" s="134"/>
      <c r="K181" s="134"/>
      <c r="L181" s="13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0.5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0.5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0.5" customHeight="1">
      <c r="A184" s="5" t="s">
        <v>144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0.5" customHeight="1">
      <c r="A185" s="78" t="s">
        <v>57</v>
      </c>
      <c r="B185" s="78" t="s">
        <v>58</v>
      </c>
      <c r="C185" s="78" t="s">
        <v>59</v>
      </c>
      <c r="D185" s="78" t="s">
        <v>60</v>
      </c>
      <c r="E185" s="78" t="s">
        <v>61</v>
      </c>
      <c r="F185" s="78" t="s">
        <v>62</v>
      </c>
      <c r="G185" s="78" t="s">
        <v>63</v>
      </c>
      <c r="H185" s="78" t="s">
        <v>64</v>
      </c>
      <c r="I185" s="78" t="s">
        <v>65</v>
      </c>
      <c r="J185" s="78" t="s">
        <v>66</v>
      </c>
      <c r="K185" s="78" t="s">
        <v>67</v>
      </c>
      <c r="L185" s="78" t="s">
        <v>68</v>
      </c>
      <c r="M185" s="78" t="s">
        <v>69</v>
      </c>
      <c r="N185" s="78" t="s">
        <v>70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0.5" customHeight="1">
      <c r="A186" s="82" t="s">
        <v>40</v>
      </c>
      <c r="B186" s="83">
        <v>1265700.0</v>
      </c>
      <c r="C186" s="83">
        <v>1410282.65</v>
      </c>
      <c r="D186" s="83">
        <v>1417091.6</v>
      </c>
      <c r="E186" s="83">
        <v>1426803.84</v>
      </c>
      <c r="F186" s="83">
        <v>1433817.32</v>
      </c>
      <c r="G186" s="83">
        <v>1441878.51</v>
      </c>
      <c r="H186" s="83">
        <v>1440335.3</v>
      </c>
      <c r="I186" s="83">
        <v>1454958.45</v>
      </c>
      <c r="J186" s="86">
        <v>1463392.14</v>
      </c>
      <c r="K186" s="86">
        <v>1468579.76</v>
      </c>
      <c r="L186" s="86">
        <v>1474993.32</v>
      </c>
      <c r="M186" s="86">
        <v>1481686.64</v>
      </c>
      <c r="N186" s="89">
        <v>1.717951953E7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0.5" customHeight="1">
      <c r="A187" s="82" t="s">
        <v>71</v>
      </c>
      <c r="B187" s="83">
        <v>-9621.85</v>
      </c>
      <c r="C187" s="83">
        <v>-10284.75</v>
      </c>
      <c r="D187" s="83">
        <v>-10458.81</v>
      </c>
      <c r="E187" s="83">
        <v>-10510.93</v>
      </c>
      <c r="F187" s="83">
        <v>-10626.46</v>
      </c>
      <c r="G187" s="83">
        <v>-10775.06</v>
      </c>
      <c r="H187" s="83">
        <v>-10191.88</v>
      </c>
      <c r="I187" s="83">
        <v>-10806.4</v>
      </c>
      <c r="J187" s="86">
        <v>-10728.1</v>
      </c>
      <c r="K187" s="86">
        <v>-10764.56</v>
      </c>
      <c r="L187" s="86">
        <v>-10785.32</v>
      </c>
      <c r="M187" s="86">
        <v>-10810.2</v>
      </c>
      <c r="N187" s="89">
        <v>-126364.31999999999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0.5" customHeight="1">
      <c r="A188" s="82" t="s">
        <v>72</v>
      </c>
      <c r="B188" s="83">
        <v>1256078.15</v>
      </c>
      <c r="C188" s="83">
        <v>1399997.9</v>
      </c>
      <c r="D188" s="83">
        <v>1406632.79</v>
      </c>
      <c r="E188" s="83">
        <v>1416292.9100000001</v>
      </c>
      <c r="F188" s="83">
        <v>1423190.86</v>
      </c>
      <c r="G188" s="83">
        <v>1431103.45</v>
      </c>
      <c r="H188" s="83">
        <v>1430143.4200000002</v>
      </c>
      <c r="I188" s="83">
        <v>1444152.05</v>
      </c>
      <c r="J188" s="86">
        <v>1452664.0399999998</v>
      </c>
      <c r="K188" s="86">
        <v>1457815.2</v>
      </c>
      <c r="L188" s="86">
        <v>1464208.0</v>
      </c>
      <c r="M188" s="86">
        <v>1470876.44</v>
      </c>
      <c r="N188" s="89">
        <v>1.705315521E7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82" t="s">
        <v>73</v>
      </c>
      <c r="B189" s="83">
        <v>-1130020.75</v>
      </c>
      <c r="C189" s="83">
        <v>-1258289.58</v>
      </c>
      <c r="D189" s="83">
        <v>-1264256.14</v>
      </c>
      <c r="E189" s="83">
        <v>-1272873.76</v>
      </c>
      <c r="F189" s="83">
        <v>-1279048.61</v>
      </c>
      <c r="G189" s="83">
        <v>-1285823.53</v>
      </c>
      <c r="H189" s="83">
        <v>-1287271.3</v>
      </c>
      <c r="I189" s="83">
        <v>-1297693.69</v>
      </c>
      <c r="J189" s="86">
        <v>-1305344.49</v>
      </c>
      <c r="K189" s="86">
        <v>-1310047.47</v>
      </c>
      <c r="L189" s="86">
        <v>-1315860.11</v>
      </c>
      <c r="M189" s="86">
        <v>-1321894.81</v>
      </c>
      <c r="N189" s="89">
        <v>-1.532842424E7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0.5" customHeight="1">
      <c r="A190" s="82" t="s">
        <v>75</v>
      </c>
      <c r="B190" s="83">
        <v>126057.3999999999</v>
      </c>
      <c r="C190" s="83">
        <v>141708.31999999983</v>
      </c>
      <c r="D190" s="83">
        <v>142376.65000000014</v>
      </c>
      <c r="E190" s="83">
        <v>143419.15000000014</v>
      </c>
      <c r="F190" s="83">
        <v>144142.25</v>
      </c>
      <c r="G190" s="83">
        <v>145279.91999999993</v>
      </c>
      <c r="H190" s="83">
        <v>142872.1200000001</v>
      </c>
      <c r="I190" s="83">
        <v>146458.3600000001</v>
      </c>
      <c r="J190" s="86">
        <v>147319.5499999998</v>
      </c>
      <c r="K190" s="86">
        <v>147767.72999999998</v>
      </c>
      <c r="L190" s="86">
        <v>148347.8899999999</v>
      </c>
      <c r="M190" s="86">
        <v>148981.6299999999</v>
      </c>
      <c r="N190" s="89">
        <v>1724730.9699999997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82" t="s">
        <v>77</v>
      </c>
      <c r="B191" s="83">
        <v>-170962.36</v>
      </c>
      <c r="C191" s="83">
        <v>-164959.83</v>
      </c>
      <c r="D191" s="83">
        <v>-171020.03</v>
      </c>
      <c r="E191" s="83">
        <v>-175516.3</v>
      </c>
      <c r="F191" s="83">
        <v>-153789.9</v>
      </c>
      <c r="G191" s="83">
        <v>-144528.78</v>
      </c>
      <c r="H191" s="83">
        <v>-163253.05</v>
      </c>
      <c r="I191" s="83">
        <v>-141590.24</v>
      </c>
      <c r="J191" s="86">
        <v>-154511.26</v>
      </c>
      <c r="K191" s="86">
        <v>-157040.13</v>
      </c>
      <c r="L191" s="86">
        <v>-157827.19</v>
      </c>
      <c r="M191" s="86">
        <v>-147063.47</v>
      </c>
      <c r="N191" s="89">
        <v>-1902062.5399999998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0.5" customHeight="1">
      <c r="A192" s="100" t="s">
        <v>80</v>
      </c>
      <c r="B192" s="317">
        <v>-44904.96000000008</v>
      </c>
      <c r="C192" s="317">
        <v>-23251.510000000155</v>
      </c>
      <c r="D192" s="317">
        <v>-28643.37999999986</v>
      </c>
      <c r="E192" s="317">
        <v>-32097.14999999985</v>
      </c>
      <c r="F192" s="317">
        <v>-9647.649999999994</v>
      </c>
      <c r="G192" s="317">
        <v>751.1399999999267</v>
      </c>
      <c r="H192" s="317">
        <v>-20380.929999999877</v>
      </c>
      <c r="I192" s="317">
        <v>4868.120000000112</v>
      </c>
      <c r="J192" s="319">
        <v>-7191.710000000196</v>
      </c>
      <c r="K192" s="319">
        <v>-9272.400000000023</v>
      </c>
      <c r="L192" s="319">
        <v>-9479.300000000105</v>
      </c>
      <c r="M192" s="319">
        <v>1918.159999999887</v>
      </c>
      <c r="N192" s="317">
        <v>-177331.5700000002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82" t="s">
        <v>82</v>
      </c>
      <c r="B193" s="83">
        <v>-12654.21</v>
      </c>
      <c r="C193" s="83">
        <v>-12654.21</v>
      </c>
      <c r="D193" s="83">
        <v>-12654.21</v>
      </c>
      <c r="E193" s="83">
        <v>-12654.21</v>
      </c>
      <c r="F193" s="83">
        <v>-12654.21</v>
      </c>
      <c r="G193" s="83">
        <v>-12670.88</v>
      </c>
      <c r="H193" s="83">
        <v>-12670.88</v>
      </c>
      <c r="I193" s="83">
        <v>-12737.55</v>
      </c>
      <c r="J193" s="86">
        <v>-12737.55</v>
      </c>
      <c r="K193" s="86">
        <v>-12737.55</v>
      </c>
      <c r="L193" s="86">
        <v>-12737.55</v>
      </c>
      <c r="M193" s="86">
        <v>-12737.55</v>
      </c>
      <c r="N193" s="89">
        <v>-152300.56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82" t="s">
        <v>83</v>
      </c>
      <c r="B194" s="83">
        <v>-57559.17000000008</v>
      </c>
      <c r="C194" s="83">
        <v>-35905.720000000154</v>
      </c>
      <c r="D194" s="83">
        <v>-41297.58999999986</v>
      </c>
      <c r="E194" s="83">
        <v>-44751.35999999985</v>
      </c>
      <c r="F194" s="83">
        <v>-22301.859999999993</v>
      </c>
      <c r="G194" s="83">
        <v>-11919.740000000073</v>
      </c>
      <c r="H194" s="83">
        <v>-33051.809999999874</v>
      </c>
      <c r="I194" s="83">
        <v>-7869.4299999998875</v>
      </c>
      <c r="J194" s="86">
        <v>-19929.260000000195</v>
      </c>
      <c r="K194" s="86">
        <v>-22009.950000000023</v>
      </c>
      <c r="L194" s="86">
        <v>-22216.850000000104</v>
      </c>
      <c r="M194" s="86">
        <v>-10819.390000000112</v>
      </c>
      <c r="N194" s="89">
        <v>-329632.1300000002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0.5" customHeight="1">
      <c r="A195" s="82" t="s">
        <v>84</v>
      </c>
      <c r="B195" s="83">
        <v>-10200.0</v>
      </c>
      <c r="C195" s="83">
        <v>-10200.0</v>
      </c>
      <c r="D195" s="83">
        <v>-10200.0</v>
      </c>
      <c r="E195" s="83">
        <v>-10200.0</v>
      </c>
      <c r="F195" s="83">
        <v>-10200.0</v>
      </c>
      <c r="G195" s="321">
        <v>-10200.0</v>
      </c>
      <c r="H195" s="83">
        <v>-10200.0</v>
      </c>
      <c r="I195" s="83">
        <v>-10200.0</v>
      </c>
      <c r="J195" s="86">
        <v>-10200.0</v>
      </c>
      <c r="K195" s="86">
        <v>-10200.0</v>
      </c>
      <c r="L195" s="86">
        <v>-10200.0</v>
      </c>
      <c r="M195" s="86">
        <v>-10200.0</v>
      </c>
      <c r="N195" s="89">
        <v>-122400.0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0.5" customHeight="1">
      <c r="A196" s="82" t="s">
        <v>86</v>
      </c>
      <c r="B196" s="83">
        <v>-67759.17000000007</v>
      </c>
      <c r="C196" s="83">
        <v>-46105.720000000154</v>
      </c>
      <c r="D196" s="83">
        <v>-51497.58999999986</v>
      </c>
      <c r="E196" s="83">
        <v>-54951.35999999985</v>
      </c>
      <c r="F196" s="83">
        <v>-32501.859999999993</v>
      </c>
      <c r="G196" s="83">
        <v>-22119.74000000007</v>
      </c>
      <c r="H196" s="83">
        <v>-43251.809999999874</v>
      </c>
      <c r="I196" s="83">
        <v>-18069.429999999888</v>
      </c>
      <c r="J196" s="86">
        <v>-30129.260000000195</v>
      </c>
      <c r="K196" s="86">
        <v>-32209.950000000023</v>
      </c>
      <c r="L196" s="86">
        <v>-32416.850000000104</v>
      </c>
      <c r="M196" s="86">
        <v>-21019.390000000112</v>
      </c>
      <c r="N196" s="89">
        <v>-452032.1300000001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0.5" customHeight="1">
      <c r="A197" s="82" t="s">
        <v>87</v>
      </c>
      <c r="B197" s="83">
        <v>0.0</v>
      </c>
      <c r="C197" s="83">
        <v>0.0</v>
      </c>
      <c r="D197" s="83">
        <v>0.0</v>
      </c>
      <c r="E197" s="83">
        <v>0.0</v>
      </c>
      <c r="F197" s="83">
        <v>0.0</v>
      </c>
      <c r="G197" s="83">
        <v>0.0</v>
      </c>
      <c r="H197" s="83">
        <v>0.0</v>
      </c>
      <c r="I197" s="83">
        <v>0.0</v>
      </c>
      <c r="J197" s="86">
        <v>0.0</v>
      </c>
      <c r="K197" s="86">
        <v>0.0</v>
      </c>
      <c r="L197" s="86">
        <v>0.0</v>
      </c>
      <c r="M197" s="86">
        <v>0.0</v>
      </c>
      <c r="N197" s="89">
        <v>0.0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0.5" customHeight="1">
      <c r="A198" s="82" t="s">
        <v>89</v>
      </c>
      <c r="B198" s="83">
        <v>-67759.17000000007</v>
      </c>
      <c r="C198" s="83">
        <v>-46105.720000000154</v>
      </c>
      <c r="D198" s="83">
        <v>-51497.58999999986</v>
      </c>
      <c r="E198" s="83">
        <v>-54951.35999999985</v>
      </c>
      <c r="F198" s="83">
        <v>-32501.859999999993</v>
      </c>
      <c r="G198" s="83">
        <v>-22119.74000000007</v>
      </c>
      <c r="H198" s="83">
        <v>-43251.809999999874</v>
      </c>
      <c r="I198" s="83">
        <v>-18069.429999999888</v>
      </c>
      <c r="J198" s="86">
        <v>-30129.260000000195</v>
      </c>
      <c r="K198" s="86">
        <v>-32209.950000000023</v>
      </c>
      <c r="L198" s="86">
        <v>-32416.850000000104</v>
      </c>
      <c r="M198" s="86">
        <v>-21019.390000000112</v>
      </c>
      <c r="N198" s="89">
        <v>-452032.1300000001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0.5" customHeight="1">
      <c r="A199" s="126" t="s">
        <v>92</v>
      </c>
      <c r="B199" s="130">
        <v>44568.0</v>
      </c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>
        <v>44568.0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0.5" customHeight="1">
      <c r="A200" s="4"/>
      <c r="B200" s="134"/>
      <c r="C200" s="134"/>
      <c r="D200" s="134"/>
      <c r="E200" s="134"/>
      <c r="F200" s="134"/>
      <c r="G200" s="134"/>
      <c r="H200" s="134"/>
      <c r="I200" s="83"/>
      <c r="J200" s="83"/>
      <c r="K200" s="135"/>
      <c r="L200" s="135"/>
      <c r="M200" s="13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0.5" customHeight="1">
      <c r="A201" s="141" t="s">
        <v>97</v>
      </c>
      <c r="B201" s="142"/>
      <c r="C201" s="142"/>
      <c r="D201" s="142"/>
      <c r="E201" s="134"/>
      <c r="F201" s="141" t="s">
        <v>98</v>
      </c>
      <c r="G201" s="142"/>
      <c r="H201" s="142"/>
      <c r="I201" s="142"/>
      <c r="J201" s="134"/>
      <c r="K201" s="141" t="s">
        <v>99</v>
      </c>
      <c r="L201" s="142"/>
      <c r="M201" s="142"/>
      <c r="N201" s="14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0.5" customHeight="1">
      <c r="A202" s="143"/>
      <c r="B202" s="145" t="s">
        <v>101</v>
      </c>
      <c r="C202" s="145" t="s">
        <v>102</v>
      </c>
      <c r="D202" s="148" t="s">
        <v>103</v>
      </c>
      <c r="E202" s="150" t="s">
        <v>104</v>
      </c>
      <c r="F202" s="143"/>
      <c r="G202" s="145" t="s">
        <v>101</v>
      </c>
      <c r="H202" s="145" t="s">
        <v>102</v>
      </c>
      <c r="I202" s="148" t="s">
        <v>103</v>
      </c>
      <c r="J202" s="151"/>
      <c r="K202" s="143"/>
      <c r="L202" s="145" t="s">
        <v>101</v>
      </c>
      <c r="M202" s="145" t="s">
        <v>102</v>
      </c>
      <c r="N202" s="148" t="s">
        <v>103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0.5" customHeight="1">
      <c r="A203" s="152" t="s">
        <v>105</v>
      </c>
      <c r="B203" s="86">
        <f>$B$186</f>
        <v>1265700</v>
      </c>
      <c r="C203" s="86">
        <f>SUM($B$186)</f>
        <v>1265700</v>
      </c>
      <c r="D203" s="86">
        <f>N186</f>
        <v>17179519.53</v>
      </c>
      <c r="E203" s="167" t="str">
        <f>B203-B204</f>
        <v>#REF!</v>
      </c>
      <c r="F203" s="152" t="s">
        <v>105</v>
      </c>
      <c r="G203" s="86">
        <f>$B$189</f>
        <v>-1130020.75</v>
      </c>
      <c r="H203" s="86">
        <f>SUM($B$189)</f>
        <v>-1130020.75</v>
      </c>
      <c r="I203" s="86">
        <f>N189</f>
        <v>-15328424.24</v>
      </c>
      <c r="J203" s="86" t="str">
        <f>G204-G203</f>
        <v>#REF!</v>
      </c>
      <c r="K203" s="152" t="s">
        <v>105</v>
      </c>
      <c r="L203" s="86">
        <f>$B$192</f>
        <v>-44904.96</v>
      </c>
      <c r="M203" s="86">
        <f>SUM($B$192)</f>
        <v>-44904.96</v>
      </c>
      <c r="N203" s="86">
        <f>N192</f>
        <v>-177331.57</v>
      </c>
      <c r="O203" s="243" t="str">
        <f>L204-L203</f>
        <v>#REF!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0.5" customHeight="1">
      <c r="A204" s="152" t="s">
        <v>106</v>
      </c>
      <c r="B204" s="86" t="str">
        <f>'Posto Curitiba_senha capital OK'!$B$34</f>
        <v>#REF!</v>
      </c>
      <c r="C204" s="86" t="str">
        <f>SUM('Posto Curitiba_senha capital OK'!$B$34)</f>
        <v>#REF!</v>
      </c>
      <c r="D204" s="86" t="str">
        <f>'Posto Curitiba_senha capital OK'!N34</f>
        <v>#REF!</v>
      </c>
      <c r="E204" s="167" t="str">
        <f>D204-D203</f>
        <v>#REF!</v>
      </c>
      <c r="F204" s="152" t="s">
        <v>106</v>
      </c>
      <c r="G204" s="86" t="str">
        <f>'Posto Curitiba_senha capital OK'!$B$37</f>
        <v>#REF!</v>
      </c>
      <c r="H204" s="86" t="str">
        <f>SUM('Posto Curitiba_senha capital OK'!$B$37)</f>
        <v>#REF!</v>
      </c>
      <c r="I204" s="86" t="str">
        <f>'Posto Curitiba_senha capital OK'!N37</f>
        <v>#REF!</v>
      </c>
      <c r="J204" s="86" t="str">
        <f>I204-I203</f>
        <v>#REF!</v>
      </c>
      <c r="K204" s="152" t="s">
        <v>106</v>
      </c>
      <c r="L204" s="86" t="str">
        <f>'Posto Curitiba_senha capital OK'!$B$40</f>
        <v>#REF!</v>
      </c>
      <c r="M204" s="86" t="str">
        <f>SUM('Posto Curitiba_senha capital OK'!$B$40)</f>
        <v>#REF!</v>
      </c>
      <c r="N204" s="86" t="str">
        <f>'Posto Curitiba_senha capital OK'!N40</f>
        <v>#REF!</v>
      </c>
      <c r="O204" s="246" t="str">
        <f>N204-N203</f>
        <v>#REF!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0.5" customHeight="1">
      <c r="A205" s="152" t="s">
        <v>107</v>
      </c>
      <c r="B205" s="160" t="str">
        <f t="shared" ref="B205:D205" si="26">B204/B203-1</f>
        <v>#REF!</v>
      </c>
      <c r="C205" s="160" t="str">
        <f t="shared" si="26"/>
        <v>#REF!</v>
      </c>
      <c r="D205" s="160" t="str">
        <f t="shared" si="26"/>
        <v>#REF!</v>
      </c>
      <c r="E205" s="54"/>
      <c r="F205" s="152" t="s">
        <v>107</v>
      </c>
      <c r="G205" s="160" t="str">
        <f t="shared" ref="G205:I205" si="27">G204/G203-1</f>
        <v>#REF!</v>
      </c>
      <c r="H205" s="160" t="str">
        <f t="shared" si="27"/>
        <v>#REF!</v>
      </c>
      <c r="I205" s="160" t="str">
        <f t="shared" si="27"/>
        <v>#REF!</v>
      </c>
      <c r="J205" s="151"/>
      <c r="K205" s="152" t="s">
        <v>107</v>
      </c>
      <c r="L205" s="160" t="str">
        <f t="shared" ref="L205:N205" si="28">L203/L204-1</f>
        <v>#REF!</v>
      </c>
      <c r="M205" s="160" t="str">
        <f t="shared" si="28"/>
        <v>#REF!</v>
      </c>
      <c r="N205" s="160" t="str">
        <f t="shared" si="28"/>
        <v>#REF!</v>
      </c>
      <c r="O205" s="4" t="s">
        <v>48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0.5" customHeight="1">
      <c r="A206" s="4"/>
      <c r="B206" s="134"/>
      <c r="C206" s="134"/>
      <c r="D206" s="134"/>
      <c r="E206" s="134"/>
      <c r="F206" s="5"/>
      <c r="G206" s="5"/>
      <c r="H206" s="5"/>
      <c r="I206" s="5"/>
      <c r="J206" s="162"/>
      <c r="L206" s="13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0.5" customHeight="1">
      <c r="A207" s="4"/>
      <c r="B207" s="5"/>
      <c r="C207" s="5"/>
      <c r="D207" s="5"/>
      <c r="E207" s="134"/>
      <c r="F207" s="134"/>
      <c r="G207" s="134"/>
      <c r="H207" s="134"/>
      <c r="I207" s="163"/>
      <c r="J207" s="162"/>
      <c r="L207" s="13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0.5" customHeight="1">
      <c r="A208" s="141" t="s">
        <v>108</v>
      </c>
      <c r="B208" s="142"/>
      <c r="C208" s="142"/>
      <c r="D208" s="142"/>
      <c r="E208" s="150" t="s">
        <v>104</v>
      </c>
      <c r="F208" s="141" t="s">
        <v>109</v>
      </c>
      <c r="G208" s="142"/>
      <c r="H208" s="142"/>
      <c r="I208" s="142"/>
      <c r="J208" s="150"/>
      <c r="K208" s="150"/>
      <c r="L208" s="150"/>
      <c r="M208" s="150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0.5" customHeight="1">
      <c r="A209" s="143"/>
      <c r="B209" s="145" t="s">
        <v>101</v>
      </c>
      <c r="C209" s="145" t="s">
        <v>102</v>
      </c>
      <c r="D209" s="148" t="s">
        <v>103</v>
      </c>
      <c r="E209" s="54"/>
      <c r="F209" s="143"/>
      <c r="G209" s="145" t="s">
        <v>101</v>
      </c>
      <c r="H209" s="145" t="s">
        <v>102</v>
      </c>
      <c r="I209" s="148" t="s">
        <v>103</v>
      </c>
      <c r="J209" s="54"/>
      <c r="K209" s="54"/>
      <c r="L209" s="54"/>
      <c r="M209" s="5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0.5" customHeight="1">
      <c r="A210" s="152" t="s">
        <v>105</v>
      </c>
      <c r="B210" s="86">
        <f>$B$190</f>
        <v>126057.4</v>
      </c>
      <c r="C210" s="86">
        <f>SUM($B$190)</f>
        <v>126057.4</v>
      </c>
      <c r="D210" s="86">
        <f>N190</f>
        <v>1724730.97</v>
      </c>
      <c r="E210" s="167" t="str">
        <f>B211-B210</f>
        <v>#REF!</v>
      </c>
      <c r="F210" s="152" t="s">
        <v>105</v>
      </c>
      <c r="G210" s="86">
        <f>$B$191</f>
        <v>-170962.36</v>
      </c>
      <c r="H210" s="86">
        <f>SUM($B$191)</f>
        <v>-170962.36</v>
      </c>
      <c r="I210" s="86">
        <f>N191</f>
        <v>-1902062.54</v>
      </c>
      <c r="J210" s="167" t="str">
        <f>G210-G211</f>
        <v>#REF!</v>
      </c>
      <c r="K210" s="54"/>
      <c r="L210" s="54"/>
      <c r="M210" s="5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152" t="s">
        <v>106</v>
      </c>
      <c r="B211" s="86" t="str">
        <f>'Posto Curitiba_senha capital OK'!$B$38</f>
        <v>#REF!</v>
      </c>
      <c r="C211" s="86" t="str">
        <f>SUM('Posto Curitiba_senha capital OK'!$B$38)</f>
        <v>#REF!</v>
      </c>
      <c r="D211" s="86" t="str">
        <f>'Posto Curitiba_senha capital OK'!N38</f>
        <v>#REF!</v>
      </c>
      <c r="E211" s="167" t="str">
        <f>D211-D210</f>
        <v>#REF!</v>
      </c>
      <c r="F211" s="152" t="s">
        <v>106</v>
      </c>
      <c r="G211" s="86" t="str">
        <f>'Posto Curitiba_senha capital OK'!$B$39</f>
        <v>#REF!</v>
      </c>
      <c r="H211" s="86" t="str">
        <f>SUM('Posto Curitiba_senha capital OK'!$B$39)</f>
        <v>#REF!</v>
      </c>
      <c r="I211" s="86" t="str">
        <f>'Posto Curitiba_senha capital OK'!N39</f>
        <v>#REF!</v>
      </c>
      <c r="J211" s="167" t="str">
        <f>I210-I211</f>
        <v>#REF!</v>
      </c>
      <c r="K211" s="54"/>
      <c r="L211" s="54"/>
      <c r="M211" s="5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0.5" customHeight="1">
      <c r="A212" s="152" t="s">
        <v>107</v>
      </c>
      <c r="B212" s="160" t="str">
        <f t="shared" ref="B212:D212" si="29">B211/B210-1</f>
        <v>#REF!</v>
      </c>
      <c r="C212" s="160" t="str">
        <f t="shared" si="29"/>
        <v>#REF!</v>
      </c>
      <c r="D212" s="160" t="str">
        <f t="shared" si="29"/>
        <v>#REF!</v>
      </c>
      <c r="E212" s="134"/>
      <c r="F212" s="152" t="s">
        <v>107</v>
      </c>
      <c r="G212" s="160" t="str">
        <f t="shared" ref="G212:I212" si="30">G211/G210-1</f>
        <v>#REF!</v>
      </c>
      <c r="H212" s="160" t="str">
        <f t="shared" si="30"/>
        <v>#REF!</v>
      </c>
      <c r="I212" s="160" t="str">
        <f t="shared" si="30"/>
        <v>#REF!</v>
      </c>
      <c r="J212" s="134"/>
      <c r="K212" s="134"/>
      <c r="L212" s="13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0.5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0.5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0.5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0.5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0.5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0.5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0.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0.5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0.5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0.5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0.5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0.5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0.5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0.5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0.5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0.5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0.5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0.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0.5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0.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0.5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0.5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0.5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0.5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.5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0.5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0.5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0.5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0.5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0.5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0.5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0.5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0.5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0.5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0.5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0.5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0.5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0.5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0.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0.5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0.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0.5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0.5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0.5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0.5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0.5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0.5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0.5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0.5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0.5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0.5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0.5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0.5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0.5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0.5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0.5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0.5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0.5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0.5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0.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0.5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0.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0.5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0.5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0.5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0.5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0.5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0.5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0.5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0.5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0.5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0.5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0.5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0.5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0.5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0.5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0.5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0.5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0.5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0.5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0.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0.5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0.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0.5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0.5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0.5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0.5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0.5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0.5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0.5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0.5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0.5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0.5" customHeight="1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0.5" customHeight="1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0.5" customHeight="1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0.5" customHeight="1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0.5" customHeight="1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0.5" customHeight="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0.5" customHeight="1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0.5" customHeight="1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0.5" customHeight="1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0.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0.5" customHeight="1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0.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0.5" customHeight="1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0.5" customHeight="1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0.5" customHeight="1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0.5" customHeight="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0.5" customHeight="1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0.5" customHeight="1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0.5" customHeight="1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0.5" customHeight="1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0.5" customHeight="1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0.5" customHeight="1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0.5" customHeight="1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0.5" customHeight="1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0.5" customHeight="1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0.5" customHeight="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0.5" customHeight="1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0.5" customHeight="1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0.5" customHeight="1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0.5" customHeight="1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0.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0.5" customHeight="1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0.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0.5" customHeight="1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0.5" customHeight="1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0.5" customHeight="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0.5" customHeight="1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0.5" customHeight="1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0.5" customHeight="1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0.5" customHeight="1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0.5" customHeight="1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0.5" customHeight="1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0.5" customHeight="1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0.5" customHeight="1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0.5" customHeight="1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0.5" customHeight="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0.5" customHeight="1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0.5" customHeight="1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0.5" customHeight="1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0.5" customHeight="1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0.5" customHeight="1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0.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0.5" customHeight="1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0.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0.5" customHeight="1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0.5" customHeight="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0.5" customHeight="1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0.5" customHeight="1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0.5" customHeight="1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0.5" customHeight="1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0.5" customHeight="1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0.5" customHeight="1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0.5" customHeight="1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0.5" customHeight="1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0.5" customHeight="1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0.5" customHeight="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0.5" customHeight="1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0.5" customHeight="1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0.5" customHeight="1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0.5" customHeight="1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0.5" customHeight="1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0.5" customHeight="1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0.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0.5" customHeight="1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0.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0.5" customHeight="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0.5" customHeight="1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0.5" customHeight="1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0.5" customHeight="1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0.5" customHeight="1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0.5" customHeight="1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0.5" customHeight="1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0.5" customHeight="1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0.5" customHeight="1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0.5" customHeight="1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0.5" customHeight="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0.5" customHeight="1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0.5" customHeight="1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0.5" customHeight="1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0.5" customHeight="1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0.5" customHeight="1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0.5" customHeight="1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0.5" customHeight="1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0.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0.5" customHeight="1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0.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0.5" customHeight="1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0.5" customHeight="1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0.5" customHeight="1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0.5" customHeight="1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0.5" customHeight="1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0.5" customHeight="1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0.5" customHeight="1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0.5" customHeight="1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0.5" customHeight="1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0.5" customHeight="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0.5" customHeight="1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0.5" customHeight="1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0.5" customHeight="1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0.5" customHeight="1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0.5" customHeight="1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0.5" customHeight="1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0.5" customHeight="1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0.5" customHeight="1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0.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0.5" customHeight="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0.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0.5" customHeight="1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0.5" customHeight="1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0.5" customHeight="1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0.5" customHeight="1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0.5" customHeight="1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0.5" customHeight="1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0.5" customHeight="1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0.5" customHeight="1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0.5" customHeight="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0.5" customHeight="1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0.5" customHeight="1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0.5" customHeight="1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0.5" customHeight="1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0.5" customHeight="1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0.5" customHeight="1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0.5" customHeight="1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0.5" customHeight="1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0.5" customHeight="1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0.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0.5" customHeight="1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0.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0.5" customHeight="1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0.5" customHeight="1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0.5" customHeight="1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0.5" customHeight="1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0.5" customHeight="1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0.5" customHeight="1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0.5" customHeight="1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0.5" customHeight="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0.5" customHeight="1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0.5" customHeight="1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0.5" customHeight="1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0.5" customHeight="1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0.5" customHeight="1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0.5" customHeight="1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0.5" customHeight="1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0.5" customHeight="1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0.5" customHeight="1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0.5" customHeight="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0.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0.5" customHeight="1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0.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0.5" customHeight="1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0.5" customHeight="1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0.5" customHeight="1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0.5" customHeight="1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0.5" customHeight="1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0.5" customHeight="1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0.5" customHeight="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0.5" customHeight="1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0.5" customHeight="1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0.5" customHeight="1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0.5" customHeight="1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0.5" customHeight="1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0.5" customHeight="1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0.5" customHeight="1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0.5" customHeight="1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0.5" customHeight="1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0.5" customHeight="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0.5" customHeight="1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0.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0.5" customHeight="1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0.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0.5" customHeight="1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0.5" customHeight="1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0.5" customHeight="1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0.5" customHeight="1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0.5" customHeight="1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0.5" customHeight="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0.5" customHeight="1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0.5" customHeight="1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0.5" customHeight="1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0.5" customHeight="1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0.5" customHeight="1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0.5" customHeight="1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0.5" customHeight="1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0.5" customHeight="1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0.5" customHeight="1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0.5" customHeight="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0.5" customHeight="1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0.5" customHeight="1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0.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0.5" customHeight="1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0.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0.5" customHeight="1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0.5" customHeight="1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0.5" customHeight="1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0.5" customHeight="1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0.5" customHeight="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0.5" customHeight="1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0.5" customHeight="1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0.5" customHeight="1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0.5" customHeight="1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0.5" customHeight="1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0.5" customHeight="1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0.5" customHeight="1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0.5" customHeight="1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0.5" customHeight="1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0.5" customHeight="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0.5" customHeight="1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0.5" customHeight="1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0.5" customHeight="1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0.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0.5" customHeight="1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0.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0.5" customHeight="1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0.5" customHeight="1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0.5" customHeight="1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0.5" customHeight="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0.5" customHeight="1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0.5" customHeight="1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0.5" customHeight="1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0.5" customHeight="1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0.5" customHeight="1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0.5" customHeight="1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0.5" customHeight="1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0.5" customHeight="1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0.5" customHeight="1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0.5" customHeight="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0.5" customHeight="1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0.5" customHeight="1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0.5" customHeight="1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0.5" customHeight="1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0.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0.5" customHeight="1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0.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0.5" customHeight="1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0.5" customHeight="1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0.5" customHeight="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0.5" customHeight="1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0.5" customHeight="1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0.5" customHeight="1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0.5" customHeight="1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0.5" customHeight="1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0.5" customHeight="1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0.5" customHeight="1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0.5" customHeight="1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0.5" customHeight="1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0.5" customHeight="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0.5" customHeight="1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0.5" customHeight="1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0.5" customHeight="1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0.5" customHeight="1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0.5" customHeight="1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0.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0.5" customHeight="1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0.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0.5" customHeight="1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0.5" customHeight="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0.5" customHeight="1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0.5" customHeight="1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0.5" customHeight="1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0.5" customHeight="1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0.5" customHeight="1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0.5" customHeight="1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0.5" customHeight="1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0.5" customHeight="1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0.5" customHeight="1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0.5" customHeight="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0.5" customHeight="1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0.5" customHeight="1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0.5" customHeight="1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0.5" customHeight="1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0.5" customHeight="1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0.5" customHeight="1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0.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0.5" customHeight="1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0.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0.5" customHeight="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0.5" customHeight="1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0.5" customHeight="1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0.5" customHeight="1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0.5" customHeight="1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0.5" customHeight="1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0.5" customHeight="1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0.5" customHeight="1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0.5" customHeight="1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0.5" customHeight="1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0.5" customHeight="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0.5" customHeight="1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0.5" customHeight="1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0.5" customHeight="1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0.5" customHeight="1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0.5" customHeight="1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0.5" customHeight="1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0.5" customHeight="1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0.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0.5" customHeight="1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0.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0.5" customHeight="1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0.5" customHeight="1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0.5" customHeight="1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0.5" customHeight="1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0.5" customHeight="1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0.5" customHeight="1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0.5" customHeight="1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0.5" customHeight="1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0.5" customHeight="1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0.5" customHeight="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0.5" customHeight="1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0.5" customHeight="1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0.5" customHeight="1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0.5" customHeight="1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0.5" customHeight="1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0.5" customHeight="1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0.5" customHeight="1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0.5" customHeight="1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0.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0.5" customHeight="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0.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0.5" customHeight="1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0.5" customHeight="1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0.5" customHeight="1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0.5" customHeight="1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0.5" customHeight="1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0.5" customHeight="1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0.5" customHeight="1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0.5" customHeight="1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0.5" customHeight="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0.5" customHeight="1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0.5" customHeight="1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0.5" customHeight="1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0.5" customHeight="1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0.5" customHeight="1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0.5" customHeight="1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0.5" customHeight="1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0.5" customHeight="1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0.5" customHeight="1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0.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0.5" customHeight="1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0.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0.5" customHeight="1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0.5" customHeight="1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0.5" customHeight="1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0.5" customHeight="1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0.5" customHeight="1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0.5" customHeight="1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0.5" customHeight="1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0.5" customHeight="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0.5" customHeight="1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0.5" customHeight="1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0.5" customHeight="1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0.5" customHeight="1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0.5" customHeight="1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0.5" customHeight="1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0.5" customHeight="1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0.5" customHeight="1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0.5" customHeight="1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0.5" customHeight="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0.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0.5" customHeight="1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0.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0.5" customHeight="1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0.5" customHeight="1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0.5" customHeight="1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0.5" customHeight="1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0.5" customHeight="1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0.5" customHeight="1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0.5" customHeight="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0.5" customHeight="1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0.5" customHeight="1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0.5" customHeight="1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0.5" customHeight="1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0.5" customHeight="1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0.5" customHeight="1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0.5" customHeight="1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0.5" customHeight="1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0.5" customHeight="1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0.5" customHeight="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0.5" customHeight="1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0.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0.5" customHeight="1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0.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0.5" customHeight="1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0.5" customHeight="1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0.5" customHeight="1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0.5" customHeight="1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0.5" customHeight="1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0.5" customHeight="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0.5" customHeight="1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0.5" customHeight="1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0.5" customHeight="1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0.5" customHeight="1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0.5" customHeight="1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0.5" customHeight="1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0.5" customHeight="1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0.5" customHeight="1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0.5" customHeight="1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0.5" customHeight="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0.5" customHeight="1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0.5" customHeight="1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0.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0.5" customHeight="1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0.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0.5" customHeight="1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0.5" customHeight="1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0.5" customHeight="1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0.5" customHeight="1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0.5" customHeight="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0.5" customHeight="1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0.5" customHeight="1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0.5" customHeight="1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0.5" customHeight="1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0.5" customHeight="1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0.5" customHeight="1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0.5" customHeight="1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0.5" customHeight="1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0.5" customHeight="1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0.5" customHeight="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0.5" customHeight="1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0.5" customHeight="1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0.5" customHeight="1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0.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0.5" customHeight="1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0.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0.5" customHeight="1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0.5" customHeight="1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0.5" customHeight="1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0.5" customHeight="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0.5" customHeight="1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0.5" customHeight="1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0.5" customHeight="1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0.5" customHeight="1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0.5" customHeight="1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0.5" customHeight="1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0.5" customHeight="1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0.5" customHeight="1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0.5" customHeight="1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0.5" customHeight="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0.5" customHeight="1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0.5" customHeight="1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0.5" customHeight="1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0.5" customHeight="1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0.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0.5" customHeight="1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0.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0.5" customHeight="1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0.5" customHeight="1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0.5" customHeight="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0.5" customHeight="1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0.5" customHeight="1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0.5" customHeight="1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0.5" customHeight="1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0.5" customHeight="1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0.5" customHeight="1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0.5" customHeight="1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0.5" customHeight="1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0.5" customHeight="1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0.5" customHeight="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0.5" customHeight="1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0.5" customHeight="1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0.5" customHeight="1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0.5" customHeight="1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0.5" customHeight="1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0.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0.5" customHeight="1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0.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0.5" customHeight="1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0.5" customHeight="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0.5" customHeight="1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0.5" customHeight="1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0.5" customHeight="1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0.5" customHeight="1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0.5" customHeight="1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0.5" customHeight="1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0.5" customHeight="1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0.5" customHeight="1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0.5" customHeight="1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0.5" customHeight="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0.5" customHeight="1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0.5" customHeight="1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0.5" customHeight="1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0.5" customHeight="1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0.5" customHeight="1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0.5" customHeight="1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0.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0.5" customHeight="1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0.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0.5" customHeight="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0.5" customHeight="1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0.5" customHeight="1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0.5" customHeight="1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0.5" customHeight="1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0.5" customHeight="1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0.5" customHeight="1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0.5" customHeight="1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0.5" customHeight="1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0.5" customHeight="1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0.5" customHeight="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0.5" customHeight="1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0.5" customHeight="1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0.5" customHeight="1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0.5" customHeight="1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0.5" customHeight="1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0.5" customHeight="1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0.5" customHeight="1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0.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0.5" customHeight="1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0.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0.5" customHeight="1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0.5" customHeight="1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0.5" customHeight="1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0.5" customHeight="1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0.5" customHeight="1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0.5" customHeight="1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0.5" customHeight="1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0.5" customHeight="1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0.5" customHeight="1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0.5" customHeight="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0.5" customHeight="1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0.5" customHeight="1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0.5" customHeight="1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0.5" customHeight="1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0.5" customHeight="1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0.5" customHeight="1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0.5" customHeight="1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0.5" customHeight="1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0.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0.5" customHeight="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0.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0.5" customHeight="1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0.5" customHeight="1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0.5" customHeight="1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0.5" customHeight="1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0.5" customHeight="1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0.5" customHeight="1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0.5" customHeight="1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0.5" customHeight="1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0.5" customHeight="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0.5" customHeight="1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0.5" customHeight="1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0.5" customHeight="1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0.5" customHeight="1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0.5" customHeight="1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0.5" customHeight="1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0.5" customHeight="1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0.5" customHeight="1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0.5" customHeight="1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0.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0.5" customHeight="1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0.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0.5" customHeight="1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0.5" customHeight="1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0.5" customHeight="1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0.5" customHeight="1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0.5" customHeight="1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0.5" customHeight="1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0.5" customHeight="1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0.5" customHeight="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0.5" customHeight="1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0.5" customHeight="1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0.5" customHeight="1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0.5" customHeight="1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0.5" customHeight="1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0.5" customHeight="1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0.5" customHeight="1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0.5" customHeight="1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0.5" customHeight="1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0.5" customHeight="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0.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0.5" customHeight="1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0.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0.5" customHeight="1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0.5" customHeight="1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0.5" customHeight="1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0.5" customHeight="1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0.5" customHeight="1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0.5" customHeight="1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0.5" customHeight="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0.5" customHeight="1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0.5" customHeight="1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0.5" customHeight="1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0.5" customHeight="1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0.5" customHeight="1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0.5" customHeight="1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0.5" customHeight="1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0.5" customHeight="1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0.5" customHeight="1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0.5" customHeight="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0.5" customHeight="1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0.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0.5" customHeight="1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0.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0.5" customHeight="1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0.5" customHeight="1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0.5" customHeight="1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0.5" customHeight="1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0.5" customHeight="1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0.5" customHeight="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0.5" customHeight="1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0.5" customHeight="1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0.5" customHeight="1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0.5" customHeight="1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0.5" customHeight="1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0.5" customHeight="1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0.5" customHeight="1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0.5" customHeight="1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0.5" customHeight="1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0.5" customHeight="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0.5" customHeight="1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0.5" customHeight="1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0.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0.5" customHeight="1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0.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0.5" customHeight="1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0.5" customHeight="1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0.5" customHeight="1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0.5" customHeight="1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0.5" customHeight="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0.5" customHeight="1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0.5" customHeight="1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0.5" customHeight="1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0.5" customHeight="1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0.5" customHeight="1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0.5" customHeight="1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0.5" customHeight="1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0.5" customHeight="1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0.5" customHeight="1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0.5" customHeight="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0.5" customHeight="1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0.5" customHeight="1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0.5" customHeight="1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0.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0.5" customHeight="1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0.5" customHeight="1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0.5" customHeight="1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0.5" customHeight="1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0.5" customHeight="1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0.5" customHeight="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0.5" customHeight="1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0.5" customHeight="1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0.5" customHeight="1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0.5" customHeight="1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0.5" customHeight="1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0.5" customHeight="1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0.5" customHeight="1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0.5" customHeight="1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0.5" customHeight="1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0.5" customHeight="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0.5" customHeight="1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0.5" customHeight="1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0.5" customHeight="1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0.5" customHeight="1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0.5" customHeight="1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0.5" customHeight="1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0.5" customHeight="1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0.5" customHeight="1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0.5" customHeight="1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0.5" customHeight="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0.5" customHeight="1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0.5" customHeight="1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0.5" customHeight="1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0.5" customHeight="1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0.5" customHeight="1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0.5" customHeight="1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0.5" customHeight="1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0.5" customHeight="1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0.5" customHeight="1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0.5" customHeight="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0.5" customHeight="1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0.5" customHeight="1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0.5" customHeight="1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0.5" customHeight="1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0.5" customHeight="1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0.5" customHeight="1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0.5" customHeight="1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0.5" customHeight="1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0.5" customHeight="1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0.5" customHeight="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0.5" customHeight="1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0.5" customHeight="1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0.5" customHeight="1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0.5" customHeight="1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0.5" customHeight="1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0.5" customHeight="1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0.5" customHeight="1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0.5" customHeight="1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0.5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L29:M29"/>
    <mergeCell ref="J51:K51"/>
    <mergeCell ref="J52:K52"/>
    <mergeCell ref="L60:M60"/>
    <mergeCell ref="J82:K82"/>
    <mergeCell ref="J83:K83"/>
    <mergeCell ref="L91:M91"/>
    <mergeCell ref="J176:K176"/>
    <mergeCell ref="L184:M184"/>
    <mergeCell ref="J206:K206"/>
    <mergeCell ref="J207:K207"/>
    <mergeCell ref="J113:K113"/>
    <mergeCell ref="J114:K114"/>
    <mergeCell ref="L122:M122"/>
    <mergeCell ref="J144:K144"/>
    <mergeCell ref="J145:K145"/>
    <mergeCell ref="L153:M153"/>
    <mergeCell ref="J175:K17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33.0"/>
    <col customWidth="1" min="3" max="4" width="12.0"/>
    <col customWidth="1" min="5" max="5" width="11.57"/>
    <col customWidth="1" min="6" max="7" width="12.0"/>
    <col customWidth="1" min="8" max="8" width="11.14"/>
    <col customWidth="1" min="9" max="9" width="10.57"/>
    <col customWidth="1" min="10" max="10" width="13.14"/>
    <col customWidth="1" min="11" max="11" width="11.71"/>
    <col customWidth="1" min="12" max="12" width="12.0"/>
    <col customWidth="1" min="13" max="13" width="13.14"/>
    <col customWidth="1" min="14" max="14" width="10.57"/>
    <col customWidth="1" min="15" max="15" width="12.29"/>
    <col customWidth="1" min="16" max="17" width="12.0"/>
    <col customWidth="1" min="18" max="26" width="9.14"/>
  </cols>
  <sheetData>
    <row r="1" hidden="1">
      <c r="A1" s="1"/>
      <c r="B1" s="1"/>
      <c r="C1" s="3"/>
      <c r="D1" s="3"/>
      <c r="E1" s="3"/>
      <c r="F1" s="3"/>
      <c r="G1" s="3"/>
      <c r="H1" s="3"/>
      <c r="I1" s="3"/>
      <c r="J1" s="1"/>
      <c r="K1" s="1"/>
      <c r="L1" s="1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hidden="1" customHeight="1">
      <c r="A2" s="7"/>
      <c r="B2" s="10" t="s">
        <v>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5"/>
      <c r="R2" s="7"/>
      <c r="S2" s="7"/>
      <c r="T2" s="7"/>
      <c r="U2" s="7"/>
      <c r="V2" s="7"/>
      <c r="W2" s="7"/>
      <c r="X2" s="7"/>
      <c r="Y2" s="7"/>
      <c r="Z2" s="7"/>
    </row>
    <row r="3" ht="15.0" hidden="1" customHeight="1">
      <c r="A3" s="1"/>
      <c r="B3" s="18" t="s">
        <v>8</v>
      </c>
      <c r="C3" s="22" t="s">
        <v>10</v>
      </c>
      <c r="D3" s="24"/>
      <c r="E3" s="24"/>
      <c r="F3" s="24"/>
      <c r="G3" s="26"/>
      <c r="H3" s="22" t="s">
        <v>12</v>
      </c>
      <c r="I3" s="24"/>
      <c r="J3" s="24"/>
      <c r="K3" s="24"/>
      <c r="L3" s="26"/>
      <c r="M3" s="29" t="s">
        <v>16</v>
      </c>
      <c r="N3" s="24"/>
      <c r="O3" s="24"/>
      <c r="P3" s="24"/>
      <c r="Q3" s="30"/>
      <c r="R3" s="1"/>
      <c r="S3" s="1"/>
      <c r="T3" s="1"/>
      <c r="U3" s="1"/>
      <c r="V3" s="1"/>
      <c r="W3" s="1"/>
      <c r="X3" s="1"/>
      <c r="Y3" s="1"/>
      <c r="Z3" s="1"/>
    </row>
    <row r="4" ht="34.5" hidden="1" customHeight="1">
      <c r="A4" s="1"/>
      <c r="B4" s="31"/>
      <c r="C4" s="33" t="s">
        <v>19</v>
      </c>
      <c r="D4" s="34" t="s">
        <v>21</v>
      </c>
      <c r="E4" s="34" t="s">
        <v>22</v>
      </c>
      <c r="F4" s="36" t="s">
        <v>23</v>
      </c>
      <c r="G4" s="37" t="s">
        <v>25</v>
      </c>
      <c r="H4" s="33" t="s">
        <v>19</v>
      </c>
      <c r="I4" s="34" t="s">
        <v>21</v>
      </c>
      <c r="J4" s="34" t="s">
        <v>22</v>
      </c>
      <c r="K4" s="36" t="s">
        <v>23</v>
      </c>
      <c r="L4" s="37" t="s">
        <v>25</v>
      </c>
      <c r="M4" s="33" t="s">
        <v>19</v>
      </c>
      <c r="N4" s="34" t="s">
        <v>21</v>
      </c>
      <c r="O4" s="34" t="s">
        <v>22</v>
      </c>
      <c r="P4" s="34" t="s">
        <v>23</v>
      </c>
      <c r="Q4" s="40" t="s">
        <v>25</v>
      </c>
      <c r="R4" s="1"/>
      <c r="S4" s="1"/>
      <c r="T4" s="1"/>
      <c r="U4" s="1"/>
      <c r="V4" s="1"/>
      <c r="W4" s="1"/>
      <c r="X4" s="1"/>
      <c r="Y4" s="1"/>
      <c r="Z4" s="1"/>
    </row>
    <row r="5" ht="15.75" hidden="1" customHeight="1">
      <c r="A5" s="1"/>
      <c r="B5" s="42" t="s">
        <v>33</v>
      </c>
      <c r="C5" s="44">
        <v>1959.1939</v>
      </c>
      <c r="D5" s="44">
        <v>2065.66167</v>
      </c>
      <c r="E5" s="45">
        <v>2081.90857</v>
      </c>
      <c r="F5" s="49">
        <f t="shared" ref="F5:F8" si="1">(E5/D5-1)</f>
        <v>0.007865227997</v>
      </c>
      <c r="G5" s="50">
        <f t="shared" ref="G5:G8" si="2">(E5/C5-1)</f>
        <v>0.06263528587</v>
      </c>
      <c r="H5" s="44">
        <v>18826.40738</v>
      </c>
      <c r="I5" s="45">
        <v>21831.84936</v>
      </c>
      <c r="J5" s="45">
        <v>22484.97376</v>
      </c>
      <c r="K5" s="49">
        <f t="shared" ref="K5:K7" si="3">(J5/I5-1)</f>
        <v>0.029916128</v>
      </c>
      <c r="L5" s="50">
        <f t="shared" ref="L5:L7" si="4">(J5/H5-1)</f>
        <v>0.1943316272</v>
      </c>
      <c r="M5" s="56">
        <v>20743.79324</v>
      </c>
      <c r="N5" s="56">
        <v>23880.12678</v>
      </c>
      <c r="O5" s="45">
        <v>24573.7722</v>
      </c>
      <c r="P5" s="49">
        <f t="shared" ref="P5:P7" si="5">(O5/N5-1)</f>
        <v>0.02904697393</v>
      </c>
      <c r="Q5" s="49">
        <f t="shared" ref="Q5:Q8" si="6">(O5/M5-1)</f>
        <v>0.1846325267</v>
      </c>
      <c r="R5" s="1"/>
      <c r="S5" s="1"/>
      <c r="T5" s="1"/>
      <c r="U5" s="1"/>
      <c r="V5" s="1"/>
      <c r="W5" s="1"/>
      <c r="X5" s="1"/>
      <c r="Y5" s="1"/>
      <c r="Z5" s="1"/>
    </row>
    <row r="6" ht="15.75" hidden="1" customHeight="1">
      <c r="A6" s="1"/>
      <c r="B6" s="42" t="s">
        <v>49</v>
      </c>
      <c r="C6" s="59">
        <v>3745.32143</v>
      </c>
      <c r="D6" s="61">
        <v>3655.68287</v>
      </c>
      <c r="E6" s="61">
        <v>4138.10429</v>
      </c>
      <c r="F6" s="49">
        <f t="shared" si="1"/>
        <v>0.1319647894</v>
      </c>
      <c r="G6" s="50">
        <f t="shared" si="2"/>
        <v>0.1048729374</v>
      </c>
      <c r="H6" s="44">
        <v>38194.99299</v>
      </c>
      <c r="I6" s="45">
        <v>37435.67329</v>
      </c>
      <c r="J6" s="61">
        <v>44513.00349</v>
      </c>
      <c r="K6" s="49">
        <f t="shared" si="3"/>
        <v>0.189053103</v>
      </c>
      <c r="L6" s="50">
        <f t="shared" si="4"/>
        <v>0.1654146265</v>
      </c>
      <c r="M6" s="56">
        <v>40915.71315</v>
      </c>
      <c r="N6" s="56">
        <v>41221.32788</v>
      </c>
      <c r="O6" s="61">
        <v>48685.91707</v>
      </c>
      <c r="P6" s="49">
        <f t="shared" si="5"/>
        <v>0.1810856072</v>
      </c>
      <c r="Q6" s="49">
        <f t="shared" si="6"/>
        <v>0.1899075764</v>
      </c>
      <c r="R6" s="64"/>
      <c r="S6" s="1"/>
      <c r="T6" s="1"/>
      <c r="U6" s="1"/>
      <c r="V6" s="1"/>
      <c r="W6" s="1"/>
      <c r="X6" s="1"/>
      <c r="Y6" s="1"/>
      <c r="Z6" s="1"/>
    </row>
    <row r="7" ht="15.75" hidden="1" customHeight="1">
      <c r="A7" s="65"/>
      <c r="B7" s="66" t="s">
        <v>54</v>
      </c>
      <c r="C7" s="67">
        <v>75.2033</v>
      </c>
      <c r="D7" s="67">
        <v>132.52656</v>
      </c>
      <c r="E7" s="68">
        <v>-77.66243</v>
      </c>
      <c r="F7" s="49">
        <f t="shared" si="1"/>
        <v>-1.586014079</v>
      </c>
      <c r="G7" s="50">
        <f t="shared" si="2"/>
        <v>-2.032699762</v>
      </c>
      <c r="H7" s="67">
        <v>974.56093</v>
      </c>
      <c r="I7" s="67">
        <v>886.53431</v>
      </c>
      <c r="J7" s="67">
        <v>940.12334</v>
      </c>
      <c r="K7" s="69">
        <f t="shared" si="3"/>
        <v>0.06044777895</v>
      </c>
      <c r="L7" s="70">
        <f t="shared" si="4"/>
        <v>-0.03533651816</v>
      </c>
      <c r="M7" s="72">
        <v>993.4194</v>
      </c>
      <c r="N7" s="72">
        <v>1024.67462</v>
      </c>
      <c r="O7" s="68">
        <v>1043.88983</v>
      </c>
      <c r="P7" s="69">
        <f t="shared" si="5"/>
        <v>0.01875249921</v>
      </c>
      <c r="Q7" s="69">
        <f t="shared" si="6"/>
        <v>0.05080475578</v>
      </c>
      <c r="R7" s="75"/>
      <c r="S7" s="65"/>
      <c r="T7" s="65"/>
      <c r="U7" s="65"/>
      <c r="V7" s="65"/>
      <c r="W7" s="65"/>
      <c r="X7" s="65"/>
      <c r="Y7" s="65"/>
      <c r="Z7" s="65"/>
    </row>
    <row r="8" ht="15.75" hidden="1" customHeight="1">
      <c r="A8" s="65"/>
      <c r="B8" s="77" t="s">
        <v>56</v>
      </c>
      <c r="C8" s="68">
        <v>-3.08736</v>
      </c>
      <c r="D8" s="68">
        <v>-3.81875</v>
      </c>
      <c r="E8" s="72">
        <v>0.0</v>
      </c>
      <c r="F8" s="49">
        <f t="shared" si="1"/>
        <v>-1</v>
      </c>
      <c r="G8" s="50">
        <f t="shared" si="2"/>
        <v>-1</v>
      </c>
      <c r="H8" s="68">
        <v>-241.31924</v>
      </c>
      <c r="I8" s="68">
        <v>-42.5445</v>
      </c>
      <c r="J8" s="79">
        <v>151.89878</v>
      </c>
      <c r="K8" s="49">
        <f>-(J8/I8-1)</f>
        <v>4.570350574</v>
      </c>
      <c r="L8" s="50">
        <f>-(J8/H8-1)</f>
        <v>1.629451593</v>
      </c>
      <c r="M8" s="72">
        <v>-256.31814</v>
      </c>
      <c r="N8" s="72">
        <v>-46.36325</v>
      </c>
      <c r="O8" s="72">
        <v>151.89878</v>
      </c>
      <c r="P8" s="69">
        <f>-(O8/N8-1)</f>
        <v>4.276275498</v>
      </c>
      <c r="Q8" s="69">
        <f t="shared" si="6"/>
        <v>-1.592618142</v>
      </c>
      <c r="R8" s="75"/>
      <c r="S8" s="65"/>
      <c r="T8" s="65"/>
      <c r="U8" s="65"/>
      <c r="V8" s="65"/>
      <c r="W8" s="65"/>
      <c r="X8" s="65"/>
      <c r="Y8" s="65"/>
      <c r="Z8" s="65"/>
    </row>
    <row r="9" ht="15.75" hidden="1" customHeight="1">
      <c r="A9" s="1"/>
      <c r="B9" s="85" t="s">
        <v>70</v>
      </c>
      <c r="C9" s="92">
        <f t="shared" ref="C9:E9" si="7">SUM(C5:C8)</f>
        <v>5776.63127</v>
      </c>
      <c r="D9" s="94">
        <f t="shared" si="7"/>
        <v>5850.05235</v>
      </c>
      <c r="E9" s="94">
        <f t="shared" si="7"/>
        <v>6142.35043</v>
      </c>
      <c r="F9" s="96">
        <f>E9/D9-1</f>
        <v>0.04996503664</v>
      </c>
      <c r="G9" s="99">
        <f>E9/C9-1</f>
        <v>0.0633101098</v>
      </c>
      <c r="H9" s="92">
        <f t="shared" ref="H9:J9" si="8">SUM(H5:H8)</f>
        <v>57754.64206</v>
      </c>
      <c r="I9" s="94">
        <f t="shared" si="8"/>
        <v>60111.51246</v>
      </c>
      <c r="J9" s="94">
        <f t="shared" si="8"/>
        <v>68089.99937</v>
      </c>
      <c r="K9" s="96">
        <f>J9/I9-1</f>
        <v>0.1327281012</v>
      </c>
      <c r="L9" s="99">
        <f>J9/H9-1</f>
        <v>0.1789528416</v>
      </c>
      <c r="M9" s="109">
        <f t="shared" ref="M9:O9" si="9">SUM(M5:M8)</f>
        <v>62396.60765</v>
      </c>
      <c r="N9" s="94">
        <f t="shared" si="9"/>
        <v>66079.76603</v>
      </c>
      <c r="O9" s="94">
        <f t="shared" si="9"/>
        <v>74455.47788</v>
      </c>
      <c r="P9" s="110">
        <f t="shared" ref="P9:P10" si="13">(O9/N9-1)</f>
        <v>0.1267515361</v>
      </c>
      <c r="Q9" s="110">
        <f>O9/M9-1</f>
        <v>0.1932616321</v>
      </c>
      <c r="R9" s="1"/>
      <c r="S9" s="1"/>
      <c r="T9" s="1"/>
      <c r="U9" s="1"/>
      <c r="V9" s="1"/>
      <c r="W9" s="1"/>
      <c r="X9" s="1"/>
      <c r="Y9" s="1"/>
      <c r="Z9" s="1"/>
    </row>
    <row r="10" ht="19.5" hidden="1" customHeight="1">
      <c r="A10" s="1"/>
      <c r="B10" s="114" t="s">
        <v>33</v>
      </c>
      <c r="C10" s="117">
        <f t="shared" ref="C10:E10" si="10">C5</f>
        <v>1959.1939</v>
      </c>
      <c r="D10" s="118">
        <f t="shared" si="10"/>
        <v>2065.66167</v>
      </c>
      <c r="E10" s="118">
        <f t="shared" si="10"/>
        <v>2081.90857</v>
      </c>
      <c r="F10" s="124">
        <f>(E10/D10-1)</f>
        <v>0.007865227997</v>
      </c>
      <c r="G10" s="128">
        <f>(E10/C10-1)</f>
        <v>0.06263528587</v>
      </c>
      <c r="H10" s="117">
        <f t="shared" ref="H10:J10" si="11">H5</f>
        <v>18826.40738</v>
      </c>
      <c r="I10" s="118">
        <f t="shared" si="11"/>
        <v>21831.84936</v>
      </c>
      <c r="J10" s="118">
        <f t="shared" si="11"/>
        <v>22484.97376</v>
      </c>
      <c r="K10" s="124">
        <f>(J10/I10-1)</f>
        <v>0.029916128</v>
      </c>
      <c r="L10" s="128">
        <f>(J10/H10-1)</f>
        <v>0.1943316272</v>
      </c>
      <c r="M10" s="139">
        <f t="shared" ref="M10:O10" si="12">M5</f>
        <v>20743.79324</v>
      </c>
      <c r="N10" s="118">
        <f t="shared" si="12"/>
        <v>23880.12678</v>
      </c>
      <c r="O10" s="118">
        <f t="shared" si="12"/>
        <v>24573.7722</v>
      </c>
      <c r="P10" s="124">
        <f t="shared" si="13"/>
        <v>0.02904697393</v>
      </c>
      <c r="Q10" s="124">
        <f>(O10/M10-1)</f>
        <v>0.1846325267</v>
      </c>
      <c r="R10" s="1"/>
      <c r="S10" s="1"/>
      <c r="T10" s="1"/>
      <c r="U10" s="1"/>
      <c r="V10" s="1"/>
      <c r="W10" s="1"/>
      <c r="X10" s="1"/>
      <c r="Y10" s="1"/>
      <c r="Z10" s="1"/>
    </row>
    <row r="11" ht="19.5" hidden="1" customHeight="1">
      <c r="A11" s="1"/>
      <c r="B11" s="144" t="s">
        <v>100</v>
      </c>
      <c r="C11" s="147">
        <f t="shared" ref="C11:E11" si="14">C10/C21</f>
        <v>0.8118934455</v>
      </c>
      <c r="D11" s="149">
        <f t="shared" si="14"/>
        <v>0.8252272056</v>
      </c>
      <c r="E11" s="149">
        <f t="shared" si="14"/>
        <v>0.8299553306</v>
      </c>
      <c r="F11" s="149">
        <f>E11-D11</f>
        <v>0.004728125015</v>
      </c>
      <c r="G11" s="153">
        <f>E11-C11</f>
        <v>0.01806188503</v>
      </c>
      <c r="H11" s="154">
        <f t="shared" ref="H11:J11" si="15">H5/H21</f>
        <v>0.8023867922</v>
      </c>
      <c r="I11" s="155">
        <f t="shared" si="15"/>
        <v>0.8137874567</v>
      </c>
      <c r="J11" s="155">
        <f t="shared" si="15"/>
        <v>0.8264220076</v>
      </c>
      <c r="K11" s="149">
        <f>J11-I11</f>
        <v>0.0126345509</v>
      </c>
      <c r="L11" s="153">
        <f>J11-H11</f>
        <v>0.02403521535</v>
      </c>
      <c r="M11" s="149">
        <f t="shared" ref="M11:O11" si="16">M10/M21</f>
        <v>0.8022832311</v>
      </c>
      <c r="N11" s="149">
        <f t="shared" si="16"/>
        <v>0.8141497037</v>
      </c>
      <c r="O11" s="149">
        <f t="shared" si="16"/>
        <v>0.8243454586</v>
      </c>
      <c r="P11" s="149">
        <f>O11-N11</f>
        <v>0.01019575495</v>
      </c>
      <c r="Q11" s="149">
        <f>O11-M11</f>
        <v>0.02206222752</v>
      </c>
      <c r="R11" s="1"/>
      <c r="S11" s="1"/>
      <c r="T11" s="1"/>
      <c r="U11" s="1"/>
      <c r="V11" s="1"/>
      <c r="W11" s="1"/>
      <c r="X11" s="1"/>
      <c r="Y11" s="1"/>
      <c r="Z11" s="1"/>
    </row>
    <row r="12" ht="19.5" hidden="1" customHeight="1">
      <c r="A12" s="1"/>
      <c r="B12" s="114" t="s">
        <v>49</v>
      </c>
      <c r="C12" s="117">
        <f t="shared" ref="C12:E12" si="17">C6</f>
        <v>3745.32143</v>
      </c>
      <c r="D12" s="118">
        <f t="shared" si="17"/>
        <v>3655.68287</v>
      </c>
      <c r="E12" s="118">
        <f t="shared" si="17"/>
        <v>4138.10429</v>
      </c>
      <c r="F12" s="124">
        <f>E12/D12-1</f>
        <v>0.1319647894</v>
      </c>
      <c r="G12" s="128">
        <f>E12/C12-1</f>
        <v>0.1048729374</v>
      </c>
      <c r="H12" s="117">
        <f t="shared" ref="H12:J12" si="18">SUM(H6)</f>
        <v>38194.99299</v>
      </c>
      <c r="I12" s="118">
        <f t="shared" si="18"/>
        <v>37435.67329</v>
      </c>
      <c r="J12" s="118">
        <f t="shared" si="18"/>
        <v>44513.00349</v>
      </c>
      <c r="K12" s="124">
        <f>(J12/I12-1)</f>
        <v>0.189053103</v>
      </c>
      <c r="L12" s="128">
        <f>(J12/H12-1)</f>
        <v>0.1654146265</v>
      </c>
      <c r="M12" s="139">
        <f t="shared" ref="M12:O12" si="19">M6</f>
        <v>40915.71315</v>
      </c>
      <c r="N12" s="118">
        <f t="shared" si="19"/>
        <v>41221.32788</v>
      </c>
      <c r="O12" s="118">
        <f t="shared" si="19"/>
        <v>48685.91707</v>
      </c>
      <c r="P12" s="124">
        <f>O12/N12-1</f>
        <v>0.1810856072</v>
      </c>
      <c r="Q12" s="124">
        <f>O12/M12-1</f>
        <v>0.1899075764</v>
      </c>
      <c r="R12" s="1"/>
      <c r="S12" s="1"/>
      <c r="T12" s="1"/>
      <c r="U12" s="1"/>
      <c r="V12" s="1"/>
      <c r="W12" s="1"/>
      <c r="X12" s="1"/>
      <c r="Y12" s="1"/>
      <c r="Z12" s="1"/>
    </row>
    <row r="13" ht="19.5" hidden="1" customHeight="1">
      <c r="A13" s="1"/>
      <c r="B13" s="161" t="s">
        <v>100</v>
      </c>
      <c r="C13" s="154">
        <f t="shared" ref="C13:E13" si="20">C12/C22</f>
        <v>0.7768082667</v>
      </c>
      <c r="D13" s="155">
        <f t="shared" si="20"/>
        <v>0.7738200631</v>
      </c>
      <c r="E13" s="155">
        <f t="shared" si="20"/>
        <v>0.7894225843</v>
      </c>
      <c r="F13" s="155">
        <f>E13-D13</f>
        <v>0.01560252121</v>
      </c>
      <c r="G13" s="164">
        <f>E13-C13</f>
        <v>0.01261431761</v>
      </c>
      <c r="H13" s="154">
        <f t="shared" ref="H13:J13" si="21">H12/H22</f>
        <v>0.7885894596</v>
      </c>
      <c r="I13" s="155">
        <f t="shared" si="21"/>
        <v>0.7554269269</v>
      </c>
      <c r="J13" s="155">
        <f t="shared" si="21"/>
        <v>0.8046861665</v>
      </c>
      <c r="K13" s="155">
        <f>J13-I13</f>
        <v>0.04925923959</v>
      </c>
      <c r="L13" s="164">
        <f>J13-H13</f>
        <v>0.01609670693</v>
      </c>
      <c r="M13" s="155">
        <f t="shared" ref="M13:O13" si="22">M12/M22</f>
        <v>0.7727435683</v>
      </c>
      <c r="N13" s="155">
        <f t="shared" si="22"/>
        <v>0.7557489458</v>
      </c>
      <c r="O13" s="155">
        <f t="shared" si="22"/>
        <v>0.8037643475</v>
      </c>
      <c r="P13" s="155">
        <f>O13-N13</f>
        <v>0.04801540176</v>
      </c>
      <c r="Q13" s="155">
        <f>O13-M13</f>
        <v>0.03102077926</v>
      </c>
      <c r="R13" s="1"/>
      <c r="S13" s="1"/>
      <c r="T13" s="1"/>
      <c r="U13" s="1"/>
      <c r="V13" s="1"/>
      <c r="W13" s="1"/>
      <c r="X13" s="1"/>
      <c r="Y13" s="1"/>
      <c r="Z13" s="1"/>
    </row>
    <row r="14" ht="19.5" hidden="1" customHeight="1">
      <c r="A14" s="1"/>
      <c r="B14" s="114" t="s">
        <v>110</v>
      </c>
      <c r="C14" s="117">
        <f>(C7)</f>
        <v>75.2033</v>
      </c>
      <c r="D14" s="118">
        <f>+D7</f>
        <v>132.52656</v>
      </c>
      <c r="E14" s="118">
        <f>(+E7)</f>
        <v>-77.66243</v>
      </c>
      <c r="F14" s="124">
        <f>(E14/D14-1)</f>
        <v>-1.586014079</v>
      </c>
      <c r="G14" s="128">
        <f>(E14/C14-1)</f>
        <v>-2.032699762</v>
      </c>
      <c r="H14" s="117">
        <f t="shared" ref="H14:I14" si="23">+H7</f>
        <v>974.56093</v>
      </c>
      <c r="I14" s="118">
        <f t="shared" si="23"/>
        <v>886.53431</v>
      </c>
      <c r="J14" s="118">
        <f>J7</f>
        <v>940.12334</v>
      </c>
      <c r="K14" s="124">
        <f>J14/I14-1</f>
        <v>0.06044777895</v>
      </c>
      <c r="L14" s="128">
        <f>(J14/H14-1)</f>
        <v>-0.03533651816</v>
      </c>
      <c r="M14" s="139">
        <f t="shared" ref="M14:N14" si="24">M7-1</f>
        <v>992.4194</v>
      </c>
      <c r="N14" s="118">
        <f t="shared" si="24"/>
        <v>1023.67462</v>
      </c>
      <c r="O14" s="118">
        <f>+O7</f>
        <v>1043.88983</v>
      </c>
      <c r="P14" s="124">
        <f>(O14/N14-1)</f>
        <v>0.01974769092</v>
      </c>
      <c r="Q14" s="124">
        <f>O14/M14-1</f>
        <v>0.05186358711</v>
      </c>
      <c r="R14" s="1"/>
      <c r="S14" s="1"/>
      <c r="T14" s="1"/>
      <c r="U14" s="1"/>
      <c r="V14" s="1"/>
      <c r="W14" s="1"/>
      <c r="X14" s="1"/>
      <c r="Y14" s="1"/>
      <c r="Z14" s="1"/>
    </row>
    <row r="15" ht="19.5" hidden="1" customHeight="1">
      <c r="A15" s="1"/>
      <c r="B15" s="144" t="s">
        <v>100</v>
      </c>
      <c r="C15" s="147">
        <f t="shared" ref="C15:E15" si="25">C14/C23</f>
        <v>0.2498785218</v>
      </c>
      <c r="D15" s="149">
        <f t="shared" si="25"/>
        <v>0.3666882384</v>
      </c>
      <c r="E15" s="149">
        <f t="shared" si="25"/>
        <v>-0.1998795716</v>
      </c>
      <c r="F15" s="149">
        <f>E15-D15</f>
        <v>-0.5665678099</v>
      </c>
      <c r="G15" s="153">
        <f>E15-C15</f>
        <v>-0.4497580934</v>
      </c>
      <c r="H15" s="147">
        <f t="shared" ref="H15:J15" si="26">H14/H23</f>
        <v>0.2916178387</v>
      </c>
      <c r="I15" s="149">
        <f t="shared" si="26"/>
        <v>0.2393339571</v>
      </c>
      <c r="J15" s="149">
        <f t="shared" si="26"/>
        <v>0.2469274761</v>
      </c>
      <c r="K15" s="149">
        <f>J15-I15</f>
        <v>0.007593519008</v>
      </c>
      <c r="L15" s="153">
        <f>J15-H15</f>
        <v>-0.04469036261</v>
      </c>
      <c r="M15" s="149">
        <f t="shared" ref="M15:O15" si="27">M14/M23</f>
        <v>0.2769655709</v>
      </c>
      <c r="N15" s="149">
        <f t="shared" si="27"/>
        <v>0.2517900838</v>
      </c>
      <c r="O15" s="149">
        <f t="shared" si="27"/>
        <v>0.2491995618</v>
      </c>
      <c r="P15" s="149">
        <f>O15-N15</f>
        <v>-0.002590521991</v>
      </c>
      <c r="Q15" s="149">
        <f>O15-M15</f>
        <v>-0.02776600909</v>
      </c>
      <c r="R15" s="1"/>
      <c r="S15" s="1"/>
      <c r="T15" s="1"/>
      <c r="U15" s="1"/>
      <c r="V15" s="1"/>
      <c r="W15" s="1"/>
      <c r="X15" s="1"/>
      <c r="Y15" s="1"/>
      <c r="Z15" s="1"/>
    </row>
    <row r="16" ht="19.5" hidden="1" customHeight="1">
      <c r="A16" s="65"/>
      <c r="B16" s="174" t="s">
        <v>111</v>
      </c>
      <c r="C16" s="175">
        <f t="shared" ref="C16:E16" si="28">C8</f>
        <v>-3.08736</v>
      </c>
      <c r="D16" s="176">
        <f t="shared" si="28"/>
        <v>-3.81875</v>
      </c>
      <c r="E16" s="177">
        <f t="shared" si="28"/>
        <v>0</v>
      </c>
      <c r="F16" s="178">
        <f>(E16/D16-1)</f>
        <v>-1</v>
      </c>
      <c r="G16" s="179">
        <f>(E16/C16-1)</f>
        <v>-1</v>
      </c>
      <c r="H16" s="180">
        <f t="shared" ref="H16:J16" si="29">H8</f>
        <v>-241.31924</v>
      </c>
      <c r="I16" s="181">
        <f t="shared" si="29"/>
        <v>-42.5445</v>
      </c>
      <c r="J16" s="177">
        <f t="shared" si="29"/>
        <v>151.89878</v>
      </c>
      <c r="K16" s="178">
        <f>(J16/I16-1)</f>
        <v>-4.570350574</v>
      </c>
      <c r="L16" s="179">
        <f>((J16/H16)-1)</f>
        <v>-1.629451593</v>
      </c>
      <c r="M16" s="177">
        <f t="shared" ref="M16:O16" si="30">M8</f>
        <v>-256.31814</v>
      </c>
      <c r="N16" s="177">
        <f t="shared" si="30"/>
        <v>-46.36325</v>
      </c>
      <c r="O16" s="177">
        <f t="shared" si="30"/>
        <v>151.89878</v>
      </c>
      <c r="P16" s="178">
        <f>(O16/N16-1)</f>
        <v>-4.276275498</v>
      </c>
      <c r="Q16" s="178">
        <f>(O16/M16-1)</f>
        <v>-1.592618142</v>
      </c>
      <c r="R16" s="65"/>
      <c r="S16" s="65"/>
      <c r="T16" s="65"/>
      <c r="U16" s="65"/>
      <c r="V16" s="65"/>
      <c r="W16" s="65"/>
      <c r="X16" s="65"/>
      <c r="Y16" s="65"/>
      <c r="Z16" s="65"/>
    </row>
    <row r="17" ht="19.5" hidden="1" customHeight="1">
      <c r="A17" s="65"/>
      <c r="B17" s="184" t="s">
        <v>100</v>
      </c>
      <c r="C17" s="185" t="s">
        <v>115</v>
      </c>
      <c r="D17" s="186" t="s">
        <v>115</v>
      </c>
      <c r="E17" s="185" t="s">
        <v>115</v>
      </c>
      <c r="F17" s="185" t="s">
        <v>115</v>
      </c>
      <c r="G17" s="187" t="s">
        <v>115</v>
      </c>
      <c r="H17" s="188" t="s">
        <v>115</v>
      </c>
      <c r="I17" s="185" t="s">
        <v>115</v>
      </c>
      <c r="J17" s="185" t="s">
        <v>115</v>
      </c>
      <c r="K17" s="185" t="s">
        <v>115</v>
      </c>
      <c r="L17" s="185" t="s">
        <v>115</v>
      </c>
      <c r="M17" s="185" t="s">
        <v>115</v>
      </c>
      <c r="N17" s="185" t="s">
        <v>115</v>
      </c>
      <c r="O17" s="185" t="s">
        <v>115</v>
      </c>
      <c r="P17" s="185" t="s">
        <v>115</v>
      </c>
      <c r="Q17" s="185" t="s">
        <v>115</v>
      </c>
      <c r="R17" s="65"/>
      <c r="S17" s="65"/>
      <c r="T17" s="65"/>
      <c r="U17" s="65"/>
      <c r="V17" s="65"/>
      <c r="W17" s="65"/>
      <c r="X17" s="65"/>
      <c r="Y17" s="65"/>
      <c r="Z17" s="65"/>
    </row>
    <row r="18" ht="15.75" hidden="1" customHeight="1">
      <c r="A18" s="1"/>
      <c r="B18" s="1"/>
      <c r="C18" s="1"/>
      <c r="D18" s="1"/>
      <c r="E18" s="1"/>
      <c r="F18" s="1"/>
      <c r="G18" s="1"/>
      <c r="H18" s="1"/>
      <c r="I18" s="1"/>
      <c r="J18" s="65"/>
      <c r="K18" s="65"/>
      <c r="L18" s="65"/>
      <c r="M18" s="1"/>
      <c r="N18" s="1"/>
      <c r="O18" s="65"/>
      <c r="P18" s="65"/>
      <c r="Q18" s="65"/>
      <c r="R18" s="1"/>
      <c r="S18" s="1"/>
      <c r="T18" s="1"/>
      <c r="U18" s="1"/>
      <c r="V18" s="1"/>
      <c r="W18" s="1"/>
      <c r="X18" s="1"/>
      <c r="Y18" s="1"/>
      <c r="Z18" s="1"/>
    </row>
    <row r="19" ht="15.75" hidden="1" customHeight="1">
      <c r="A19" s="1"/>
      <c r="B19" s="1"/>
      <c r="C19" s="1"/>
      <c r="D19" s="1"/>
      <c r="E19" s="1"/>
      <c r="F19" s="1"/>
      <c r="G19" s="1"/>
      <c r="H19" s="1"/>
      <c r="I19" s="65"/>
      <c r="J19" s="65"/>
      <c r="K19" s="65"/>
      <c r="L19" s="65"/>
      <c r="M19" s="1"/>
      <c r="N19" s="65"/>
      <c r="O19" s="65"/>
      <c r="P19" s="65"/>
      <c r="Q19" s="65"/>
      <c r="R19" s="1"/>
      <c r="S19" s="1"/>
      <c r="T19" s="1"/>
      <c r="U19" s="1"/>
      <c r="V19" s="1"/>
      <c r="W19" s="1"/>
      <c r="X19" s="1"/>
      <c r="Y19" s="1"/>
      <c r="Z19" s="1"/>
    </row>
    <row r="20" ht="15.75" hidden="1" customHeight="1">
      <c r="A20" s="1"/>
      <c r="B20" s="189" t="s">
        <v>116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"/>
      <c r="S20" s="1"/>
      <c r="T20" s="1"/>
      <c r="U20" s="1"/>
      <c r="V20" s="1"/>
      <c r="W20" s="1"/>
      <c r="X20" s="1"/>
      <c r="Y20" s="1"/>
      <c r="Z20" s="1"/>
    </row>
    <row r="21" ht="15.75" hidden="1" customHeight="1">
      <c r="A21" s="1"/>
      <c r="B21" s="190" t="s">
        <v>117</v>
      </c>
      <c r="C21" s="191">
        <v>2413.11703</v>
      </c>
      <c r="D21" s="191">
        <v>2503.14296</v>
      </c>
      <c r="E21" s="193">
        <v>2508.45858</v>
      </c>
      <c r="F21" s="194"/>
      <c r="G21" s="194"/>
      <c r="H21" s="193">
        <v>23463.00757</v>
      </c>
      <c r="I21" s="193">
        <v>26827.45867</v>
      </c>
      <c r="J21" s="193">
        <v>27207.61736</v>
      </c>
      <c r="K21" s="194"/>
      <c r="L21" s="194"/>
      <c r="M21" s="195">
        <v>25855.94767</v>
      </c>
      <c r="N21" s="195">
        <v>29331.37072</v>
      </c>
      <c r="O21" s="193">
        <v>29810.04134</v>
      </c>
      <c r="P21" s="65"/>
      <c r="Q21" s="65"/>
      <c r="R21" s="1"/>
      <c r="S21" s="1"/>
      <c r="T21" s="1"/>
      <c r="U21" s="1"/>
      <c r="V21" s="1"/>
      <c r="W21" s="1"/>
      <c r="X21" s="1"/>
      <c r="Y21" s="1"/>
      <c r="Z21" s="1"/>
    </row>
    <row r="22" ht="15.75" hidden="1" customHeight="1">
      <c r="A22" s="1"/>
      <c r="B22" s="196" t="s">
        <v>119</v>
      </c>
      <c r="C22" s="197">
        <v>4821.42324</v>
      </c>
      <c r="D22" s="197">
        <v>4724.20275</v>
      </c>
      <c r="E22" s="197">
        <v>5241.93806</v>
      </c>
      <c r="F22" s="194"/>
      <c r="G22" s="194"/>
      <c r="H22" s="193">
        <v>48434.57204</v>
      </c>
      <c r="I22" s="193">
        <v>49555.65119</v>
      </c>
      <c r="J22" s="197">
        <v>55317.22222</v>
      </c>
      <c r="K22" s="194"/>
      <c r="L22" s="194"/>
      <c r="M22" s="195">
        <v>52948.62983</v>
      </c>
      <c r="N22" s="195">
        <v>54543.67897</v>
      </c>
      <c r="O22" s="197">
        <v>60572.37699</v>
      </c>
      <c r="P22" s="65"/>
      <c r="Q22" s="65"/>
      <c r="R22" s="1"/>
      <c r="S22" s="1"/>
      <c r="T22" s="1"/>
      <c r="U22" s="1"/>
      <c r="V22" s="1"/>
      <c r="W22" s="1"/>
      <c r="X22" s="1"/>
      <c r="Y22" s="1"/>
      <c r="Z22" s="1"/>
    </row>
    <row r="23" ht="15.75" hidden="1" customHeight="1">
      <c r="A23" s="1"/>
      <c r="B23" s="196" t="s">
        <v>110</v>
      </c>
      <c r="C23" s="197">
        <v>300.95944</v>
      </c>
      <c r="D23" s="198">
        <v>361.41481</v>
      </c>
      <c r="E23" s="197">
        <v>388.54611</v>
      </c>
      <c r="F23" s="194"/>
      <c r="G23" s="194"/>
      <c r="H23" s="197">
        <v>3341.91123</v>
      </c>
      <c r="I23" s="197">
        <v>3704.1727</v>
      </c>
      <c r="J23" s="197">
        <v>3807.28526</v>
      </c>
      <c r="K23" s="194"/>
      <c r="L23" s="194"/>
      <c r="M23" s="195">
        <v>3583.18688</v>
      </c>
      <c r="N23" s="195">
        <v>4065.58751</v>
      </c>
      <c r="O23" s="197">
        <v>4188.97137</v>
      </c>
      <c r="P23" s="199"/>
      <c r="Q23" s="65"/>
      <c r="R23" s="1"/>
      <c r="S23" s="1"/>
      <c r="T23" s="1"/>
      <c r="U23" s="1"/>
      <c r="V23" s="1"/>
      <c r="W23" s="1"/>
      <c r="X23" s="1"/>
      <c r="Y23" s="1"/>
      <c r="Z23" s="1"/>
    </row>
    <row r="24" ht="15.75" hidden="1" customHeight="1">
      <c r="A24" s="1"/>
      <c r="B24" s="196" t="s">
        <v>120</v>
      </c>
      <c r="C24" s="195">
        <v>0.0</v>
      </c>
      <c r="D24" s="195">
        <v>0.0</v>
      </c>
      <c r="E24" s="195">
        <v>0.0</v>
      </c>
      <c r="F24" s="194"/>
      <c r="G24" s="194"/>
      <c r="H24" s="195">
        <v>0.0</v>
      </c>
      <c r="I24" s="195">
        <v>0.0</v>
      </c>
      <c r="J24" s="195">
        <v>0.0</v>
      </c>
      <c r="K24" s="194"/>
      <c r="L24" s="194"/>
      <c r="M24" s="195">
        <v>0.0</v>
      </c>
      <c r="N24" s="195">
        <v>0.0</v>
      </c>
      <c r="O24" s="195">
        <v>0.0</v>
      </c>
      <c r="P24" s="65"/>
      <c r="Q24" s="65"/>
      <c r="R24" s="1"/>
      <c r="S24" s="1"/>
      <c r="T24" s="1"/>
      <c r="U24" s="1"/>
      <c r="V24" s="1"/>
      <c r="W24" s="1"/>
      <c r="X24" s="1"/>
      <c r="Y24" s="1"/>
      <c r="Z24" s="1"/>
    </row>
    <row r="25" ht="15.75" hidden="1" customHeight="1">
      <c r="A25" s="1"/>
      <c r="B25" s="65"/>
      <c r="C25" s="200">
        <f t="shared" ref="C25:E25" si="31">SUM(C21:C24)</f>
        <v>7535.49971</v>
      </c>
      <c r="D25" s="200">
        <f t="shared" si="31"/>
        <v>7588.76052</v>
      </c>
      <c r="E25" s="200">
        <f t="shared" si="31"/>
        <v>8138.94275</v>
      </c>
      <c r="F25" s="192"/>
      <c r="G25" s="192"/>
      <c r="H25" s="200">
        <f t="shared" ref="H25:J25" si="32">SUM(H21:H24)</f>
        <v>75239.49084</v>
      </c>
      <c r="I25" s="200">
        <f t="shared" si="32"/>
        <v>80087.28256</v>
      </c>
      <c r="J25" s="200">
        <f t="shared" si="32"/>
        <v>86332.12484</v>
      </c>
      <c r="K25" s="65"/>
      <c r="L25" s="65"/>
      <c r="M25" s="200">
        <f t="shared" ref="M25:O25" si="33">SUM(M21:M24)</f>
        <v>82387.76438</v>
      </c>
      <c r="N25" s="200">
        <f t="shared" si="33"/>
        <v>87940.6372</v>
      </c>
      <c r="O25" s="200">
        <f t="shared" si="33"/>
        <v>94571.3897</v>
      </c>
      <c r="P25" s="65"/>
      <c r="Q25" s="65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201"/>
      <c r="D26" s="201"/>
      <c r="E26" s="201"/>
      <c r="F26" s="201"/>
      <c r="G26" s="201"/>
      <c r="H26" s="202"/>
      <c r="I26" s="203"/>
      <c r="J26" s="203"/>
      <c r="K26" s="203"/>
      <c r="L26" s="203"/>
      <c r="M26" s="202"/>
      <c r="N26" s="203"/>
      <c r="O26" s="20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4" t="s">
        <v>122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6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3"/>
      <c r="D28" s="3"/>
      <c r="E28" s="3"/>
      <c r="F28" s="3"/>
      <c r="G28" s="3"/>
      <c r="H28" s="3"/>
      <c r="I28" s="3"/>
      <c r="J28" s="1"/>
      <c r="K28" s="207"/>
      <c r="L28" s="1"/>
      <c r="M28" s="3"/>
      <c r="N28" s="3"/>
      <c r="O28" s="1"/>
      <c r="P28" s="207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08" t="s">
        <v>8</v>
      </c>
      <c r="C29" s="25" t="s">
        <v>123</v>
      </c>
      <c r="D29" s="27"/>
      <c r="E29" s="27"/>
      <c r="F29" s="27"/>
      <c r="G29" s="28"/>
      <c r="H29" s="25" t="s">
        <v>124</v>
      </c>
      <c r="I29" s="27"/>
      <c r="J29" s="27"/>
      <c r="K29" s="27"/>
      <c r="L29" s="28"/>
      <c r="M29" s="209" t="s">
        <v>3</v>
      </c>
      <c r="R29" s="1"/>
      <c r="S29" s="1"/>
      <c r="T29" s="1"/>
      <c r="U29" s="1"/>
      <c r="V29" s="1"/>
      <c r="W29" s="1"/>
      <c r="X29" s="1"/>
      <c r="Y29" s="1"/>
      <c r="Z29" s="1"/>
    </row>
    <row r="30" ht="34.5" customHeight="1">
      <c r="A30" s="1"/>
      <c r="C30" s="39" t="s">
        <v>27</v>
      </c>
      <c r="D30" s="41" t="s">
        <v>30</v>
      </c>
      <c r="E30" s="41" t="s">
        <v>31</v>
      </c>
      <c r="F30" s="41" t="s">
        <v>32</v>
      </c>
      <c r="G30" s="43" t="s">
        <v>34</v>
      </c>
      <c r="H30" s="39" t="s">
        <v>27</v>
      </c>
      <c r="I30" s="41" t="s">
        <v>30</v>
      </c>
      <c r="J30" s="41" t="s">
        <v>31</v>
      </c>
      <c r="K30" s="41" t="s">
        <v>32</v>
      </c>
      <c r="L30" s="43" t="s">
        <v>34</v>
      </c>
      <c r="M30" s="39" t="s">
        <v>27</v>
      </c>
      <c r="N30" s="41" t="s">
        <v>30</v>
      </c>
      <c r="O30" s="41" t="s">
        <v>36</v>
      </c>
      <c r="P30" s="41" t="s">
        <v>38</v>
      </c>
      <c r="Q30" s="43" t="s">
        <v>39</v>
      </c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10" t="s">
        <v>33</v>
      </c>
      <c r="C31" s="211">
        <f>'Quadro DRE Apresentação'!C31</f>
        <v>2002.9395</v>
      </c>
      <c r="D31" s="211">
        <f>'Quadro DRE Apresentação'!D31</f>
        <v>2323.12087</v>
      </c>
      <c r="E31" s="211">
        <f>'Quadro DRE Apresentação'!E31</f>
        <v>2210.53202</v>
      </c>
      <c r="F31" s="212">
        <f>(E31/D31-1)</f>
        <v>-0.04846448218</v>
      </c>
      <c r="G31" s="213">
        <f>(E31/C31-1)</f>
        <v>0.1036439293</v>
      </c>
      <c r="H31" s="214">
        <f>'Quadro DRE Apresentação'!H31</f>
        <v>12146.75097</v>
      </c>
      <c r="I31" s="214">
        <f>'Quadro DRE Apresentação'!I31</f>
        <v>13654.67301</v>
      </c>
      <c r="J31" s="214">
        <f>'Quadro DRE Apresentação'!J31</f>
        <v>13998.19279</v>
      </c>
      <c r="K31" s="212">
        <f>(J31/I31-1)</f>
        <v>0.02515767164</v>
      </c>
      <c r="L31" s="213">
        <f>(J31/H31-1)</f>
        <v>0.1524228022</v>
      </c>
      <c r="M31" s="214">
        <f>'Quadro DRE Apresentação'!M31</f>
        <v>24854.461</v>
      </c>
      <c r="N31" s="214">
        <f>'Quadro DRE Apresentação'!N31</f>
        <v>28707.95356</v>
      </c>
      <c r="O31" s="214">
        <f>'Quadro DRE Apresentação'!O31</f>
        <v>29099.40367</v>
      </c>
      <c r="P31" s="221">
        <f>(O31/N31-1)</f>
        <v>0.01363559786</v>
      </c>
      <c r="Q31" s="212">
        <f>(O31/M31-1)</f>
        <v>0.1707919826</v>
      </c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222" t="s">
        <v>100</v>
      </c>
      <c r="C32" s="223">
        <f t="shared" ref="C32:E32" si="34">C31/C40</f>
        <v>0.8106949542</v>
      </c>
      <c r="D32" s="224">
        <f t="shared" si="34"/>
        <v>0.7770440518</v>
      </c>
      <c r="E32" s="224">
        <f t="shared" si="34"/>
        <v>0.729491532</v>
      </c>
      <c r="F32" s="224">
        <f>E32-D32</f>
        <v>-0.04755251974</v>
      </c>
      <c r="G32" s="225">
        <f>E32-C32</f>
        <v>-0.08120342218</v>
      </c>
      <c r="H32" s="224">
        <f t="shared" ref="H32:J32" si="35">H31/H40</f>
        <v>0.8286847966</v>
      </c>
      <c r="I32" s="224">
        <f t="shared" si="35"/>
        <v>0.7931229895</v>
      </c>
      <c r="J32" s="224">
        <f t="shared" si="35"/>
        <v>0.8028246401</v>
      </c>
      <c r="K32" s="224">
        <f>J32-I32</f>
        <v>0.00970165066</v>
      </c>
      <c r="L32" s="225">
        <f>J32-H32</f>
        <v>-0.02586015648</v>
      </c>
      <c r="M32" s="224">
        <f t="shared" ref="M32:O32" si="36">M31/M40</f>
        <v>0.8323677131</v>
      </c>
      <c r="N32" s="224">
        <f t="shared" si="36"/>
        <v>0.8081949718</v>
      </c>
      <c r="O32" s="224">
        <f t="shared" si="36"/>
        <v>0.8056559774</v>
      </c>
      <c r="P32" s="224">
        <f>O32-N32</f>
        <v>-0.00253899436</v>
      </c>
      <c r="Q32" s="224">
        <f>O32-M32</f>
        <v>-0.0267117357</v>
      </c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10" t="s">
        <v>49</v>
      </c>
      <c r="C33" s="211">
        <f>'Quadro DRE Apresentação'!C11</f>
        <v>4085.0554</v>
      </c>
      <c r="D33" s="211">
        <f>'Quadro DRE Apresentação'!D11</f>
        <v>4473.08572</v>
      </c>
      <c r="E33" s="211">
        <f>'Quadro DRE Apresentação'!E11</f>
        <v>4974.94885</v>
      </c>
      <c r="F33" s="212">
        <f>(E33/D33-1)</f>
        <v>0.1121961799</v>
      </c>
      <c r="G33" s="213">
        <f>(E33/C33-1)</f>
        <v>0.2178412195</v>
      </c>
      <c r="H33" s="214">
        <f>'Quadro DRE Apresentação'!H11</f>
        <v>28475.66703</v>
      </c>
      <c r="I33" s="214">
        <f>'Quadro DRE Apresentação'!I11</f>
        <v>30777.92065</v>
      </c>
      <c r="J33" s="214">
        <f>'Quadro DRE Apresentação'!J11</f>
        <v>32398.07203</v>
      </c>
      <c r="K33" s="212">
        <f>(J33/I33-1)</f>
        <v>0.05264005319</v>
      </c>
      <c r="L33" s="213">
        <f>(J33/H33-1)</f>
        <v>0.1377458514</v>
      </c>
      <c r="M33" s="214">
        <f>'Quadro DRE Apresentação'!M11</f>
        <v>49087.27433</v>
      </c>
      <c r="N33" s="214">
        <f>'Quadro DRE Apresentação'!N11</f>
        <v>54393.34811</v>
      </c>
      <c r="O33" s="214">
        <f>'Quadro DRE Apresentação'!O11</f>
        <v>55712.14758</v>
      </c>
      <c r="P33" s="221">
        <f>(O33/N33-1)</f>
        <v>0.02424560201</v>
      </c>
      <c r="Q33" s="212">
        <f>(O33/M33-1)</f>
        <v>0.1349611145</v>
      </c>
      <c r="R33" s="1"/>
      <c r="S33" s="64"/>
      <c r="T33" s="1"/>
      <c r="U33" s="1"/>
      <c r="V33" s="1"/>
      <c r="W33" s="1"/>
      <c r="X33" s="1"/>
      <c r="Y33" s="1"/>
      <c r="Z33" s="1"/>
    </row>
    <row r="34" ht="19.5" customHeight="1">
      <c r="A34" s="1"/>
      <c r="B34" s="222" t="s">
        <v>100</v>
      </c>
      <c r="C34" s="223">
        <f t="shared" ref="C34:E34" si="37">C33/C41</f>
        <v>0.7807496139</v>
      </c>
      <c r="D34" s="224">
        <f t="shared" si="37"/>
        <v>0.8122927859</v>
      </c>
      <c r="E34" s="224">
        <f t="shared" si="37"/>
        <v>0.8427599844</v>
      </c>
      <c r="F34" s="224">
        <f>E34-D34</f>
        <v>0.03046719853</v>
      </c>
      <c r="G34" s="225">
        <f>E34-C34</f>
        <v>0.06201037053</v>
      </c>
      <c r="H34" s="224">
        <f t="shared" ref="H34:J34" si="38">H33/H41</f>
        <v>0.8259293088</v>
      </c>
      <c r="I34" s="224">
        <f t="shared" si="38"/>
        <v>0.817342179</v>
      </c>
      <c r="J34" s="224">
        <f t="shared" si="38"/>
        <v>0.8422163439</v>
      </c>
      <c r="K34" s="224">
        <f>J34-I34</f>
        <v>0.02487416493</v>
      </c>
      <c r="L34" s="225">
        <f>J34-H34</f>
        <v>0.01628703513</v>
      </c>
      <c r="M34" s="224">
        <f t="shared" ref="M34:O34" si="39">M33/M41</f>
        <v>0.8103142323</v>
      </c>
      <c r="N34" s="224">
        <f t="shared" si="39"/>
        <v>0.8262382509</v>
      </c>
      <c r="O34" s="224">
        <f t="shared" si="39"/>
        <v>0.8295356844</v>
      </c>
      <c r="P34" s="224">
        <f>O34-N34</f>
        <v>0.003297433459</v>
      </c>
      <c r="Q34" s="224">
        <f>O34-M34</f>
        <v>0.01922145202</v>
      </c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10" t="s">
        <v>110</v>
      </c>
      <c r="C35" s="211">
        <f>'Quadro DRE Apresentação'!C95</f>
        <v>141.44245</v>
      </c>
      <c r="D35" s="211">
        <f>'Quadro DRE Apresentação'!D95</f>
        <v>193.34632</v>
      </c>
      <c r="E35" s="211">
        <f>'Quadro DRE Apresentação'!E95</f>
        <v>260.07537</v>
      </c>
      <c r="F35" s="212">
        <f>(E35/D35-1)</f>
        <v>0.3451270756</v>
      </c>
      <c r="G35" s="213">
        <f>(E35/C35-1)</f>
        <v>0.83873632</v>
      </c>
      <c r="H35" s="214">
        <f>'Quadro DRE Apresentação'!H95</f>
        <v>673.57758</v>
      </c>
      <c r="I35" s="214">
        <f>'Quadro DRE Apresentação'!I95</f>
        <v>746.14484</v>
      </c>
      <c r="J35" s="214">
        <f>'Quadro DRE Apresentação'!J95</f>
        <v>1187.84668</v>
      </c>
      <c r="K35" s="212">
        <f>(J35/I35-1)</f>
        <v>0.5919786834</v>
      </c>
      <c r="L35" s="213">
        <f>(J35/H35-1)</f>
        <v>0.7634890401</v>
      </c>
      <c r="M35" s="214">
        <f>'Quadro DRE Apresentação'!M95</f>
        <v>1048.98573</v>
      </c>
      <c r="N35" s="214">
        <f>'Quadro DRE Apresentação'!N95</f>
        <v>1521.58201</v>
      </c>
      <c r="O35" s="214">
        <f>'Quadro DRE Apresentação'!O95</f>
        <v>1950.76893</v>
      </c>
      <c r="P35" s="221">
        <f>((O35/N35)-1)</f>
        <v>0.2820662424</v>
      </c>
      <c r="Q35" s="212">
        <f>(O35/M35-1)</f>
        <v>0.859671561</v>
      </c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9" t="s">
        <v>100</v>
      </c>
      <c r="C36" s="224">
        <f t="shared" ref="C36:E36" si="40">C35/C42</f>
        <v>0.3526806821</v>
      </c>
      <c r="D36" s="224">
        <f t="shared" si="40"/>
        <v>0.4332875222</v>
      </c>
      <c r="E36" s="224">
        <f t="shared" si="40"/>
        <v>0.5427891511</v>
      </c>
      <c r="F36" s="224">
        <f>E36-D36</f>
        <v>0.1095016289</v>
      </c>
      <c r="G36" s="225">
        <f>E36-C36</f>
        <v>0.190108469</v>
      </c>
      <c r="H36" s="224">
        <f t="shared" ref="H36:J36" si="41">H35/H42</f>
        <v>0.2974830086</v>
      </c>
      <c r="I36" s="224">
        <f t="shared" si="41"/>
        <v>0.2834904014</v>
      </c>
      <c r="J36" s="224">
        <f t="shared" si="41"/>
        <v>0.4026773008</v>
      </c>
      <c r="K36" s="224">
        <f>J36-I36</f>
        <v>0.1191868994</v>
      </c>
      <c r="L36" s="225">
        <f>J36-H36</f>
        <v>0.1051942922</v>
      </c>
      <c r="M36" s="224">
        <f t="shared" ref="M36:O36" si="42">M35/M42</f>
        <v>0.3520488009</v>
      </c>
      <c r="N36" s="224">
        <f t="shared" si="42"/>
        <v>0.3835366678</v>
      </c>
      <c r="O36" s="224">
        <f t="shared" si="42"/>
        <v>0.3782960311</v>
      </c>
      <c r="P36" s="224">
        <f>O36-N36</f>
        <v>-0.005240636727</v>
      </c>
      <c r="Q36" s="224">
        <f>O36-M36</f>
        <v>0.02624723021</v>
      </c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252" t="s">
        <v>70</v>
      </c>
      <c r="C37" s="253">
        <f t="shared" ref="C37:E37" si="43">SUM(C31:C35)</f>
        <v>6231.028795</v>
      </c>
      <c r="D37" s="254">
        <f t="shared" si="43"/>
        <v>6991.142247</v>
      </c>
      <c r="E37" s="254">
        <f t="shared" si="43"/>
        <v>7447.128492</v>
      </c>
      <c r="F37" s="255">
        <f>E37/D37-1</f>
        <v>0.06522342538</v>
      </c>
      <c r="G37" s="256">
        <f>E37/C37-1</f>
        <v>0.1951683642</v>
      </c>
      <c r="H37" s="254">
        <f t="shared" ref="H37:J37" si="44">SUM(H31:H35)</f>
        <v>41297.65019</v>
      </c>
      <c r="I37" s="254">
        <f t="shared" si="44"/>
        <v>45180.34897</v>
      </c>
      <c r="J37" s="254">
        <f t="shared" si="44"/>
        <v>47585.75654</v>
      </c>
      <c r="K37" s="255">
        <f>J37/I37-1</f>
        <v>0.05324012831</v>
      </c>
      <c r="L37" s="256">
        <f>J37/H37-1</f>
        <v>0.1522630541</v>
      </c>
      <c r="M37" s="254">
        <f t="shared" ref="M37:O37" si="45">SUM(M31:M35)</f>
        <v>74992.36374</v>
      </c>
      <c r="N37" s="254">
        <f t="shared" si="45"/>
        <v>84624.51811</v>
      </c>
      <c r="O37" s="254">
        <f t="shared" si="45"/>
        <v>86763.95537</v>
      </c>
      <c r="P37" s="260">
        <f>O37/N37-1</f>
        <v>0.02528152959</v>
      </c>
      <c r="Q37" s="260">
        <f>O37/M37-1</f>
        <v>0.1569705373</v>
      </c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61"/>
      <c r="C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63" t="s">
        <v>129</v>
      </c>
      <c r="C39" s="3"/>
      <c r="D39" s="3"/>
      <c r="E39" s="3"/>
      <c r="F39" s="3"/>
      <c r="G39" s="3"/>
      <c r="H39" s="3"/>
      <c r="I39" s="3"/>
      <c r="J39" s="1"/>
      <c r="K39" s="1"/>
      <c r="L39" s="1"/>
      <c r="M39" s="3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65" t="s">
        <v>33</v>
      </c>
      <c r="C40" s="267">
        <f>'Quadro DRE Apresentação'!C27</f>
        <v>2470.64508</v>
      </c>
      <c r="D40" s="267">
        <f>'Quadro DRE Apresentação'!D27</f>
        <v>2989.69005</v>
      </c>
      <c r="E40" s="267">
        <f>'Quadro DRE Apresentação'!E27</f>
        <v>3030.23671</v>
      </c>
      <c r="F40" s="268"/>
      <c r="G40" s="268"/>
      <c r="H40" s="267">
        <f>'Quadro DRE Apresentação'!H27</f>
        <v>14657.86632</v>
      </c>
      <c r="I40" s="267">
        <f>'Quadro DRE Apresentação'!I27</f>
        <v>17216.33743</v>
      </c>
      <c r="J40" s="267">
        <f>'Quadro DRE Apresentação'!J27</f>
        <v>17436.17733</v>
      </c>
      <c r="K40" s="268"/>
      <c r="L40" s="268"/>
      <c r="M40" s="267">
        <f>'Quadro DRE Apresentação'!M27</f>
        <v>29859.95325</v>
      </c>
      <c r="N40" s="267">
        <f>'Quadro DRE Apresentação'!N27</f>
        <v>35521.0742</v>
      </c>
      <c r="O40" s="267">
        <f>'Quadro DRE Apresentação'!O27</f>
        <v>36118.89502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69" t="s">
        <v>119</v>
      </c>
      <c r="C41" s="267">
        <f>'Quadro DRE Apresentação'!C7</f>
        <v>5232.22212</v>
      </c>
      <c r="D41" s="267">
        <f>'Quadro DRE Apresentação'!D7</f>
        <v>5506.74067</v>
      </c>
      <c r="E41" s="267">
        <f>'Quadro DRE Apresentação'!E7</f>
        <v>5903.16216</v>
      </c>
      <c r="F41" s="268"/>
      <c r="G41" s="268"/>
      <c r="H41" s="267">
        <f>'Quadro DRE Apresentação'!H7</f>
        <v>34477.1238</v>
      </c>
      <c r="I41" s="267">
        <f>'Quadro DRE Apresentação'!I7</f>
        <v>37656.10223</v>
      </c>
      <c r="J41" s="267">
        <f>'Quadro DRE Apresentação'!J7</f>
        <v>38467.63633</v>
      </c>
      <c r="K41" s="268"/>
      <c r="L41" s="268"/>
      <c r="M41" s="267">
        <f>'Quadro DRE Apresentação'!M7</f>
        <v>60578.07252</v>
      </c>
      <c r="N41" s="267">
        <f>'Quadro DRE Apresentação'!N7</f>
        <v>65832.52234</v>
      </c>
      <c r="O41" s="267">
        <f>'Quadro DRE Apresentação'!O7</f>
        <v>67160.64014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69" t="s">
        <v>130</v>
      </c>
      <c r="C42" s="267">
        <f>'Quadro DRE Apresentação'!C69+'Quadro DRE Apresentação'!C91</f>
        <v>401.04961</v>
      </c>
      <c r="D42" s="267">
        <f>'Quadro DRE Apresentação'!D69+'Quadro DRE Apresentação'!D91</f>
        <v>446.23099</v>
      </c>
      <c r="E42" s="267">
        <f>'Quadro DRE Apresentação'!E69+'Quadro DRE Apresentação'!E91</f>
        <v>479.14622</v>
      </c>
      <c r="F42" s="268"/>
      <c r="G42" s="268"/>
      <c r="H42" s="272">
        <f>+'Quadro DRE Apresentação'!H91</f>
        <v>2264.25564</v>
      </c>
      <c r="I42" s="272">
        <f>'Quadro DRE Apresentação'!I91</f>
        <v>2631.99331</v>
      </c>
      <c r="J42" s="272">
        <f>'Quadro DRE Apresentação'!J91</f>
        <v>2949.87246</v>
      </c>
      <c r="K42" s="268"/>
      <c r="L42" s="268"/>
      <c r="M42" s="267">
        <f>'Quadro DRE Consolidado'!M45</f>
        <v>2979.66</v>
      </c>
      <c r="N42" s="267">
        <f>'Quadro DRE Consolidado'!N45</f>
        <v>3967.24</v>
      </c>
      <c r="O42" s="267">
        <f>'Quadro DRE Apresentação'!O69+'Quadro DRE Apresentação'!O91</f>
        <v>5156.72587</v>
      </c>
      <c r="P42" s="274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69" t="s">
        <v>120</v>
      </c>
      <c r="C43" s="267">
        <v>0.0</v>
      </c>
      <c r="D43" s="267">
        <v>0.0</v>
      </c>
      <c r="E43" s="267">
        <v>0.0</v>
      </c>
      <c r="F43" s="268"/>
      <c r="G43" s="268"/>
      <c r="H43" s="272">
        <f>'Quadro DRE Consolidado'!H6</f>
        <v>0</v>
      </c>
      <c r="I43" s="267">
        <v>0.0</v>
      </c>
      <c r="J43" s="267">
        <v>0.0</v>
      </c>
      <c r="K43" s="268"/>
      <c r="L43" s="268"/>
      <c r="M43" s="267">
        <f>'Quadro DRE Consolidado'!M6</f>
        <v>0</v>
      </c>
      <c r="N43" s="267">
        <f t="shared" ref="N43:O43" si="46">N24</f>
        <v>0</v>
      </c>
      <c r="O43" s="267">
        <f t="shared" si="46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279">
        <f t="shared" ref="C44:E44" si="47">SUM(C40:C43)</f>
        <v>8103.91681</v>
      </c>
      <c r="D44" s="279">
        <f t="shared" si="47"/>
        <v>8942.66171</v>
      </c>
      <c r="E44" s="279">
        <f t="shared" si="47"/>
        <v>9412.54509</v>
      </c>
      <c r="F44" s="268"/>
      <c r="G44" s="268"/>
      <c r="H44" s="279">
        <f t="shared" ref="H44:J44" si="48">SUM(H40:H43)</f>
        <v>51399.24576</v>
      </c>
      <c r="I44" s="279">
        <f t="shared" si="48"/>
        <v>57504.43297</v>
      </c>
      <c r="J44" s="279">
        <f t="shared" si="48"/>
        <v>58853.68612</v>
      </c>
      <c r="K44" s="268"/>
      <c r="L44" s="268"/>
      <c r="M44" s="279">
        <f t="shared" ref="M44:O44" si="49">SUM(M40:M43)</f>
        <v>93417.68577</v>
      </c>
      <c r="N44" s="279">
        <f t="shared" si="49"/>
        <v>105320.8365</v>
      </c>
      <c r="O44" s="279">
        <f t="shared" si="49"/>
        <v>108436.261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3"/>
      <c r="D45" s="3"/>
      <c r="E45" s="3"/>
      <c r="F45" s="3"/>
      <c r="G45" s="3"/>
      <c r="H45" s="3"/>
      <c r="I45" s="3"/>
      <c r="J45" s="1"/>
      <c r="K45" s="1"/>
      <c r="L45" s="1"/>
      <c r="M45" s="3"/>
      <c r="N45" s="3"/>
      <c r="O45" s="1"/>
      <c r="P45" s="274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hidden="1" customHeight="1">
      <c r="A46" s="1"/>
      <c r="B46" s="282" t="s">
        <v>131</v>
      </c>
      <c r="C46" s="3"/>
      <c r="D46" s="3"/>
      <c r="E46" s="3"/>
      <c r="F46" s="3"/>
      <c r="G46" s="3"/>
      <c r="H46" s="3"/>
      <c r="I46" s="3"/>
      <c r="J46" s="1"/>
      <c r="K46" s="1"/>
      <c r="L46" s="1"/>
      <c r="M46" s="3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hidden="1" customHeight="1">
      <c r="A47" s="1"/>
      <c r="B47" s="1" t="s">
        <v>132</v>
      </c>
      <c r="C47" s="244" t="str">
        <f>'Posto Esteio senha_capital OK'!$D$56</f>
        <v>#REF!</v>
      </c>
      <c r="D47" s="244" t="str">
        <f>'Posto Esteio senha_capital OK'!$D$62</f>
        <v>#REF!</v>
      </c>
      <c r="E47" s="244" t="str">
        <f>'Posto Esteio senha_capital OK'!$D$68</f>
        <v>#REF!</v>
      </c>
      <c r="F47" s="3"/>
      <c r="G47" s="3"/>
      <c r="H47" s="285" t="str">
        <f>'Posto Esteio senha_capital OK'!$Q$56</f>
        <v>#REF!</v>
      </c>
      <c r="I47" s="285" t="str">
        <f>'Posto Esteio senha_capital OK'!$Q$62</f>
        <v>#REF!</v>
      </c>
      <c r="J47" s="286" t="str">
        <f>'Posto Esteio senha_capital OK'!$Q$68</f>
        <v>#REF!</v>
      </c>
      <c r="K47" s="1"/>
      <c r="L47" s="1"/>
      <c r="M47" s="244" t="str">
        <f>'Posto Esteio senha_capital OK'!$P$56</f>
        <v>#REF!</v>
      </c>
      <c r="N47" s="244" t="str">
        <f>'Posto Esteio senha_capital OK'!$P$62</f>
        <v>#REF!</v>
      </c>
      <c r="O47" s="274" t="str">
        <f>'Posto Esteio senha_capital OK'!$P$68</f>
        <v>#REF!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hidden="1" customHeight="1">
      <c r="A48" s="1"/>
      <c r="B48" s="1" t="s">
        <v>133</v>
      </c>
      <c r="C48" s="244" t="str">
        <f>'Posto Curitiba_senha capital OK'!$D$60</f>
        <v>#REF!</v>
      </c>
      <c r="D48" s="244" t="str">
        <f>'Posto Curitiba_senha capital OK'!$D$66</f>
        <v>#REF!</v>
      </c>
      <c r="E48" s="244" t="str">
        <f>'Posto Curitiba_senha capital OK'!$D$72</f>
        <v>#REF!</v>
      </c>
      <c r="F48" s="244"/>
      <c r="G48" s="3"/>
      <c r="H48" s="285" t="str">
        <f>'Posto Curitiba_senha capital OK'!$Q$60</f>
        <v>#REF!</v>
      </c>
      <c r="I48" s="285" t="str">
        <f>'Posto Curitiba_senha capital OK'!$Q$66</f>
        <v>#REF!</v>
      </c>
      <c r="J48" s="286" t="str">
        <f>'Posto Curitiba_senha capital OK'!$Q$72</f>
        <v>#REF!</v>
      </c>
      <c r="K48" s="1"/>
      <c r="L48" s="1"/>
      <c r="M48" s="244" t="str">
        <f>'Posto Curitiba_senha capital OK'!$P$60</f>
        <v>#REF!</v>
      </c>
      <c r="N48" s="244" t="str">
        <f>'Posto Curitiba_senha capital OK'!$P$66</f>
        <v>#REF!</v>
      </c>
      <c r="O48" s="274" t="str">
        <f>'Posto Curitiba_senha capital OK'!$P$72</f>
        <v>#REF!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hidden="1" customHeight="1">
      <c r="A49" s="1"/>
      <c r="B49" s="1"/>
      <c r="C49" s="3"/>
      <c r="D49" s="3"/>
      <c r="E49" s="3"/>
      <c r="F49" s="3"/>
      <c r="G49" s="3"/>
      <c r="H49" s="287" t="s">
        <v>134</v>
      </c>
      <c r="I49" s="205"/>
      <c r="J49" s="206"/>
      <c r="K49" s="1"/>
      <c r="L49" s="1"/>
      <c r="M49" s="3"/>
      <c r="N49" s="3"/>
      <c r="O49" s="1"/>
      <c r="P49" s="274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3"/>
      <c r="D50" s="3"/>
      <c r="E50" s="3"/>
      <c r="F50" s="3"/>
      <c r="G50" s="3"/>
      <c r="H50" s="3"/>
      <c r="I50" s="3"/>
      <c r="J50" s="1"/>
      <c r="K50" s="1"/>
      <c r="L50" s="1"/>
      <c r="M50" s="3"/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88" t="s">
        <v>135</v>
      </c>
      <c r="C51" s="3"/>
      <c r="D51" s="3"/>
      <c r="E51" s="3"/>
      <c r="F51" s="3"/>
      <c r="G51" s="3"/>
      <c r="H51" s="289"/>
      <c r="I51" s="3"/>
      <c r="J51" s="1"/>
      <c r="K51" s="1"/>
      <c r="L51" s="1"/>
      <c r="M51" s="3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3"/>
      <c r="D52" s="3"/>
      <c r="E52" s="3"/>
      <c r="F52" s="244"/>
      <c r="G52" s="3"/>
      <c r="H52" s="289"/>
      <c r="I52" s="3"/>
      <c r="J52" s="1"/>
      <c r="K52" s="1"/>
      <c r="L52" s="1"/>
      <c r="M52" s="3"/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90" t="s">
        <v>136</v>
      </c>
      <c r="F53" s="3"/>
      <c r="G53" s="3"/>
      <c r="H53" s="3"/>
      <c r="I53" s="3"/>
      <c r="J53" s="1"/>
      <c r="K53" s="1"/>
      <c r="L53" s="1"/>
      <c r="M53" s="3"/>
      <c r="N53" s="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/>
      <c r="B54" s="291" t="s">
        <v>137</v>
      </c>
      <c r="C54" s="291" t="s">
        <v>138</v>
      </c>
      <c r="D54" s="291" t="s">
        <v>36</v>
      </c>
      <c r="E54" s="291" t="s">
        <v>38</v>
      </c>
      <c r="F54" s="3"/>
      <c r="G54" s="2"/>
      <c r="H54" s="3"/>
      <c r="I54" s="3"/>
      <c r="J54" s="1"/>
      <c r="K54" s="1"/>
      <c r="L54" s="1"/>
      <c r="M54" s="3"/>
      <c r="N54" s="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293" t="s">
        <v>140</v>
      </c>
      <c r="C55" s="296">
        <f t="shared" ref="C55:D55" si="50">C56+C57</f>
        <v>85746.196</v>
      </c>
      <c r="D55" s="296">
        <f t="shared" si="50"/>
        <v>87312.634</v>
      </c>
      <c r="E55" s="299">
        <f t="shared" ref="E55:E57" si="51">D55/C55-1</f>
        <v>0.01826830895</v>
      </c>
      <c r="F55" s="1" t="s">
        <v>141</v>
      </c>
      <c r="G55" s="1"/>
      <c r="H55" s="1"/>
      <c r="I55" s="1"/>
      <c r="J55" s="1"/>
      <c r="K55" s="1"/>
      <c r="L55" s="1"/>
      <c r="M55" s="3"/>
      <c r="N55" s="3"/>
      <c r="O55" s="30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293" t="s">
        <v>142</v>
      </c>
      <c r="C56" s="296">
        <v>84196.078</v>
      </c>
      <c r="D56" s="296">
        <v>85439.867</v>
      </c>
      <c r="E56" s="302">
        <f t="shared" si="51"/>
        <v>0.01477252895</v>
      </c>
      <c r="F56" s="1"/>
      <c r="G56" s="1"/>
      <c r="H56" s="1"/>
      <c r="I56" s="1"/>
      <c r="J56" s="1"/>
      <c r="K56" s="1"/>
      <c r="L56" s="1"/>
      <c r="M56" s="3"/>
      <c r="N56" s="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303" t="s">
        <v>110</v>
      </c>
      <c r="C57" s="296">
        <v>1550.118</v>
      </c>
      <c r="D57" s="304">
        <v>1872.767</v>
      </c>
      <c r="E57" s="299">
        <f t="shared" si="51"/>
        <v>0.2081447993</v>
      </c>
      <c r="F57" s="1"/>
      <c r="G57" s="1"/>
      <c r="H57" s="1"/>
      <c r="I57" s="1"/>
      <c r="J57" s="301"/>
      <c r="K57" s="301"/>
      <c r="L57" s="1"/>
      <c r="M57" s="3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3"/>
      <c r="D58" s="305"/>
      <c r="E58" s="3"/>
      <c r="F58" s="3"/>
      <c r="G58" s="3"/>
      <c r="H58" s="3"/>
      <c r="I58" s="3"/>
      <c r="J58" s="1"/>
      <c r="K58" s="306"/>
      <c r="L58" s="1"/>
      <c r="M58" s="3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3"/>
      <c r="D59" s="3"/>
      <c r="E59" s="3"/>
      <c r="F59" s="3"/>
      <c r="G59" s="3"/>
      <c r="H59" s="3"/>
      <c r="I59" s="3"/>
      <c r="J59" s="301"/>
      <c r="K59" s="1"/>
      <c r="L59" s="1"/>
      <c r="M59" s="3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3"/>
      <c r="D60" s="3"/>
      <c r="E60" s="3"/>
      <c r="F60" s="3"/>
      <c r="G60" s="3"/>
      <c r="H60" s="307"/>
      <c r="I60" s="307"/>
      <c r="J60" s="301"/>
      <c r="K60" s="1"/>
      <c r="L60" s="1"/>
      <c r="M60" s="3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3"/>
      <c r="D61" s="244"/>
      <c r="E61" s="3"/>
      <c r="F61" s="3"/>
      <c r="G61" s="3"/>
      <c r="H61" s="3"/>
      <c r="I61" s="3"/>
      <c r="J61" s="1"/>
      <c r="K61" s="1"/>
      <c r="L61" s="1"/>
      <c r="M61" s="3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3"/>
      <c r="D62" s="3"/>
      <c r="E62" s="3"/>
      <c r="F62" s="3"/>
      <c r="G62" s="308" t="s">
        <v>143</v>
      </c>
      <c r="H62" s="3"/>
      <c r="I62" s="3"/>
      <c r="J62" s="1"/>
      <c r="K62" s="1"/>
      <c r="L62" s="1"/>
      <c r="M62" s="3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3"/>
      <c r="D63" s="3"/>
      <c r="E63" s="3"/>
      <c r="F63" s="3"/>
      <c r="G63" s="3"/>
      <c r="H63" s="3"/>
      <c r="I63" s="3"/>
      <c r="J63" s="1"/>
      <c r="K63" s="1"/>
      <c r="L63" s="1"/>
      <c r="M63" s="3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3"/>
      <c r="D64" s="3"/>
      <c r="E64" s="3"/>
      <c r="F64" s="3"/>
      <c r="G64" s="3"/>
      <c r="H64" s="3"/>
      <c r="I64" s="3"/>
      <c r="J64" s="1"/>
      <c r="K64" s="1"/>
      <c r="L64" s="1"/>
      <c r="M64" s="3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3"/>
      <c r="D65" s="3"/>
      <c r="E65" s="3"/>
      <c r="F65" s="3"/>
      <c r="G65" s="3"/>
      <c r="H65" s="3"/>
      <c r="I65" s="3"/>
      <c r="J65" s="1"/>
      <c r="K65" s="1"/>
      <c r="L65" s="1"/>
      <c r="M65" s="3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3"/>
      <c r="D66" s="3"/>
      <c r="E66" s="3"/>
      <c r="F66" s="3"/>
      <c r="G66" s="3"/>
      <c r="H66" s="3"/>
      <c r="I66" s="3"/>
      <c r="J66" s="1"/>
      <c r="K66" s="1"/>
      <c r="L66" s="1"/>
      <c r="M66" s="3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3"/>
      <c r="D67" s="3"/>
      <c r="E67" s="3"/>
      <c r="F67" s="3"/>
      <c r="G67" s="3"/>
      <c r="H67" s="3"/>
      <c r="I67" s="3"/>
      <c r="J67" s="1"/>
      <c r="K67" s="1"/>
      <c r="L67" s="1"/>
      <c r="M67" s="3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3"/>
      <c r="D68" s="3"/>
      <c r="E68" s="3"/>
      <c r="F68" s="3"/>
      <c r="G68" s="3"/>
      <c r="H68" s="3"/>
      <c r="I68" s="3"/>
      <c r="J68" s="1"/>
      <c r="K68" s="1"/>
      <c r="L68" s="1"/>
      <c r="M68" s="3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3"/>
      <c r="D69" s="3"/>
      <c r="E69" s="3"/>
      <c r="F69" s="3"/>
      <c r="G69" s="3"/>
      <c r="H69" s="3"/>
      <c r="I69" s="3"/>
      <c r="J69" s="1"/>
      <c r="K69" s="1"/>
      <c r="L69" s="1"/>
      <c r="M69" s="3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3"/>
      <c r="D70" s="3"/>
      <c r="E70" s="3"/>
      <c r="F70" s="3"/>
      <c r="G70" s="3"/>
      <c r="H70" s="3"/>
      <c r="I70" s="3"/>
      <c r="J70" s="1"/>
      <c r="K70" s="1"/>
      <c r="L70" s="1"/>
      <c r="M70" s="3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3"/>
      <c r="D71" s="3"/>
      <c r="E71" s="3"/>
      <c r="F71" s="3"/>
      <c r="G71" s="3"/>
      <c r="H71" s="3"/>
      <c r="I71" s="3"/>
      <c r="J71" s="1"/>
      <c r="K71" s="1"/>
      <c r="L71" s="1"/>
      <c r="M71" s="3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64"/>
      <c r="C72" s="309"/>
      <c r="D72" s="309"/>
      <c r="E72" s="309"/>
      <c r="F72" s="20"/>
      <c r="G72" s="3"/>
      <c r="H72" s="3"/>
      <c r="I72" s="3"/>
      <c r="J72" s="1"/>
      <c r="K72" s="1"/>
      <c r="L72" s="1"/>
      <c r="M72" s="3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3"/>
      <c r="D73" s="3"/>
      <c r="E73" s="3"/>
      <c r="F73" s="3"/>
      <c r="G73" s="3"/>
      <c r="H73" s="3"/>
      <c r="I73" s="3"/>
      <c r="J73" s="1"/>
      <c r="K73" s="1"/>
      <c r="L73" s="1"/>
      <c r="M73" s="3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3"/>
      <c r="D74" s="3"/>
      <c r="E74" s="3"/>
      <c r="F74" s="3"/>
      <c r="G74" s="3"/>
      <c r="H74" s="3"/>
      <c r="I74" s="3"/>
      <c r="J74" s="1"/>
      <c r="K74" s="1"/>
      <c r="L74" s="1"/>
      <c r="M74" s="3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3"/>
      <c r="D75" s="3"/>
      <c r="E75" s="3"/>
      <c r="F75" s="3"/>
      <c r="G75" s="3"/>
      <c r="H75" s="3"/>
      <c r="I75" s="3"/>
      <c r="J75" s="1"/>
      <c r="K75" s="1"/>
      <c r="L75" s="1"/>
      <c r="M75" s="3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3"/>
      <c r="D76" s="3"/>
      <c r="E76" s="3"/>
      <c r="F76" s="3"/>
      <c r="G76" s="3"/>
      <c r="H76" s="3"/>
      <c r="I76" s="3"/>
      <c r="J76" s="1"/>
      <c r="K76" s="1"/>
      <c r="L76" s="1"/>
      <c r="M76" s="3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3"/>
      <c r="D77" s="3"/>
      <c r="E77" s="3"/>
      <c r="F77" s="3"/>
      <c r="G77" s="3"/>
      <c r="H77" s="3"/>
      <c r="I77" s="3"/>
      <c r="J77" s="1"/>
      <c r="K77" s="1"/>
      <c r="L77" s="1"/>
      <c r="M77" s="3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3"/>
      <c r="D78" s="3"/>
      <c r="E78" s="3"/>
      <c r="F78" s="3"/>
      <c r="G78" s="3"/>
      <c r="H78" s="3"/>
      <c r="I78" s="3"/>
      <c r="J78" s="1"/>
      <c r="K78" s="1"/>
      <c r="L78" s="1"/>
      <c r="M78" s="3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3"/>
      <c r="D79" s="3"/>
      <c r="E79" s="3"/>
      <c r="F79" s="3"/>
      <c r="G79" s="3"/>
      <c r="H79" s="3"/>
      <c r="I79" s="3"/>
      <c r="J79" s="1"/>
      <c r="K79" s="1"/>
      <c r="L79" s="1"/>
      <c r="M79" s="3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3"/>
      <c r="D80" s="3"/>
      <c r="E80" s="3"/>
      <c r="F80" s="3"/>
      <c r="G80" s="3"/>
      <c r="H80" s="3"/>
      <c r="I80" s="3"/>
      <c r="J80" s="1"/>
      <c r="K80" s="1"/>
      <c r="L80" s="1"/>
      <c r="M80" s="3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3"/>
      <c r="D81" s="3"/>
      <c r="E81" s="3"/>
      <c r="F81" s="3"/>
      <c r="G81" s="3"/>
      <c r="H81" s="3"/>
      <c r="I81" s="3"/>
      <c r="J81" s="1"/>
      <c r="K81" s="1"/>
      <c r="L81" s="1"/>
      <c r="M81" s="3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3"/>
      <c r="D82" s="3"/>
      <c r="E82" s="3"/>
      <c r="F82" s="3"/>
      <c r="G82" s="3"/>
      <c r="H82" s="3"/>
      <c r="I82" s="3"/>
      <c r="J82" s="1"/>
      <c r="K82" s="1"/>
      <c r="L82" s="1"/>
      <c r="M82" s="3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3"/>
      <c r="D83" s="3"/>
      <c r="E83" s="3"/>
      <c r="F83" s="3"/>
      <c r="G83" s="3"/>
      <c r="H83" s="3"/>
      <c r="I83" s="3"/>
      <c r="J83" s="1"/>
      <c r="K83" s="1"/>
      <c r="L83" s="1"/>
      <c r="M83" s="3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3"/>
      <c r="D84" s="3"/>
      <c r="E84" s="3"/>
      <c r="F84" s="3"/>
      <c r="G84" s="3"/>
      <c r="H84" s="3"/>
      <c r="I84" s="3"/>
      <c r="J84" s="1"/>
      <c r="K84" s="1"/>
      <c r="L84" s="1"/>
      <c r="M84" s="3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3"/>
      <c r="D85" s="3"/>
      <c r="E85" s="3"/>
      <c r="F85" s="3"/>
      <c r="G85" s="3"/>
      <c r="H85" s="3"/>
      <c r="I85" s="3"/>
      <c r="J85" s="1"/>
      <c r="K85" s="1"/>
      <c r="L85" s="1"/>
      <c r="M85" s="3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3"/>
      <c r="D86" s="3"/>
      <c r="E86" s="3"/>
      <c r="F86" s="3"/>
      <c r="G86" s="3"/>
      <c r="H86" s="3"/>
      <c r="I86" s="3"/>
      <c r="J86" s="1"/>
      <c r="K86" s="1"/>
      <c r="L86" s="1"/>
      <c r="M86" s="3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3"/>
      <c r="D87" s="3"/>
      <c r="E87" s="3"/>
      <c r="F87" s="3"/>
      <c r="G87" s="3"/>
      <c r="H87" s="3"/>
      <c r="I87" s="3"/>
      <c r="J87" s="1"/>
      <c r="K87" s="1"/>
      <c r="L87" s="1"/>
      <c r="M87" s="3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3"/>
      <c r="D88" s="3"/>
      <c r="E88" s="3"/>
      <c r="F88" s="3"/>
      <c r="G88" s="3"/>
      <c r="H88" s="3"/>
      <c r="I88" s="3"/>
      <c r="J88" s="1"/>
      <c r="K88" s="1"/>
      <c r="L88" s="1"/>
      <c r="M88" s="3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3"/>
      <c r="D89" s="3"/>
      <c r="E89" s="3"/>
      <c r="F89" s="3"/>
      <c r="G89" s="3"/>
      <c r="H89" s="3"/>
      <c r="I89" s="3"/>
      <c r="J89" s="1"/>
      <c r="K89" s="1"/>
      <c r="L89" s="1"/>
      <c r="M89" s="3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3"/>
      <c r="D90" s="3"/>
      <c r="E90" s="3"/>
      <c r="F90" s="3"/>
      <c r="G90" s="3"/>
      <c r="H90" s="3"/>
      <c r="I90" s="3"/>
      <c r="J90" s="1"/>
      <c r="K90" s="1"/>
      <c r="L90" s="1"/>
      <c r="M90" s="3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3"/>
      <c r="D91" s="3"/>
      <c r="E91" s="3"/>
      <c r="F91" s="3"/>
      <c r="G91" s="3"/>
      <c r="H91" s="3"/>
      <c r="I91" s="3"/>
      <c r="J91" s="1"/>
      <c r="K91" s="1"/>
      <c r="L91" s="1"/>
      <c r="M91" s="3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3"/>
      <c r="D92" s="3"/>
      <c r="E92" s="3"/>
      <c r="F92" s="3"/>
      <c r="G92" s="3"/>
      <c r="H92" s="3"/>
      <c r="I92" s="3"/>
      <c r="J92" s="1"/>
      <c r="K92" s="1"/>
      <c r="L92" s="1"/>
      <c r="M92" s="3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3"/>
      <c r="D93" s="3"/>
      <c r="E93" s="3"/>
      <c r="F93" s="3"/>
      <c r="G93" s="3"/>
      <c r="H93" s="3"/>
      <c r="I93" s="3"/>
      <c r="J93" s="1"/>
      <c r="K93" s="1"/>
      <c r="L93" s="1"/>
      <c r="M93" s="3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3"/>
      <c r="D94" s="3"/>
      <c r="E94" s="3"/>
      <c r="F94" s="3"/>
      <c r="G94" s="3"/>
      <c r="H94" s="3"/>
      <c r="I94" s="3"/>
      <c r="J94" s="1"/>
      <c r="K94" s="1"/>
      <c r="L94" s="1"/>
      <c r="M94" s="3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3"/>
      <c r="D95" s="3"/>
      <c r="E95" s="3"/>
      <c r="F95" s="3"/>
      <c r="G95" s="3"/>
      <c r="H95" s="3"/>
      <c r="I95" s="3"/>
      <c r="J95" s="1"/>
      <c r="K95" s="1"/>
      <c r="L95" s="1"/>
      <c r="M95" s="3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3"/>
      <c r="D96" s="3"/>
      <c r="E96" s="3"/>
      <c r="F96" s="3"/>
      <c r="G96" s="3"/>
      <c r="H96" s="3"/>
      <c r="I96" s="3"/>
      <c r="J96" s="1"/>
      <c r="K96" s="1"/>
      <c r="L96" s="1"/>
      <c r="M96" s="3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3"/>
      <c r="D97" s="3"/>
      <c r="E97" s="3"/>
      <c r="F97" s="3"/>
      <c r="G97" s="3"/>
      <c r="H97" s="3"/>
      <c r="I97" s="3"/>
      <c r="J97" s="1"/>
      <c r="K97" s="1"/>
      <c r="L97" s="1"/>
      <c r="M97" s="3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3"/>
      <c r="D98" s="3"/>
      <c r="E98" s="3"/>
      <c r="F98" s="3"/>
      <c r="G98" s="3"/>
      <c r="H98" s="3"/>
      <c r="I98" s="3"/>
      <c r="J98" s="1"/>
      <c r="K98" s="1"/>
      <c r="L98" s="1"/>
      <c r="M98" s="3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3"/>
      <c r="D99" s="3"/>
      <c r="E99" s="3"/>
      <c r="F99" s="3"/>
      <c r="G99" s="3"/>
      <c r="H99" s="3"/>
      <c r="I99" s="3"/>
      <c r="J99" s="1"/>
      <c r="K99" s="1"/>
      <c r="L99" s="1"/>
      <c r="M99" s="3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3"/>
      <c r="D100" s="3"/>
      <c r="E100" s="3"/>
      <c r="F100" s="3"/>
      <c r="G100" s="3"/>
      <c r="H100" s="3"/>
      <c r="I100" s="3"/>
      <c r="J100" s="1"/>
      <c r="K100" s="1"/>
      <c r="L100" s="1"/>
      <c r="M100" s="3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3"/>
      <c r="D101" s="3"/>
      <c r="E101" s="3"/>
      <c r="F101" s="3"/>
      <c r="G101" s="3"/>
      <c r="H101" s="3"/>
      <c r="I101" s="3"/>
      <c r="J101" s="1"/>
      <c r="K101" s="1"/>
      <c r="L101" s="1"/>
      <c r="M101" s="3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3"/>
      <c r="D102" s="3"/>
      <c r="E102" s="3"/>
      <c r="F102" s="3"/>
      <c r="G102" s="3"/>
      <c r="H102" s="3"/>
      <c r="I102" s="3"/>
      <c r="J102" s="1"/>
      <c r="K102" s="1"/>
      <c r="L102" s="1"/>
      <c r="M102" s="3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3"/>
      <c r="D103" s="3"/>
      <c r="E103" s="3"/>
      <c r="F103" s="3"/>
      <c r="G103" s="3"/>
      <c r="H103" s="3"/>
      <c r="I103" s="3"/>
      <c r="J103" s="1"/>
      <c r="K103" s="1"/>
      <c r="L103" s="1"/>
      <c r="M103" s="3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3"/>
      <c r="D104" s="3"/>
      <c r="E104" s="3"/>
      <c r="F104" s="3"/>
      <c r="G104" s="3"/>
      <c r="H104" s="3"/>
      <c r="I104" s="3"/>
      <c r="J104" s="1"/>
      <c r="K104" s="1"/>
      <c r="L104" s="1"/>
      <c r="M104" s="3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3"/>
      <c r="D105" s="3"/>
      <c r="E105" s="3"/>
      <c r="F105" s="3"/>
      <c r="G105" s="3"/>
      <c r="H105" s="3"/>
      <c r="I105" s="3"/>
      <c r="J105" s="1"/>
      <c r="K105" s="1"/>
      <c r="L105" s="1"/>
      <c r="M105" s="3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3"/>
      <c r="D106" s="3"/>
      <c r="E106" s="3"/>
      <c r="F106" s="3"/>
      <c r="G106" s="3"/>
      <c r="H106" s="3"/>
      <c r="I106" s="3"/>
      <c r="J106" s="1"/>
      <c r="K106" s="1"/>
      <c r="L106" s="1"/>
      <c r="M106" s="3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3"/>
      <c r="D107" s="3"/>
      <c r="E107" s="3"/>
      <c r="F107" s="3"/>
      <c r="G107" s="3"/>
      <c r="H107" s="3"/>
      <c r="I107" s="3"/>
      <c r="J107" s="1"/>
      <c r="K107" s="1"/>
      <c r="L107" s="1"/>
      <c r="M107" s="3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3"/>
      <c r="D108" s="3"/>
      <c r="E108" s="3"/>
      <c r="F108" s="3"/>
      <c r="G108" s="3"/>
      <c r="H108" s="3"/>
      <c r="I108" s="3"/>
      <c r="J108" s="1"/>
      <c r="K108" s="1"/>
      <c r="L108" s="1"/>
      <c r="M108" s="3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3"/>
      <c r="D109" s="3"/>
      <c r="E109" s="3"/>
      <c r="F109" s="3"/>
      <c r="G109" s="3"/>
      <c r="H109" s="3"/>
      <c r="I109" s="3"/>
      <c r="J109" s="1"/>
      <c r="K109" s="1"/>
      <c r="L109" s="1"/>
      <c r="M109" s="3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3"/>
      <c r="D110" s="3"/>
      <c r="E110" s="3"/>
      <c r="F110" s="3"/>
      <c r="G110" s="3"/>
      <c r="H110" s="3"/>
      <c r="I110" s="3"/>
      <c r="J110" s="1"/>
      <c r="K110" s="1"/>
      <c r="L110" s="1"/>
      <c r="M110" s="3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3"/>
      <c r="D111" s="3"/>
      <c r="E111" s="3"/>
      <c r="F111" s="3"/>
      <c r="G111" s="3"/>
      <c r="H111" s="3"/>
      <c r="I111" s="3"/>
      <c r="J111" s="1"/>
      <c r="K111" s="1"/>
      <c r="L111" s="1"/>
      <c r="M111" s="3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3"/>
      <c r="D112" s="3"/>
      <c r="E112" s="3"/>
      <c r="F112" s="3"/>
      <c r="G112" s="3"/>
      <c r="H112" s="3"/>
      <c r="I112" s="3"/>
      <c r="J112" s="1"/>
      <c r="K112" s="1"/>
      <c r="L112" s="1"/>
      <c r="M112" s="3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3"/>
      <c r="D113" s="3"/>
      <c r="E113" s="3"/>
      <c r="F113" s="3"/>
      <c r="G113" s="3"/>
      <c r="H113" s="3"/>
      <c r="I113" s="3"/>
      <c r="J113" s="1"/>
      <c r="K113" s="1"/>
      <c r="L113" s="1"/>
      <c r="M113" s="3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3"/>
      <c r="D114" s="3"/>
      <c r="E114" s="3"/>
      <c r="F114" s="3"/>
      <c r="G114" s="3"/>
      <c r="H114" s="3"/>
      <c r="I114" s="3"/>
      <c r="J114" s="1"/>
      <c r="K114" s="1"/>
      <c r="L114" s="1"/>
      <c r="M114" s="3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3"/>
      <c r="D115" s="3"/>
      <c r="E115" s="3"/>
      <c r="F115" s="3"/>
      <c r="G115" s="3"/>
      <c r="H115" s="3"/>
      <c r="I115" s="3"/>
      <c r="J115" s="1"/>
      <c r="K115" s="1"/>
      <c r="L115" s="1"/>
      <c r="M115" s="3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3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3"/>
      <c r="D117" s="3"/>
      <c r="E117" s="3"/>
      <c r="F117" s="3"/>
      <c r="G117" s="3"/>
      <c r="H117" s="3"/>
      <c r="I117" s="3"/>
      <c r="J117" s="1"/>
      <c r="K117" s="1"/>
      <c r="L117" s="1"/>
      <c r="M117" s="3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3"/>
      <c r="D118" s="3"/>
      <c r="E118" s="3"/>
      <c r="F118" s="3"/>
      <c r="G118" s="3"/>
      <c r="H118" s="3"/>
      <c r="I118" s="3"/>
      <c r="J118" s="1"/>
      <c r="K118" s="1"/>
      <c r="L118" s="1"/>
      <c r="M118" s="3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"/>
      <c r="D119" s="3"/>
      <c r="E119" s="3"/>
      <c r="F119" s="3"/>
      <c r="G119" s="3"/>
      <c r="H119" s="3"/>
      <c r="I119" s="3"/>
      <c r="J119" s="1"/>
      <c r="K119" s="1"/>
      <c r="L119" s="1"/>
      <c r="M119" s="3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3"/>
      <c r="D120" s="3"/>
      <c r="E120" s="3"/>
      <c r="F120" s="3"/>
      <c r="G120" s="3"/>
      <c r="H120" s="3"/>
      <c r="I120" s="3"/>
      <c r="J120" s="1"/>
      <c r="K120" s="1"/>
      <c r="L120" s="1"/>
      <c r="M120" s="3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3"/>
      <c r="D121" s="3"/>
      <c r="E121" s="3"/>
      <c r="F121" s="3"/>
      <c r="G121" s="3"/>
      <c r="H121" s="3"/>
      <c r="I121" s="3"/>
      <c r="J121" s="1"/>
      <c r="K121" s="1"/>
      <c r="L121" s="1"/>
      <c r="M121" s="3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3"/>
      <c r="D122" s="3"/>
      <c r="E122" s="3"/>
      <c r="F122" s="3"/>
      <c r="G122" s="3"/>
      <c r="H122" s="3"/>
      <c r="I122" s="3"/>
      <c r="J122" s="1"/>
      <c r="K122" s="1"/>
      <c r="L122" s="1"/>
      <c r="M122" s="3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3"/>
      <c r="D123" s="3"/>
      <c r="E123" s="3"/>
      <c r="F123" s="3"/>
      <c r="G123" s="3"/>
      <c r="H123" s="3"/>
      <c r="I123" s="3"/>
      <c r="J123" s="1"/>
      <c r="K123" s="1"/>
      <c r="L123" s="1"/>
      <c r="M123" s="3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3"/>
      <c r="D124" s="3"/>
      <c r="E124" s="3"/>
      <c r="F124" s="3"/>
      <c r="G124" s="3"/>
      <c r="H124" s="3"/>
      <c r="I124" s="3"/>
      <c r="J124" s="1"/>
      <c r="K124" s="1"/>
      <c r="L124" s="1"/>
      <c r="M124" s="3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3"/>
      <c r="D125" s="3"/>
      <c r="E125" s="3"/>
      <c r="F125" s="3"/>
      <c r="G125" s="3"/>
      <c r="H125" s="3"/>
      <c r="I125" s="3"/>
      <c r="J125" s="1"/>
      <c r="K125" s="1"/>
      <c r="L125" s="1"/>
      <c r="M125" s="3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3"/>
      <c r="D126" s="3"/>
      <c r="E126" s="3"/>
      <c r="F126" s="3"/>
      <c r="G126" s="3"/>
      <c r="H126" s="3"/>
      <c r="I126" s="3"/>
      <c r="J126" s="1"/>
      <c r="K126" s="1"/>
      <c r="L126" s="1"/>
      <c r="M126" s="3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3"/>
      <c r="D127" s="3"/>
      <c r="E127" s="3"/>
      <c r="F127" s="3"/>
      <c r="G127" s="3"/>
      <c r="H127" s="3"/>
      <c r="I127" s="3"/>
      <c r="J127" s="1"/>
      <c r="K127" s="1"/>
      <c r="L127" s="1"/>
      <c r="M127" s="3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3"/>
      <c r="D128" s="3"/>
      <c r="E128" s="3"/>
      <c r="F128" s="3"/>
      <c r="G128" s="3"/>
      <c r="H128" s="3"/>
      <c r="I128" s="3"/>
      <c r="J128" s="1"/>
      <c r="K128" s="1"/>
      <c r="L128" s="1"/>
      <c r="M128" s="3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3"/>
      <c r="D129" s="3"/>
      <c r="E129" s="3"/>
      <c r="F129" s="3"/>
      <c r="G129" s="3"/>
      <c r="H129" s="3"/>
      <c r="I129" s="3"/>
      <c r="J129" s="1"/>
      <c r="K129" s="1"/>
      <c r="L129" s="1"/>
      <c r="M129" s="3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3"/>
      <c r="D130" s="3"/>
      <c r="E130" s="3"/>
      <c r="F130" s="3"/>
      <c r="G130" s="3"/>
      <c r="H130" s="3"/>
      <c r="I130" s="3"/>
      <c r="J130" s="1"/>
      <c r="K130" s="1"/>
      <c r="L130" s="1"/>
      <c r="M130" s="3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3"/>
      <c r="D131" s="3"/>
      <c r="E131" s="3"/>
      <c r="F131" s="3"/>
      <c r="G131" s="3"/>
      <c r="H131" s="3"/>
      <c r="I131" s="3"/>
      <c r="J131" s="1"/>
      <c r="K131" s="1"/>
      <c r="L131" s="1"/>
      <c r="M131" s="3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3"/>
      <c r="D132" s="3"/>
      <c r="E132" s="3"/>
      <c r="F132" s="3"/>
      <c r="G132" s="3"/>
      <c r="H132" s="3"/>
      <c r="I132" s="3"/>
      <c r="J132" s="1"/>
      <c r="K132" s="1"/>
      <c r="L132" s="1"/>
      <c r="M132" s="3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3"/>
      <c r="D133" s="3"/>
      <c r="E133" s="3"/>
      <c r="F133" s="3"/>
      <c r="G133" s="3"/>
      <c r="H133" s="3"/>
      <c r="I133" s="3"/>
      <c r="J133" s="1"/>
      <c r="K133" s="1"/>
      <c r="L133" s="1"/>
      <c r="M133" s="3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3"/>
      <c r="D134" s="3"/>
      <c r="E134" s="3"/>
      <c r="F134" s="3"/>
      <c r="G134" s="3"/>
      <c r="H134" s="3"/>
      <c r="I134" s="3"/>
      <c r="J134" s="1"/>
      <c r="K134" s="1"/>
      <c r="L134" s="1"/>
      <c r="M134" s="3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3"/>
      <c r="D135" s="3"/>
      <c r="E135" s="3"/>
      <c r="F135" s="3"/>
      <c r="G135" s="3"/>
      <c r="H135" s="3"/>
      <c r="I135" s="3"/>
      <c r="J135" s="1"/>
      <c r="K135" s="1"/>
      <c r="L135" s="1"/>
      <c r="M135" s="3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3"/>
      <c r="D136" s="3"/>
      <c r="E136" s="3"/>
      <c r="F136" s="3"/>
      <c r="G136" s="3"/>
      <c r="H136" s="3"/>
      <c r="I136" s="3"/>
      <c r="J136" s="1"/>
      <c r="K136" s="1"/>
      <c r="L136" s="1"/>
      <c r="M136" s="3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3"/>
      <c r="D137" s="3"/>
      <c r="E137" s="3"/>
      <c r="F137" s="3"/>
      <c r="G137" s="3"/>
      <c r="H137" s="3"/>
      <c r="I137" s="3"/>
      <c r="J137" s="1"/>
      <c r="K137" s="1"/>
      <c r="L137" s="1"/>
      <c r="M137" s="3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3"/>
      <c r="D138" s="3"/>
      <c r="E138" s="3"/>
      <c r="F138" s="3"/>
      <c r="G138" s="3"/>
      <c r="H138" s="3"/>
      <c r="I138" s="3"/>
      <c r="J138" s="1"/>
      <c r="K138" s="1"/>
      <c r="L138" s="1"/>
      <c r="M138" s="3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3"/>
      <c r="D139" s="3"/>
      <c r="E139" s="3"/>
      <c r="F139" s="3"/>
      <c r="G139" s="3"/>
      <c r="H139" s="3"/>
      <c r="I139" s="3"/>
      <c r="J139" s="1"/>
      <c r="K139" s="1"/>
      <c r="L139" s="1"/>
      <c r="M139" s="3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3"/>
      <c r="D140" s="3"/>
      <c r="E140" s="3"/>
      <c r="F140" s="3"/>
      <c r="G140" s="3"/>
      <c r="H140" s="3"/>
      <c r="I140" s="3"/>
      <c r="J140" s="1"/>
      <c r="K140" s="1"/>
      <c r="L140" s="1"/>
      <c r="M140" s="3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3"/>
      <c r="D141" s="3"/>
      <c r="E141" s="3"/>
      <c r="F141" s="3"/>
      <c r="G141" s="3"/>
      <c r="H141" s="3"/>
      <c r="I141" s="3"/>
      <c r="J141" s="1"/>
      <c r="K141" s="1"/>
      <c r="L141" s="1"/>
      <c r="M141" s="3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3" t="str">
        <f>F58+#REF!</f>
        <v>#REF!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"/>
      <c r="D143" s="3"/>
      <c r="E143" s="3"/>
      <c r="F143" s="3"/>
      <c r="G143" s="3"/>
      <c r="H143" s="3"/>
      <c r="I143" s="3"/>
      <c r="J143" s="1"/>
      <c r="K143" s="1"/>
      <c r="L143" s="1"/>
      <c r="M143" s="3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3"/>
      <c r="D144" s="3"/>
      <c r="E144" s="3"/>
      <c r="F144" s="3"/>
      <c r="G144" s="3"/>
      <c r="H144" s="3"/>
      <c r="I144" s="3"/>
      <c r="J144" s="1"/>
      <c r="K144" s="1"/>
      <c r="L144" s="1"/>
      <c r="M144" s="3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3"/>
      <c r="D145" s="3"/>
      <c r="E145" s="3"/>
      <c r="F145" s="3"/>
      <c r="G145" s="3"/>
      <c r="H145" s="3"/>
      <c r="I145" s="3"/>
      <c r="J145" s="1"/>
      <c r="K145" s="1"/>
      <c r="L145" s="1"/>
      <c r="M145" s="3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3"/>
      <c r="D146" s="3"/>
      <c r="E146" s="3"/>
      <c r="F146" s="3"/>
      <c r="G146" s="3"/>
      <c r="H146" s="3"/>
      <c r="I146" s="3"/>
      <c r="J146" s="1"/>
      <c r="K146" s="1"/>
      <c r="L146" s="1"/>
      <c r="M146" s="3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3"/>
      <c r="D147" s="3"/>
      <c r="E147" s="3"/>
      <c r="F147" s="3"/>
      <c r="G147" s="3"/>
      <c r="H147" s="3"/>
      <c r="I147" s="3"/>
      <c r="J147" s="1"/>
      <c r="K147" s="1"/>
      <c r="L147" s="1"/>
      <c r="M147" s="3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3"/>
      <c r="D148" s="3"/>
      <c r="E148" s="3"/>
      <c r="F148" s="3"/>
      <c r="G148" s="3"/>
      <c r="H148" s="3"/>
      <c r="I148" s="3"/>
      <c r="J148" s="1"/>
      <c r="K148" s="1"/>
      <c r="L148" s="1"/>
      <c r="M148" s="3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3"/>
      <c r="D149" s="3"/>
      <c r="E149" s="3"/>
      <c r="F149" s="3"/>
      <c r="G149" s="3"/>
      <c r="H149" s="3"/>
      <c r="I149" s="3"/>
      <c r="J149" s="1"/>
      <c r="K149" s="1"/>
      <c r="L149" s="1"/>
      <c r="M149" s="3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3"/>
      <c r="D150" s="3"/>
      <c r="E150" s="3"/>
      <c r="F150" s="3"/>
      <c r="G150" s="3"/>
      <c r="H150" s="3"/>
      <c r="I150" s="3"/>
      <c r="J150" s="1"/>
      <c r="K150" s="1"/>
      <c r="L150" s="1"/>
      <c r="M150" s="3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3"/>
      <c r="D151" s="3"/>
      <c r="E151" s="3"/>
      <c r="F151" s="3"/>
      <c r="G151" s="3"/>
      <c r="H151" s="3"/>
      <c r="I151" s="3"/>
      <c r="J151" s="1"/>
      <c r="K151" s="1"/>
      <c r="L151" s="1"/>
      <c r="M151" s="3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3"/>
      <c r="D152" s="3"/>
      <c r="E152" s="3"/>
      <c r="F152" s="3"/>
      <c r="G152" s="3"/>
      <c r="H152" s="3"/>
      <c r="I152" s="3"/>
      <c r="J152" s="1"/>
      <c r="K152" s="1"/>
      <c r="L152" s="1"/>
      <c r="M152" s="3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3"/>
      <c r="D153" s="3"/>
      <c r="E153" s="3"/>
      <c r="F153" s="3"/>
      <c r="G153" s="3"/>
      <c r="H153" s="3"/>
      <c r="I153" s="3"/>
      <c r="J153" s="1"/>
      <c r="K153" s="1"/>
      <c r="L153" s="1"/>
      <c r="M153" s="3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3"/>
      <c r="D154" s="3"/>
      <c r="E154" s="3"/>
      <c r="F154" s="3"/>
      <c r="G154" s="3"/>
      <c r="H154" s="3"/>
      <c r="I154" s="3"/>
      <c r="J154" s="1"/>
      <c r="K154" s="1"/>
      <c r="L154" s="1"/>
      <c r="M154" s="3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3"/>
      <c r="D155" s="3"/>
      <c r="E155" s="3"/>
      <c r="F155" s="3"/>
      <c r="G155" s="3"/>
      <c r="H155" s="3"/>
      <c r="I155" s="3"/>
      <c r="J155" s="1"/>
      <c r="K155" s="1"/>
      <c r="L155" s="1"/>
      <c r="M155" s="3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3"/>
      <c r="D156" s="3"/>
      <c r="E156" s="3"/>
      <c r="F156" s="3"/>
      <c r="G156" s="3"/>
      <c r="H156" s="3"/>
      <c r="I156" s="3"/>
      <c r="J156" s="1"/>
      <c r="K156" s="1"/>
      <c r="L156" s="1"/>
      <c r="M156" s="3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3"/>
      <c r="D157" s="3"/>
      <c r="E157" s="3"/>
      <c r="F157" s="3"/>
      <c r="G157" s="3"/>
      <c r="H157" s="3"/>
      <c r="I157" s="3"/>
      <c r="J157" s="1"/>
      <c r="K157" s="1"/>
      <c r="L157" s="1"/>
      <c r="M157" s="3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3"/>
      <c r="D158" s="3"/>
      <c r="E158" s="3"/>
      <c r="F158" s="3"/>
      <c r="G158" s="3"/>
      <c r="H158" s="3"/>
      <c r="I158" s="3"/>
      <c r="J158" s="1"/>
      <c r="K158" s="1"/>
      <c r="L158" s="1"/>
      <c r="M158" s="3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3"/>
      <c r="D159" s="3"/>
      <c r="E159" s="3"/>
      <c r="F159" s="3"/>
      <c r="G159" s="3"/>
      <c r="H159" s="3"/>
      <c r="I159" s="3"/>
      <c r="J159" s="1"/>
      <c r="K159" s="1"/>
      <c r="L159" s="1"/>
      <c r="M159" s="3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3"/>
      <c r="D160" s="3"/>
      <c r="E160" s="3"/>
      <c r="F160" s="3"/>
      <c r="G160" s="3"/>
      <c r="H160" s="3"/>
      <c r="I160" s="3"/>
      <c r="J160" s="1"/>
      <c r="K160" s="1"/>
      <c r="L160" s="1"/>
      <c r="M160" s="3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3"/>
      <c r="D161" s="3"/>
      <c r="E161" s="3"/>
      <c r="F161" s="3"/>
      <c r="G161" s="3"/>
      <c r="H161" s="3"/>
      <c r="I161" s="3"/>
      <c r="J161" s="1"/>
      <c r="K161" s="1"/>
      <c r="L161" s="1"/>
      <c r="M161" s="3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3"/>
      <c r="D162" s="3"/>
      <c r="E162" s="3"/>
      <c r="F162" s="3"/>
      <c r="G162" s="3"/>
      <c r="H162" s="3"/>
      <c r="I162" s="3"/>
      <c r="J162" s="1"/>
      <c r="K162" s="1"/>
      <c r="L162" s="1"/>
      <c r="M162" s="3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3"/>
      <c r="D163" s="3"/>
      <c r="E163" s="3"/>
      <c r="F163" s="3"/>
      <c r="G163" s="3"/>
      <c r="H163" s="3"/>
      <c r="I163" s="3"/>
      <c r="J163" s="1"/>
      <c r="K163" s="1"/>
      <c r="L163" s="1"/>
      <c r="M163" s="3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3"/>
      <c r="D164" s="3"/>
      <c r="E164" s="3"/>
      <c r="F164" s="3"/>
      <c r="G164" s="3"/>
      <c r="H164" s="3"/>
      <c r="I164" s="3"/>
      <c r="J164" s="1"/>
      <c r="K164" s="1"/>
      <c r="L164" s="1"/>
      <c r="M164" s="3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3"/>
      <c r="D165" s="3"/>
      <c r="E165" s="3"/>
      <c r="F165" s="3"/>
      <c r="G165" s="3"/>
      <c r="H165" s="3"/>
      <c r="I165" s="3"/>
      <c r="J165" s="1"/>
      <c r="K165" s="1"/>
      <c r="L165" s="1"/>
      <c r="M165" s="3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3"/>
      <c r="D166" s="3"/>
      <c r="E166" s="3"/>
      <c r="F166" s="3"/>
      <c r="G166" s="3"/>
      <c r="H166" s="3"/>
      <c r="I166" s="3"/>
      <c r="J166" s="1"/>
      <c r="K166" s="1"/>
      <c r="L166" s="1"/>
      <c r="M166" s="3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3"/>
      <c r="D167" s="3"/>
      <c r="E167" s="3"/>
      <c r="F167" s="3"/>
      <c r="G167" s="3"/>
      <c r="H167" s="3"/>
      <c r="I167" s="3"/>
      <c r="J167" s="1"/>
      <c r="K167" s="1"/>
      <c r="L167" s="1"/>
      <c r="M167" s="3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3"/>
      <c r="D168" s="3"/>
      <c r="E168" s="3"/>
      <c r="F168" s="3"/>
      <c r="G168" s="3"/>
      <c r="H168" s="3"/>
      <c r="I168" s="3"/>
      <c r="J168" s="1"/>
      <c r="K168" s="1"/>
      <c r="L168" s="1"/>
      <c r="M168" s="3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3"/>
      <c r="D169" s="3"/>
      <c r="E169" s="3"/>
      <c r="F169" s="3"/>
      <c r="G169" s="3"/>
      <c r="H169" s="3"/>
      <c r="I169" s="3"/>
      <c r="J169" s="1"/>
      <c r="K169" s="1"/>
      <c r="L169" s="1"/>
      <c r="M169" s="3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3"/>
      <c r="D170" s="3"/>
      <c r="E170" s="3"/>
      <c r="F170" s="3"/>
      <c r="G170" s="3"/>
      <c r="H170" s="3"/>
      <c r="I170" s="3"/>
      <c r="J170" s="1"/>
      <c r="K170" s="1"/>
      <c r="L170" s="1"/>
      <c r="M170" s="3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3"/>
      <c r="D171" s="3"/>
      <c r="E171" s="3"/>
      <c r="F171" s="3"/>
      <c r="G171" s="3"/>
      <c r="H171" s="3"/>
      <c r="I171" s="3"/>
      <c r="J171" s="1"/>
      <c r="K171" s="1"/>
      <c r="L171" s="1"/>
      <c r="M171" s="3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3"/>
      <c r="D172" s="3"/>
      <c r="E172" s="3"/>
      <c r="F172" s="3"/>
      <c r="G172" s="3"/>
      <c r="H172" s="3"/>
      <c r="I172" s="3"/>
      <c r="J172" s="1"/>
      <c r="K172" s="1"/>
      <c r="L172" s="1"/>
      <c r="M172" s="3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3"/>
      <c r="D173" s="3"/>
      <c r="E173" s="3"/>
      <c r="F173" s="3"/>
      <c r="G173" s="3"/>
      <c r="H173" s="3"/>
      <c r="I173" s="3"/>
      <c r="J173" s="1"/>
      <c r="K173" s="1"/>
      <c r="L173" s="1"/>
      <c r="M173" s="3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3"/>
      <c r="D174" s="3"/>
      <c r="E174" s="3"/>
      <c r="F174" s="3"/>
      <c r="G174" s="3"/>
      <c r="H174" s="3"/>
      <c r="I174" s="3"/>
      <c r="J174" s="1"/>
      <c r="K174" s="1"/>
      <c r="L174" s="1"/>
      <c r="M174" s="3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3"/>
      <c r="D175" s="3"/>
      <c r="E175" s="3"/>
      <c r="F175" s="3"/>
      <c r="G175" s="3"/>
      <c r="H175" s="3"/>
      <c r="I175" s="3"/>
      <c r="J175" s="1"/>
      <c r="K175" s="1"/>
      <c r="L175" s="1"/>
      <c r="M175" s="3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3"/>
      <c r="D176" s="3"/>
      <c r="E176" s="3"/>
      <c r="F176" s="3"/>
      <c r="G176" s="3"/>
      <c r="H176" s="3"/>
      <c r="I176" s="3"/>
      <c r="J176" s="1"/>
      <c r="K176" s="1"/>
      <c r="L176" s="1"/>
      <c r="M176" s="3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3"/>
      <c r="D177" s="3"/>
      <c r="E177" s="3"/>
      <c r="F177" s="3"/>
      <c r="G177" s="3"/>
      <c r="H177" s="3"/>
      <c r="I177" s="3"/>
      <c r="J177" s="1"/>
      <c r="K177" s="1"/>
      <c r="L177" s="1"/>
      <c r="M177" s="3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3"/>
      <c r="D178" s="3"/>
      <c r="E178" s="3"/>
      <c r="F178" s="3"/>
      <c r="G178" s="3"/>
      <c r="H178" s="3"/>
      <c r="I178" s="3"/>
      <c r="J178" s="1"/>
      <c r="K178" s="1"/>
      <c r="L178" s="1"/>
      <c r="M178" s="3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3"/>
      <c r="D179" s="3"/>
      <c r="E179" s="3"/>
      <c r="F179" s="3"/>
      <c r="G179" s="3"/>
      <c r="H179" s="3"/>
      <c r="I179" s="3"/>
      <c r="J179" s="1"/>
      <c r="K179" s="1"/>
      <c r="L179" s="1"/>
      <c r="M179" s="3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3"/>
      <c r="D180" s="3"/>
      <c r="E180" s="3"/>
      <c r="F180" s="3"/>
      <c r="G180" s="3"/>
      <c r="H180" s="3"/>
      <c r="I180" s="3"/>
      <c r="J180" s="1"/>
      <c r="K180" s="1"/>
      <c r="L180" s="1"/>
      <c r="M180" s="3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3"/>
      <c r="D181" s="3"/>
      <c r="E181" s="3"/>
      <c r="F181" s="3"/>
      <c r="G181" s="3"/>
      <c r="H181" s="3"/>
      <c r="I181" s="3"/>
      <c r="J181" s="1"/>
      <c r="K181" s="1"/>
      <c r="L181" s="1"/>
      <c r="M181" s="3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3"/>
      <c r="D182" s="3"/>
      <c r="E182" s="3"/>
      <c r="F182" s="3"/>
      <c r="G182" s="3"/>
      <c r="H182" s="3"/>
      <c r="I182" s="3"/>
      <c r="J182" s="1"/>
      <c r="K182" s="1"/>
      <c r="L182" s="1"/>
      <c r="M182" s="3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3"/>
      <c r="D183" s="3"/>
      <c r="E183" s="3"/>
      <c r="F183" s="3"/>
      <c r="G183" s="3"/>
      <c r="H183" s="3"/>
      <c r="I183" s="3"/>
      <c r="J183" s="1"/>
      <c r="K183" s="1"/>
      <c r="L183" s="1"/>
      <c r="M183" s="3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3"/>
      <c r="D184" s="3"/>
      <c r="E184" s="3"/>
      <c r="F184" s="3"/>
      <c r="G184" s="3"/>
      <c r="H184" s="3"/>
      <c r="I184" s="3"/>
      <c r="J184" s="1"/>
      <c r="K184" s="1"/>
      <c r="L184" s="1"/>
      <c r="M184" s="3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3"/>
      <c r="D185" s="3"/>
      <c r="E185" s="3"/>
      <c r="F185" s="3"/>
      <c r="G185" s="3"/>
      <c r="H185" s="3"/>
      <c r="I185" s="3"/>
      <c r="J185" s="1"/>
      <c r="K185" s="1"/>
      <c r="L185" s="1"/>
      <c r="M185" s="3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3"/>
      <c r="D186" s="3"/>
      <c r="E186" s="3"/>
      <c r="F186" s="3"/>
      <c r="G186" s="3"/>
      <c r="H186" s="3"/>
      <c r="I186" s="3"/>
      <c r="J186" s="1"/>
      <c r="K186" s="1"/>
      <c r="L186" s="1"/>
      <c r="M186" s="3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3"/>
      <c r="D187" s="3"/>
      <c r="E187" s="3"/>
      <c r="F187" s="3"/>
      <c r="G187" s="3"/>
      <c r="H187" s="3"/>
      <c r="I187" s="3"/>
      <c r="J187" s="1"/>
      <c r="K187" s="1"/>
      <c r="L187" s="1"/>
      <c r="M187" s="3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3"/>
      <c r="D188" s="3"/>
      <c r="E188" s="3"/>
      <c r="F188" s="3"/>
      <c r="G188" s="3"/>
      <c r="H188" s="3"/>
      <c r="I188" s="3"/>
      <c r="J188" s="1"/>
      <c r="K188" s="1"/>
      <c r="L188" s="1"/>
      <c r="M188" s="3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3"/>
      <c r="D189" s="3"/>
      <c r="E189" s="3"/>
      <c r="F189" s="3"/>
      <c r="G189" s="3"/>
      <c r="H189" s="3"/>
      <c r="I189" s="3"/>
      <c r="J189" s="1"/>
      <c r="K189" s="1"/>
      <c r="L189" s="1"/>
      <c r="M189" s="3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3"/>
      <c r="D190" s="3"/>
      <c r="E190" s="3"/>
      <c r="F190" s="3"/>
      <c r="G190" s="3"/>
      <c r="H190" s="3"/>
      <c r="I190" s="3"/>
      <c r="J190" s="1"/>
      <c r="K190" s="1"/>
      <c r="L190" s="1"/>
      <c r="M190" s="3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3"/>
      <c r="D191" s="3"/>
      <c r="E191" s="3"/>
      <c r="F191" s="3"/>
      <c r="G191" s="3"/>
      <c r="H191" s="3"/>
      <c r="I191" s="3"/>
      <c r="J191" s="1"/>
      <c r="K191" s="1"/>
      <c r="L191" s="1"/>
      <c r="M191" s="3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3"/>
      <c r="D192" s="3"/>
      <c r="E192" s="3"/>
      <c r="F192" s="3"/>
      <c r="G192" s="3"/>
      <c r="H192" s="3"/>
      <c r="I192" s="3"/>
      <c r="J192" s="1"/>
      <c r="K192" s="1"/>
      <c r="L192" s="1"/>
      <c r="M192" s="3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3"/>
      <c r="D193" s="3"/>
      <c r="E193" s="3"/>
      <c r="F193" s="3"/>
      <c r="G193" s="3"/>
      <c r="H193" s="3"/>
      <c r="I193" s="3"/>
      <c r="J193" s="1"/>
      <c r="K193" s="1"/>
      <c r="L193" s="1"/>
      <c r="M193" s="3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3"/>
      <c r="D194" s="3"/>
      <c r="E194" s="3"/>
      <c r="F194" s="3"/>
      <c r="G194" s="3"/>
      <c r="H194" s="3"/>
      <c r="I194" s="3"/>
      <c r="J194" s="1"/>
      <c r="K194" s="1"/>
      <c r="L194" s="1"/>
      <c r="M194" s="3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3"/>
      <c r="D195" s="3"/>
      <c r="E195" s="3"/>
      <c r="F195" s="3"/>
      <c r="G195" s="3"/>
      <c r="H195" s="3"/>
      <c r="I195" s="3"/>
      <c r="J195" s="1"/>
      <c r="K195" s="1"/>
      <c r="L195" s="1"/>
      <c r="M195" s="3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3"/>
      <c r="D196" s="3"/>
      <c r="E196" s="3"/>
      <c r="F196" s="3"/>
      <c r="G196" s="3"/>
      <c r="H196" s="3"/>
      <c r="I196" s="3"/>
      <c r="J196" s="1"/>
      <c r="K196" s="1"/>
      <c r="L196" s="1"/>
      <c r="M196" s="3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3"/>
      <c r="D197" s="3"/>
      <c r="E197" s="3"/>
      <c r="F197" s="3"/>
      <c r="G197" s="3"/>
      <c r="H197" s="3"/>
      <c r="I197" s="3"/>
      <c r="J197" s="1"/>
      <c r="K197" s="1"/>
      <c r="L197" s="1"/>
      <c r="M197" s="3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3"/>
      <c r="D198" s="3"/>
      <c r="E198" s="3"/>
      <c r="F198" s="3"/>
      <c r="G198" s="3"/>
      <c r="H198" s="3"/>
      <c r="I198" s="3"/>
      <c r="J198" s="1"/>
      <c r="K198" s="1"/>
      <c r="L198" s="1"/>
      <c r="M198" s="3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3"/>
      <c r="D199" s="3"/>
      <c r="E199" s="3"/>
      <c r="F199" s="3"/>
      <c r="G199" s="3"/>
      <c r="H199" s="3"/>
      <c r="I199" s="3"/>
      <c r="J199" s="1"/>
      <c r="K199" s="1"/>
      <c r="L199" s="1"/>
      <c r="M199" s="3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3"/>
      <c r="D200" s="3"/>
      <c r="E200" s="3"/>
      <c r="F200" s="3"/>
      <c r="G200" s="3"/>
      <c r="H200" s="3"/>
      <c r="I200" s="3"/>
      <c r="J200" s="1"/>
      <c r="K200" s="1"/>
      <c r="L200" s="1"/>
      <c r="M200" s="3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3"/>
      <c r="D201" s="3"/>
      <c r="E201" s="3"/>
      <c r="F201" s="3"/>
      <c r="G201" s="3"/>
      <c r="H201" s="3"/>
      <c r="I201" s="3"/>
      <c r="J201" s="1"/>
      <c r="K201" s="1"/>
      <c r="L201" s="1"/>
      <c r="M201" s="3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3"/>
      <c r="D202" s="3"/>
      <c r="E202" s="3"/>
      <c r="F202" s="3"/>
      <c r="G202" s="3"/>
      <c r="H202" s="3"/>
      <c r="I202" s="3"/>
      <c r="J202" s="1"/>
      <c r="K202" s="1"/>
      <c r="L202" s="1"/>
      <c r="M202" s="3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3"/>
      <c r="D203" s="3"/>
      <c r="E203" s="3"/>
      <c r="F203" s="3"/>
      <c r="G203" s="3"/>
      <c r="H203" s="3"/>
      <c r="I203" s="3"/>
      <c r="J203" s="1"/>
      <c r="K203" s="1"/>
      <c r="L203" s="1"/>
      <c r="M203" s="3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3"/>
      <c r="D204" s="3"/>
      <c r="E204" s="3"/>
      <c r="F204" s="3"/>
      <c r="G204" s="3"/>
      <c r="H204" s="3"/>
      <c r="I204" s="3"/>
      <c r="J204" s="1"/>
      <c r="K204" s="1"/>
      <c r="L204" s="1"/>
      <c r="M204" s="3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3"/>
      <c r="D205" s="3"/>
      <c r="E205" s="3"/>
      <c r="F205" s="3"/>
      <c r="G205" s="3"/>
      <c r="H205" s="3"/>
      <c r="I205" s="3"/>
      <c r="J205" s="1"/>
      <c r="K205" s="1"/>
      <c r="L205" s="1"/>
      <c r="M205" s="3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3"/>
      <c r="D206" s="3"/>
      <c r="E206" s="3"/>
      <c r="F206" s="3"/>
      <c r="G206" s="3"/>
      <c r="H206" s="3"/>
      <c r="I206" s="3"/>
      <c r="J206" s="1"/>
      <c r="K206" s="1"/>
      <c r="L206" s="1"/>
      <c r="M206" s="3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3"/>
      <c r="D207" s="3"/>
      <c r="E207" s="3"/>
      <c r="F207" s="3"/>
      <c r="G207" s="3"/>
      <c r="H207" s="3"/>
      <c r="I207" s="3"/>
      <c r="J207" s="1"/>
      <c r="K207" s="1"/>
      <c r="L207" s="1"/>
      <c r="M207" s="3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3"/>
      <c r="D208" s="3"/>
      <c r="E208" s="3"/>
      <c r="F208" s="3"/>
      <c r="G208" s="3"/>
      <c r="H208" s="3"/>
      <c r="I208" s="3"/>
      <c r="J208" s="1"/>
      <c r="K208" s="1"/>
      <c r="L208" s="1"/>
      <c r="M208" s="3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3"/>
      <c r="D209" s="3"/>
      <c r="E209" s="3"/>
      <c r="F209" s="3"/>
      <c r="G209" s="3"/>
      <c r="H209" s="3"/>
      <c r="I209" s="3"/>
      <c r="J209" s="1"/>
      <c r="K209" s="1"/>
      <c r="L209" s="1"/>
      <c r="M209" s="3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3"/>
      <c r="D210" s="3"/>
      <c r="E210" s="3"/>
      <c r="F210" s="3"/>
      <c r="G210" s="3"/>
      <c r="H210" s="3"/>
      <c r="I210" s="3"/>
      <c r="J210" s="1"/>
      <c r="K210" s="1"/>
      <c r="L210" s="1"/>
      <c r="M210" s="3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3"/>
      <c r="D211" s="3"/>
      <c r="E211" s="3"/>
      <c r="F211" s="3"/>
      <c r="G211" s="3"/>
      <c r="H211" s="3"/>
      <c r="I211" s="3"/>
      <c r="J211" s="1"/>
      <c r="K211" s="1"/>
      <c r="L211" s="1"/>
      <c r="M211" s="3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3"/>
      <c r="D212" s="3"/>
      <c r="E212" s="3"/>
      <c r="F212" s="3"/>
      <c r="G212" s="3"/>
      <c r="H212" s="3"/>
      <c r="I212" s="3"/>
      <c r="J212" s="1"/>
      <c r="K212" s="1"/>
      <c r="L212" s="1"/>
      <c r="M212" s="3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3"/>
      <c r="D213" s="3"/>
      <c r="E213" s="3"/>
      <c r="F213" s="3"/>
      <c r="G213" s="3"/>
      <c r="H213" s="3"/>
      <c r="I213" s="3"/>
      <c r="J213" s="1"/>
      <c r="K213" s="1"/>
      <c r="L213" s="1"/>
      <c r="M213" s="3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3"/>
      <c r="D214" s="3"/>
      <c r="E214" s="3"/>
      <c r="F214" s="3"/>
      <c r="G214" s="3"/>
      <c r="H214" s="3"/>
      <c r="I214" s="3"/>
      <c r="J214" s="1"/>
      <c r="K214" s="1"/>
      <c r="L214" s="1"/>
      <c r="M214" s="3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3"/>
      <c r="D215" s="3"/>
      <c r="E215" s="3"/>
      <c r="F215" s="3"/>
      <c r="G215" s="3"/>
      <c r="H215" s="3"/>
      <c r="I215" s="3"/>
      <c r="J215" s="1"/>
      <c r="K215" s="1"/>
      <c r="L215" s="1"/>
      <c r="M215" s="3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3"/>
      <c r="D216" s="3"/>
      <c r="E216" s="3"/>
      <c r="F216" s="3"/>
      <c r="G216" s="3"/>
      <c r="H216" s="3"/>
      <c r="I216" s="3"/>
      <c r="J216" s="1"/>
      <c r="K216" s="1"/>
      <c r="L216" s="1"/>
      <c r="M216" s="3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3"/>
      <c r="D217" s="3"/>
      <c r="E217" s="3"/>
      <c r="F217" s="3"/>
      <c r="G217" s="3"/>
      <c r="H217" s="3"/>
      <c r="I217" s="3"/>
      <c r="J217" s="1"/>
      <c r="K217" s="1"/>
      <c r="L217" s="1"/>
      <c r="M217" s="3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3"/>
      <c r="D218" s="3"/>
      <c r="E218" s="3"/>
      <c r="F218" s="3"/>
      <c r="G218" s="3"/>
      <c r="H218" s="3"/>
      <c r="I218" s="3"/>
      <c r="J218" s="1"/>
      <c r="K218" s="1"/>
      <c r="L218" s="1"/>
      <c r="M218" s="3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3"/>
      <c r="D219" s="3"/>
      <c r="E219" s="3"/>
      <c r="F219" s="3"/>
      <c r="G219" s="3"/>
      <c r="H219" s="3"/>
      <c r="I219" s="3"/>
      <c r="J219" s="1"/>
      <c r="K219" s="1"/>
      <c r="L219" s="1"/>
      <c r="M219" s="3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3"/>
      <c r="D220" s="3"/>
      <c r="E220" s="3"/>
      <c r="F220" s="3"/>
      <c r="G220" s="3"/>
      <c r="H220" s="3"/>
      <c r="I220" s="3"/>
      <c r="J220" s="1"/>
      <c r="K220" s="1"/>
      <c r="L220" s="1"/>
      <c r="M220" s="3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3"/>
      <c r="D221" s="3"/>
      <c r="E221" s="3"/>
      <c r="F221" s="3"/>
      <c r="G221" s="3"/>
      <c r="H221" s="3"/>
      <c r="I221" s="3"/>
      <c r="J221" s="1"/>
      <c r="K221" s="1"/>
      <c r="L221" s="1"/>
      <c r="M221" s="3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3"/>
      <c r="D222" s="3"/>
      <c r="E222" s="3"/>
      <c r="F222" s="3"/>
      <c r="G222" s="3"/>
      <c r="H222" s="3"/>
      <c r="I222" s="3"/>
      <c r="J222" s="1"/>
      <c r="K222" s="1"/>
      <c r="L222" s="1"/>
      <c r="M222" s="3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3"/>
      <c r="D223" s="3"/>
      <c r="E223" s="3"/>
      <c r="F223" s="3"/>
      <c r="G223" s="3"/>
      <c r="H223" s="3"/>
      <c r="I223" s="3"/>
      <c r="J223" s="1"/>
      <c r="K223" s="1"/>
      <c r="L223" s="1"/>
      <c r="M223" s="3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3"/>
      <c r="D224" s="3"/>
      <c r="E224" s="3"/>
      <c r="F224" s="3"/>
      <c r="G224" s="3"/>
      <c r="H224" s="3"/>
      <c r="I224" s="3"/>
      <c r="J224" s="1"/>
      <c r="K224" s="1"/>
      <c r="L224" s="1"/>
      <c r="M224" s="3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3"/>
      <c r="D225" s="3"/>
      <c r="E225" s="3"/>
      <c r="F225" s="3"/>
      <c r="G225" s="3"/>
      <c r="H225" s="3"/>
      <c r="I225" s="3"/>
      <c r="J225" s="1"/>
      <c r="K225" s="1"/>
      <c r="L225" s="1"/>
      <c r="M225" s="3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3"/>
      <c r="D226" s="3"/>
      <c r="E226" s="3"/>
      <c r="F226" s="3"/>
      <c r="G226" s="3"/>
      <c r="H226" s="3"/>
      <c r="I226" s="3"/>
      <c r="J226" s="1"/>
      <c r="K226" s="1"/>
      <c r="L226" s="1"/>
      <c r="M226" s="3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3"/>
      <c r="D227" s="3"/>
      <c r="E227" s="3"/>
      <c r="F227" s="3"/>
      <c r="G227" s="3"/>
      <c r="H227" s="3"/>
      <c r="I227" s="3"/>
      <c r="J227" s="1"/>
      <c r="K227" s="1"/>
      <c r="L227" s="1"/>
      <c r="M227" s="3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3"/>
      <c r="D228" s="3"/>
      <c r="E228" s="3"/>
      <c r="F228" s="3"/>
      <c r="G228" s="3"/>
      <c r="H228" s="3"/>
      <c r="I228" s="3"/>
      <c r="J228" s="1"/>
      <c r="K228" s="1"/>
      <c r="L228" s="1"/>
      <c r="M228" s="3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3"/>
      <c r="D229" s="3"/>
      <c r="E229" s="3"/>
      <c r="F229" s="3"/>
      <c r="G229" s="3"/>
      <c r="H229" s="3"/>
      <c r="I229" s="3"/>
      <c r="J229" s="1"/>
      <c r="K229" s="1"/>
      <c r="L229" s="1"/>
      <c r="M229" s="3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3"/>
      <c r="D230" s="3"/>
      <c r="E230" s="3"/>
      <c r="F230" s="3"/>
      <c r="G230" s="3"/>
      <c r="H230" s="3"/>
      <c r="I230" s="3"/>
      <c r="J230" s="1"/>
      <c r="K230" s="1"/>
      <c r="L230" s="1"/>
      <c r="M230" s="3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3"/>
      <c r="D231" s="3"/>
      <c r="E231" s="3"/>
      <c r="F231" s="3"/>
      <c r="G231" s="3"/>
      <c r="H231" s="3"/>
      <c r="I231" s="3"/>
      <c r="J231" s="1"/>
      <c r="K231" s="1"/>
      <c r="L231" s="1"/>
      <c r="M231" s="3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3"/>
      <c r="D232" s="3"/>
      <c r="E232" s="3"/>
      <c r="F232" s="3"/>
      <c r="G232" s="3"/>
      <c r="H232" s="3"/>
      <c r="I232" s="3"/>
      <c r="J232" s="1"/>
      <c r="K232" s="1"/>
      <c r="L232" s="1"/>
      <c r="M232" s="3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3"/>
      <c r="D233" s="3"/>
      <c r="E233" s="3"/>
      <c r="F233" s="3"/>
      <c r="G233" s="3"/>
      <c r="H233" s="3"/>
      <c r="I233" s="3"/>
      <c r="J233" s="1"/>
      <c r="K233" s="1"/>
      <c r="L233" s="1"/>
      <c r="M233" s="3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3"/>
      <c r="D234" s="3"/>
      <c r="E234" s="3"/>
      <c r="F234" s="3"/>
      <c r="G234" s="3"/>
      <c r="H234" s="3"/>
      <c r="I234" s="3"/>
      <c r="J234" s="1"/>
      <c r="K234" s="1"/>
      <c r="L234" s="1"/>
      <c r="M234" s="3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3"/>
      <c r="D235" s="3"/>
      <c r="E235" s="3"/>
      <c r="F235" s="3"/>
      <c r="G235" s="3"/>
      <c r="H235" s="3"/>
      <c r="I235" s="3"/>
      <c r="J235" s="1"/>
      <c r="K235" s="1"/>
      <c r="L235" s="1"/>
      <c r="M235" s="3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3"/>
      <c r="D236" s="3"/>
      <c r="E236" s="3"/>
      <c r="F236" s="3"/>
      <c r="G236" s="3"/>
      <c r="H236" s="3"/>
      <c r="I236" s="3"/>
      <c r="J236" s="1"/>
      <c r="K236" s="1"/>
      <c r="L236" s="1"/>
      <c r="M236" s="3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3"/>
      <c r="D237" s="3"/>
      <c r="E237" s="3"/>
      <c r="F237" s="3"/>
      <c r="G237" s="3"/>
      <c r="H237" s="3"/>
      <c r="I237" s="3"/>
      <c r="J237" s="1"/>
      <c r="K237" s="1"/>
      <c r="L237" s="1"/>
      <c r="M237" s="3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3"/>
      <c r="D238" s="3"/>
      <c r="E238" s="3"/>
      <c r="F238" s="3"/>
      <c r="G238" s="3"/>
      <c r="H238" s="3"/>
      <c r="I238" s="3"/>
      <c r="J238" s="1"/>
      <c r="K238" s="1"/>
      <c r="L238" s="1"/>
      <c r="M238" s="3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3"/>
      <c r="D239" s="3"/>
      <c r="E239" s="3"/>
      <c r="F239" s="3"/>
      <c r="G239" s="3"/>
      <c r="H239" s="3"/>
      <c r="I239" s="3"/>
      <c r="J239" s="1"/>
      <c r="K239" s="1"/>
      <c r="L239" s="1"/>
      <c r="M239" s="3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3"/>
      <c r="D240" s="3"/>
      <c r="E240" s="3"/>
      <c r="F240" s="3"/>
      <c r="G240" s="3"/>
      <c r="H240" s="3"/>
      <c r="I240" s="3"/>
      <c r="J240" s="1"/>
      <c r="K240" s="1"/>
      <c r="L240" s="1"/>
      <c r="M240" s="3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3"/>
      <c r="D241" s="3"/>
      <c r="E241" s="3"/>
      <c r="F241" s="3"/>
      <c r="G241" s="3"/>
      <c r="H241" s="3"/>
      <c r="I241" s="3"/>
      <c r="J241" s="1"/>
      <c r="K241" s="1"/>
      <c r="L241" s="1"/>
      <c r="M241" s="3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3"/>
      <c r="D242" s="3"/>
      <c r="E242" s="3"/>
      <c r="F242" s="3"/>
      <c r="G242" s="3"/>
      <c r="H242" s="3"/>
      <c r="I242" s="3"/>
      <c r="J242" s="1"/>
      <c r="K242" s="1"/>
      <c r="L242" s="1"/>
      <c r="M242" s="3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3"/>
      <c r="D243" s="3"/>
      <c r="E243" s="3"/>
      <c r="F243" s="3"/>
      <c r="G243" s="3"/>
      <c r="H243" s="3"/>
      <c r="I243" s="3"/>
      <c r="J243" s="1"/>
      <c r="K243" s="1"/>
      <c r="L243" s="1"/>
      <c r="M243" s="3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3"/>
      <c r="D244" s="3"/>
      <c r="E244" s="3"/>
      <c r="F244" s="3"/>
      <c r="G244" s="3"/>
      <c r="H244" s="3"/>
      <c r="I244" s="3"/>
      <c r="J244" s="1"/>
      <c r="K244" s="1"/>
      <c r="L244" s="1"/>
      <c r="M244" s="3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3"/>
      <c r="D245" s="3"/>
      <c r="E245" s="3"/>
      <c r="F245" s="3"/>
      <c r="G245" s="3"/>
      <c r="H245" s="3"/>
      <c r="I245" s="3"/>
      <c r="J245" s="1"/>
      <c r="K245" s="1"/>
      <c r="L245" s="1"/>
      <c r="M245" s="3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3"/>
      <c r="D246" s="3"/>
      <c r="E246" s="3"/>
      <c r="F246" s="3"/>
      <c r="G246" s="3"/>
      <c r="H246" s="3"/>
      <c r="I246" s="3"/>
      <c r="J246" s="1"/>
      <c r="K246" s="1"/>
      <c r="L246" s="1"/>
      <c r="M246" s="3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3"/>
      <c r="D247" s="3"/>
      <c r="E247" s="3"/>
      <c r="F247" s="3"/>
      <c r="G247" s="3"/>
      <c r="H247" s="3"/>
      <c r="I247" s="3"/>
      <c r="J247" s="1"/>
      <c r="K247" s="1"/>
      <c r="L247" s="1"/>
      <c r="M247" s="3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3"/>
      <c r="D248" s="3"/>
      <c r="E248" s="3"/>
      <c r="F248" s="3"/>
      <c r="G248" s="3"/>
      <c r="H248" s="3"/>
      <c r="I248" s="3"/>
      <c r="J248" s="1"/>
      <c r="K248" s="1"/>
      <c r="L248" s="1"/>
      <c r="M248" s="3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3"/>
      <c r="D249" s="3"/>
      <c r="E249" s="3"/>
      <c r="F249" s="3"/>
      <c r="G249" s="3"/>
      <c r="H249" s="3"/>
      <c r="I249" s="3"/>
      <c r="J249" s="1"/>
      <c r="K249" s="1"/>
      <c r="L249" s="1"/>
      <c r="M249" s="3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3"/>
      <c r="D250" s="3"/>
      <c r="E250" s="3"/>
      <c r="F250" s="3"/>
      <c r="G250" s="3"/>
      <c r="H250" s="3"/>
      <c r="I250" s="3"/>
      <c r="J250" s="1"/>
      <c r="K250" s="1"/>
      <c r="L250" s="1"/>
      <c r="M250" s="3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3"/>
      <c r="D251" s="3"/>
      <c r="E251" s="3"/>
      <c r="F251" s="3"/>
      <c r="G251" s="3"/>
      <c r="H251" s="3"/>
      <c r="I251" s="3"/>
      <c r="J251" s="1"/>
      <c r="K251" s="1"/>
      <c r="L251" s="1"/>
      <c r="M251" s="3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3"/>
      <c r="D252" s="3"/>
      <c r="E252" s="3"/>
      <c r="F252" s="3"/>
      <c r="G252" s="3"/>
      <c r="H252" s="3"/>
      <c r="I252" s="3"/>
      <c r="J252" s="1"/>
      <c r="K252" s="1"/>
      <c r="L252" s="1"/>
      <c r="M252" s="3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3"/>
      <c r="D253" s="3"/>
      <c r="E253" s="3"/>
      <c r="F253" s="3"/>
      <c r="G253" s="3"/>
      <c r="H253" s="3"/>
      <c r="I253" s="3"/>
      <c r="J253" s="1"/>
      <c r="K253" s="1"/>
      <c r="L253" s="1"/>
      <c r="M253" s="3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3"/>
      <c r="D254" s="3"/>
      <c r="E254" s="3"/>
      <c r="F254" s="3"/>
      <c r="G254" s="3"/>
      <c r="H254" s="3"/>
      <c r="I254" s="3"/>
      <c r="J254" s="1"/>
      <c r="K254" s="1"/>
      <c r="L254" s="1"/>
      <c r="M254" s="3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3"/>
      <c r="D255" s="3"/>
      <c r="E255" s="3"/>
      <c r="F255" s="3"/>
      <c r="G255" s="3"/>
      <c r="H255" s="3"/>
      <c r="I255" s="3"/>
      <c r="J255" s="1"/>
      <c r="K255" s="1"/>
      <c r="L255" s="1"/>
      <c r="M255" s="3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3"/>
      <c r="D256" s="3"/>
      <c r="E256" s="3"/>
      <c r="F256" s="3"/>
      <c r="G256" s="3"/>
      <c r="H256" s="3"/>
      <c r="I256" s="3"/>
      <c r="J256" s="1"/>
      <c r="K256" s="1"/>
      <c r="L256" s="1"/>
      <c r="M256" s="3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3"/>
      <c r="D257" s="3"/>
      <c r="E257" s="3"/>
      <c r="F257" s="3"/>
      <c r="G257" s="3"/>
      <c r="H257" s="3"/>
      <c r="I257" s="3"/>
      <c r="J257" s="1"/>
      <c r="K257" s="1"/>
      <c r="L257" s="1"/>
      <c r="M257" s="3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3"/>
      <c r="D258" s="3"/>
      <c r="E258" s="3"/>
      <c r="F258" s="3"/>
      <c r="G258" s="3"/>
      <c r="H258" s="3"/>
      <c r="I258" s="3"/>
      <c r="J258" s="1"/>
      <c r="K258" s="1"/>
      <c r="L258" s="1"/>
      <c r="M258" s="3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3"/>
      <c r="D259" s="3"/>
      <c r="E259" s="3"/>
      <c r="F259" s="3"/>
      <c r="G259" s="3"/>
      <c r="H259" s="3"/>
      <c r="I259" s="3"/>
      <c r="J259" s="1"/>
      <c r="K259" s="1"/>
      <c r="L259" s="1"/>
      <c r="M259" s="3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3"/>
      <c r="D260" s="3"/>
      <c r="E260" s="3"/>
      <c r="F260" s="3"/>
      <c r="G260" s="3"/>
      <c r="H260" s="3"/>
      <c r="I260" s="3"/>
      <c r="J260" s="1"/>
      <c r="K260" s="1"/>
      <c r="L260" s="1"/>
      <c r="M260" s="3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3"/>
      <c r="D261" s="3"/>
      <c r="E261" s="3"/>
      <c r="F261" s="3"/>
      <c r="G261" s="3"/>
      <c r="H261" s="3"/>
      <c r="I261" s="3"/>
      <c r="J261" s="1"/>
      <c r="K261" s="1"/>
      <c r="L261" s="1"/>
      <c r="M261" s="3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3"/>
      <c r="D262" s="3"/>
      <c r="E262" s="3"/>
      <c r="F262" s="3"/>
      <c r="G262" s="3"/>
      <c r="H262" s="3"/>
      <c r="I262" s="3"/>
      <c r="J262" s="1"/>
      <c r="K262" s="1"/>
      <c r="L262" s="1"/>
      <c r="M262" s="3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3"/>
      <c r="D263" s="3"/>
      <c r="E263" s="3"/>
      <c r="F263" s="3"/>
      <c r="G263" s="3"/>
      <c r="H263" s="3"/>
      <c r="I263" s="3"/>
      <c r="J263" s="1"/>
      <c r="K263" s="1"/>
      <c r="L263" s="1"/>
      <c r="M263" s="3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3"/>
      <c r="D264" s="3"/>
      <c r="E264" s="3"/>
      <c r="F264" s="3"/>
      <c r="G264" s="3"/>
      <c r="H264" s="3"/>
      <c r="I264" s="3"/>
      <c r="J264" s="1"/>
      <c r="K264" s="1"/>
      <c r="L264" s="1"/>
      <c r="M264" s="3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3"/>
      <c r="D265" s="3"/>
      <c r="E265" s="3"/>
      <c r="F265" s="3"/>
      <c r="G265" s="3"/>
      <c r="H265" s="3"/>
      <c r="I265" s="3"/>
      <c r="J265" s="1"/>
      <c r="K265" s="1"/>
      <c r="L265" s="1"/>
      <c r="M265" s="3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3"/>
      <c r="D266" s="3"/>
      <c r="E266" s="3"/>
      <c r="F266" s="3"/>
      <c r="G266" s="3"/>
      <c r="H266" s="3"/>
      <c r="I266" s="3"/>
      <c r="J266" s="1"/>
      <c r="K266" s="1"/>
      <c r="L266" s="1"/>
      <c r="M266" s="3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3"/>
      <c r="D267" s="3"/>
      <c r="E267" s="3"/>
      <c r="F267" s="3"/>
      <c r="G267" s="3"/>
      <c r="H267" s="3"/>
      <c r="I267" s="3"/>
      <c r="J267" s="1"/>
      <c r="K267" s="1"/>
      <c r="L267" s="1"/>
      <c r="M267" s="3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3"/>
      <c r="D268" s="3"/>
      <c r="E268" s="3"/>
      <c r="F268" s="3"/>
      <c r="G268" s="3"/>
      <c r="H268" s="3"/>
      <c r="I268" s="3"/>
      <c r="J268" s="1"/>
      <c r="K268" s="1"/>
      <c r="L268" s="1"/>
      <c r="M268" s="3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3"/>
      <c r="D269" s="3"/>
      <c r="E269" s="3"/>
      <c r="F269" s="3"/>
      <c r="G269" s="3"/>
      <c r="H269" s="3"/>
      <c r="I269" s="3"/>
      <c r="J269" s="1"/>
      <c r="K269" s="1"/>
      <c r="L269" s="1"/>
      <c r="M269" s="3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3"/>
      <c r="D270" s="3"/>
      <c r="E270" s="3"/>
      <c r="F270" s="3"/>
      <c r="G270" s="3"/>
      <c r="H270" s="3"/>
      <c r="I270" s="3"/>
      <c r="J270" s="1"/>
      <c r="K270" s="1"/>
      <c r="L270" s="1"/>
      <c r="M270" s="3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3"/>
      <c r="D271" s="3"/>
      <c r="E271" s="3"/>
      <c r="F271" s="3"/>
      <c r="G271" s="3"/>
      <c r="H271" s="3"/>
      <c r="I271" s="3"/>
      <c r="J271" s="1"/>
      <c r="K271" s="1"/>
      <c r="L271" s="1"/>
      <c r="M271" s="3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3"/>
      <c r="D272" s="3"/>
      <c r="E272" s="3"/>
      <c r="F272" s="3"/>
      <c r="G272" s="3"/>
      <c r="H272" s="3"/>
      <c r="I272" s="3"/>
      <c r="J272" s="1"/>
      <c r="K272" s="1"/>
      <c r="L272" s="1"/>
      <c r="M272" s="3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3"/>
      <c r="D273" s="3"/>
      <c r="E273" s="3"/>
      <c r="F273" s="3"/>
      <c r="G273" s="3"/>
      <c r="H273" s="3"/>
      <c r="I273" s="3"/>
      <c r="J273" s="1"/>
      <c r="K273" s="1"/>
      <c r="L273" s="1"/>
      <c r="M273" s="3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3"/>
      <c r="D274" s="3"/>
      <c r="E274" s="3"/>
      <c r="F274" s="3"/>
      <c r="G274" s="3"/>
      <c r="H274" s="3"/>
      <c r="I274" s="3"/>
      <c r="J274" s="1"/>
      <c r="K274" s="1"/>
      <c r="L274" s="1"/>
      <c r="M274" s="3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3"/>
      <c r="D275" s="3"/>
      <c r="E275" s="3"/>
      <c r="F275" s="3"/>
      <c r="G275" s="3"/>
      <c r="H275" s="3"/>
      <c r="I275" s="3"/>
      <c r="J275" s="1"/>
      <c r="K275" s="1"/>
      <c r="L275" s="1"/>
      <c r="M275" s="3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3"/>
      <c r="D276" s="3"/>
      <c r="E276" s="3"/>
      <c r="F276" s="3"/>
      <c r="G276" s="3"/>
      <c r="H276" s="3"/>
      <c r="I276" s="3"/>
      <c r="J276" s="1"/>
      <c r="K276" s="1"/>
      <c r="L276" s="1"/>
      <c r="M276" s="3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3"/>
      <c r="D277" s="3"/>
      <c r="E277" s="3"/>
      <c r="F277" s="3"/>
      <c r="G277" s="3"/>
      <c r="H277" s="3"/>
      <c r="I277" s="3"/>
      <c r="J277" s="1"/>
      <c r="K277" s="1"/>
      <c r="L277" s="1"/>
      <c r="M277" s="3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3"/>
      <c r="D278" s="3"/>
      <c r="E278" s="3"/>
      <c r="F278" s="3"/>
      <c r="G278" s="3"/>
      <c r="H278" s="3"/>
      <c r="I278" s="3"/>
      <c r="J278" s="1"/>
      <c r="K278" s="1"/>
      <c r="L278" s="1"/>
      <c r="M278" s="3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3"/>
      <c r="D279" s="3"/>
      <c r="E279" s="3"/>
      <c r="F279" s="3"/>
      <c r="G279" s="3"/>
      <c r="H279" s="3"/>
      <c r="I279" s="3"/>
      <c r="J279" s="1"/>
      <c r="K279" s="1"/>
      <c r="L279" s="1"/>
      <c r="M279" s="3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3"/>
      <c r="D280" s="3"/>
      <c r="E280" s="3"/>
      <c r="F280" s="3"/>
      <c r="G280" s="3"/>
      <c r="H280" s="3"/>
      <c r="I280" s="3"/>
      <c r="J280" s="1"/>
      <c r="K280" s="1"/>
      <c r="L280" s="1"/>
      <c r="M280" s="3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3"/>
      <c r="D281" s="3"/>
      <c r="E281" s="3"/>
      <c r="F281" s="3"/>
      <c r="G281" s="3"/>
      <c r="H281" s="3"/>
      <c r="I281" s="3"/>
      <c r="J281" s="1"/>
      <c r="K281" s="1"/>
      <c r="L281" s="1"/>
      <c r="M281" s="3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3"/>
      <c r="D282" s="3"/>
      <c r="E282" s="3"/>
      <c r="F282" s="3"/>
      <c r="G282" s="3"/>
      <c r="H282" s="3"/>
      <c r="I282" s="3"/>
      <c r="J282" s="1"/>
      <c r="K282" s="1"/>
      <c r="L282" s="1"/>
      <c r="M282" s="3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3"/>
      <c r="D283" s="3"/>
      <c r="E283" s="3"/>
      <c r="F283" s="3"/>
      <c r="G283" s="3"/>
      <c r="H283" s="3"/>
      <c r="I283" s="3"/>
      <c r="J283" s="1"/>
      <c r="K283" s="1"/>
      <c r="L283" s="1"/>
      <c r="M283" s="3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3"/>
      <c r="D284" s="3"/>
      <c r="E284" s="3"/>
      <c r="F284" s="3"/>
      <c r="G284" s="3"/>
      <c r="H284" s="3"/>
      <c r="I284" s="3"/>
      <c r="J284" s="1"/>
      <c r="K284" s="1"/>
      <c r="L284" s="1"/>
      <c r="M284" s="3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3"/>
      <c r="D285" s="3"/>
      <c r="E285" s="3"/>
      <c r="F285" s="3"/>
      <c r="G285" s="3"/>
      <c r="H285" s="3"/>
      <c r="I285" s="3"/>
      <c r="J285" s="1"/>
      <c r="K285" s="1"/>
      <c r="L285" s="1"/>
      <c r="M285" s="3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3"/>
      <c r="D286" s="3"/>
      <c r="E286" s="3"/>
      <c r="F286" s="3"/>
      <c r="G286" s="3"/>
      <c r="H286" s="3"/>
      <c r="I286" s="3"/>
      <c r="J286" s="1"/>
      <c r="K286" s="1"/>
      <c r="L286" s="1"/>
      <c r="M286" s="3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3"/>
      <c r="D287" s="3"/>
      <c r="E287" s="3"/>
      <c r="F287" s="3"/>
      <c r="G287" s="3"/>
      <c r="H287" s="3"/>
      <c r="I287" s="3"/>
      <c r="J287" s="1"/>
      <c r="K287" s="1"/>
      <c r="L287" s="1"/>
      <c r="M287" s="3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3"/>
      <c r="D288" s="3"/>
      <c r="E288" s="3"/>
      <c r="F288" s="3"/>
      <c r="G288" s="3"/>
      <c r="H288" s="3"/>
      <c r="I288" s="3"/>
      <c r="J288" s="1"/>
      <c r="K288" s="1"/>
      <c r="L288" s="1"/>
      <c r="M288" s="3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3"/>
      <c r="D289" s="3"/>
      <c r="E289" s="3"/>
      <c r="F289" s="3"/>
      <c r="G289" s="3"/>
      <c r="H289" s="3"/>
      <c r="I289" s="3"/>
      <c r="J289" s="1"/>
      <c r="K289" s="1"/>
      <c r="L289" s="1"/>
      <c r="M289" s="3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3"/>
      <c r="D290" s="3"/>
      <c r="E290" s="3"/>
      <c r="F290" s="3"/>
      <c r="G290" s="3"/>
      <c r="H290" s="3"/>
      <c r="I290" s="3"/>
      <c r="J290" s="1"/>
      <c r="K290" s="1"/>
      <c r="L290" s="1"/>
      <c r="M290" s="3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3"/>
      <c r="D291" s="3"/>
      <c r="E291" s="3"/>
      <c r="F291" s="3"/>
      <c r="G291" s="3"/>
      <c r="H291" s="3"/>
      <c r="I291" s="3"/>
      <c r="J291" s="1"/>
      <c r="K291" s="1"/>
      <c r="L291" s="1"/>
      <c r="M291" s="3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3"/>
      <c r="D292" s="3"/>
      <c r="E292" s="3"/>
      <c r="F292" s="3"/>
      <c r="G292" s="3"/>
      <c r="H292" s="3"/>
      <c r="I292" s="3"/>
      <c r="J292" s="1"/>
      <c r="K292" s="1"/>
      <c r="L292" s="1"/>
      <c r="M292" s="3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3"/>
      <c r="D293" s="3"/>
      <c r="E293" s="3"/>
      <c r="F293" s="3"/>
      <c r="G293" s="3"/>
      <c r="H293" s="3"/>
      <c r="I293" s="3"/>
      <c r="J293" s="1"/>
      <c r="K293" s="1"/>
      <c r="L293" s="1"/>
      <c r="M293" s="3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3"/>
      <c r="D294" s="3"/>
      <c r="E294" s="3"/>
      <c r="F294" s="3"/>
      <c r="G294" s="3"/>
      <c r="H294" s="3"/>
      <c r="I294" s="3"/>
      <c r="J294" s="1"/>
      <c r="K294" s="1"/>
      <c r="L294" s="1"/>
      <c r="M294" s="3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3"/>
      <c r="D295" s="3"/>
      <c r="E295" s="3"/>
      <c r="F295" s="3"/>
      <c r="G295" s="3"/>
      <c r="H295" s="3"/>
      <c r="I295" s="3"/>
      <c r="J295" s="1"/>
      <c r="K295" s="1"/>
      <c r="L295" s="1"/>
      <c r="M295" s="3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3"/>
      <c r="D296" s="3"/>
      <c r="E296" s="3"/>
      <c r="F296" s="3"/>
      <c r="G296" s="3"/>
      <c r="H296" s="3"/>
      <c r="I296" s="3"/>
      <c r="J296" s="1"/>
      <c r="K296" s="1"/>
      <c r="L296" s="1"/>
      <c r="M296" s="3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3"/>
      <c r="D297" s="3"/>
      <c r="E297" s="3"/>
      <c r="F297" s="3"/>
      <c r="G297" s="3"/>
      <c r="H297" s="3"/>
      <c r="I297" s="3"/>
      <c r="J297" s="1"/>
      <c r="K297" s="1"/>
      <c r="L297" s="1"/>
      <c r="M297" s="3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3"/>
      <c r="D298" s="3"/>
      <c r="E298" s="3"/>
      <c r="F298" s="3"/>
      <c r="G298" s="3"/>
      <c r="H298" s="3"/>
      <c r="I298" s="3"/>
      <c r="J298" s="1"/>
      <c r="K298" s="1"/>
      <c r="L298" s="1"/>
      <c r="M298" s="3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3"/>
      <c r="D299" s="3"/>
      <c r="E299" s="3"/>
      <c r="F299" s="3"/>
      <c r="G299" s="3"/>
      <c r="H299" s="3"/>
      <c r="I299" s="3"/>
      <c r="J299" s="1"/>
      <c r="K299" s="1"/>
      <c r="L299" s="1"/>
      <c r="M299" s="3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3"/>
      <c r="D300" s="3"/>
      <c r="E300" s="3"/>
      <c r="F300" s="3"/>
      <c r="G300" s="3"/>
      <c r="H300" s="3"/>
      <c r="I300" s="3"/>
      <c r="J300" s="1"/>
      <c r="K300" s="1"/>
      <c r="L300" s="1"/>
      <c r="M300" s="3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3"/>
      <c r="D301" s="3"/>
      <c r="E301" s="3"/>
      <c r="F301" s="3"/>
      <c r="G301" s="3"/>
      <c r="H301" s="3"/>
      <c r="I301" s="3"/>
      <c r="J301" s="1"/>
      <c r="K301" s="1"/>
      <c r="L301" s="1"/>
      <c r="M301" s="3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3"/>
      <c r="D302" s="3"/>
      <c r="E302" s="3"/>
      <c r="F302" s="3"/>
      <c r="G302" s="3"/>
      <c r="H302" s="3"/>
      <c r="I302" s="3"/>
      <c r="J302" s="1"/>
      <c r="K302" s="1"/>
      <c r="L302" s="1"/>
      <c r="M302" s="3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3"/>
      <c r="D303" s="3"/>
      <c r="E303" s="3"/>
      <c r="F303" s="3"/>
      <c r="G303" s="3"/>
      <c r="H303" s="3"/>
      <c r="I303" s="3"/>
      <c r="J303" s="1"/>
      <c r="K303" s="1"/>
      <c r="L303" s="1"/>
      <c r="M303" s="3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3"/>
      <c r="D304" s="3"/>
      <c r="E304" s="3"/>
      <c r="F304" s="3"/>
      <c r="G304" s="3"/>
      <c r="H304" s="3"/>
      <c r="I304" s="3"/>
      <c r="J304" s="1"/>
      <c r="K304" s="1"/>
      <c r="L304" s="1"/>
      <c r="M304" s="3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3"/>
      <c r="D305" s="3"/>
      <c r="E305" s="3"/>
      <c r="F305" s="3"/>
      <c r="G305" s="3"/>
      <c r="H305" s="3"/>
      <c r="I305" s="3"/>
      <c r="J305" s="1"/>
      <c r="K305" s="1"/>
      <c r="L305" s="1"/>
      <c r="M305" s="3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3"/>
      <c r="D306" s="3"/>
      <c r="E306" s="3"/>
      <c r="F306" s="3"/>
      <c r="G306" s="3"/>
      <c r="H306" s="3"/>
      <c r="I306" s="3"/>
      <c r="J306" s="1"/>
      <c r="K306" s="1"/>
      <c r="L306" s="1"/>
      <c r="M306" s="3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3"/>
      <c r="D307" s="3"/>
      <c r="E307" s="3"/>
      <c r="F307" s="3"/>
      <c r="G307" s="3"/>
      <c r="H307" s="3"/>
      <c r="I307" s="3"/>
      <c r="J307" s="1"/>
      <c r="K307" s="1"/>
      <c r="L307" s="1"/>
      <c r="M307" s="3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3"/>
      <c r="D308" s="3"/>
      <c r="E308" s="3"/>
      <c r="F308" s="3"/>
      <c r="G308" s="3"/>
      <c r="H308" s="3"/>
      <c r="I308" s="3"/>
      <c r="J308" s="1"/>
      <c r="K308" s="1"/>
      <c r="L308" s="1"/>
      <c r="M308" s="3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3"/>
      <c r="D309" s="3"/>
      <c r="E309" s="3"/>
      <c r="F309" s="3"/>
      <c r="G309" s="3"/>
      <c r="H309" s="3"/>
      <c r="I309" s="3"/>
      <c r="J309" s="1"/>
      <c r="K309" s="1"/>
      <c r="L309" s="1"/>
      <c r="M309" s="3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3"/>
      <c r="D310" s="3"/>
      <c r="E310" s="3"/>
      <c r="F310" s="3"/>
      <c r="G310" s="3"/>
      <c r="H310" s="3"/>
      <c r="I310" s="3"/>
      <c r="J310" s="1"/>
      <c r="K310" s="1"/>
      <c r="L310" s="1"/>
      <c r="M310" s="3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3"/>
      <c r="D311" s="3"/>
      <c r="E311" s="3"/>
      <c r="F311" s="3"/>
      <c r="G311" s="3"/>
      <c r="H311" s="3"/>
      <c r="I311" s="3"/>
      <c r="J311" s="1"/>
      <c r="K311" s="1"/>
      <c r="L311" s="1"/>
      <c r="M311" s="3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3"/>
      <c r="D312" s="3"/>
      <c r="E312" s="3"/>
      <c r="F312" s="3"/>
      <c r="G312" s="3"/>
      <c r="H312" s="3"/>
      <c r="I312" s="3"/>
      <c r="J312" s="1"/>
      <c r="K312" s="1"/>
      <c r="L312" s="1"/>
      <c r="M312" s="3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3"/>
      <c r="D313" s="3"/>
      <c r="E313" s="3"/>
      <c r="F313" s="3"/>
      <c r="G313" s="3"/>
      <c r="H313" s="3"/>
      <c r="I313" s="3"/>
      <c r="J313" s="1"/>
      <c r="K313" s="1"/>
      <c r="L313" s="1"/>
      <c r="M313" s="3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3"/>
      <c r="D314" s="3"/>
      <c r="E314" s="3"/>
      <c r="F314" s="3"/>
      <c r="G314" s="3"/>
      <c r="H314" s="3"/>
      <c r="I314" s="3"/>
      <c r="J314" s="1"/>
      <c r="K314" s="1"/>
      <c r="L314" s="1"/>
      <c r="M314" s="3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3"/>
      <c r="D315" s="3"/>
      <c r="E315" s="3"/>
      <c r="F315" s="3"/>
      <c r="G315" s="3"/>
      <c r="H315" s="3"/>
      <c r="I315" s="3"/>
      <c r="J315" s="1"/>
      <c r="K315" s="1"/>
      <c r="L315" s="1"/>
      <c r="M315" s="3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3"/>
      <c r="D316" s="3"/>
      <c r="E316" s="3"/>
      <c r="F316" s="3"/>
      <c r="G316" s="3"/>
      <c r="H316" s="3"/>
      <c r="I316" s="3"/>
      <c r="J316" s="1"/>
      <c r="K316" s="1"/>
      <c r="L316" s="1"/>
      <c r="M316" s="3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3"/>
      <c r="D317" s="3"/>
      <c r="E317" s="3"/>
      <c r="F317" s="3"/>
      <c r="G317" s="3"/>
      <c r="H317" s="3"/>
      <c r="I317" s="3"/>
      <c r="J317" s="1"/>
      <c r="K317" s="1"/>
      <c r="L317" s="1"/>
      <c r="M317" s="3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3"/>
      <c r="D318" s="3"/>
      <c r="E318" s="3"/>
      <c r="F318" s="3"/>
      <c r="G318" s="3"/>
      <c r="H318" s="3"/>
      <c r="I318" s="3"/>
      <c r="J318" s="1"/>
      <c r="K318" s="1"/>
      <c r="L318" s="1"/>
      <c r="M318" s="3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3"/>
      <c r="D319" s="3"/>
      <c r="E319" s="3"/>
      <c r="F319" s="3"/>
      <c r="G319" s="3"/>
      <c r="H319" s="3"/>
      <c r="I319" s="3"/>
      <c r="J319" s="1"/>
      <c r="K319" s="1"/>
      <c r="L319" s="1"/>
      <c r="M319" s="3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3"/>
      <c r="D320" s="3"/>
      <c r="E320" s="3"/>
      <c r="F320" s="3"/>
      <c r="G320" s="3"/>
      <c r="H320" s="3"/>
      <c r="I320" s="3"/>
      <c r="J320" s="1"/>
      <c r="K320" s="1"/>
      <c r="L320" s="1"/>
      <c r="M320" s="3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3"/>
      <c r="D321" s="3"/>
      <c r="E321" s="3"/>
      <c r="F321" s="3"/>
      <c r="G321" s="3"/>
      <c r="H321" s="3"/>
      <c r="I321" s="3"/>
      <c r="J321" s="1"/>
      <c r="K321" s="1"/>
      <c r="L321" s="1"/>
      <c r="M321" s="3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3"/>
      <c r="D322" s="3"/>
      <c r="E322" s="3"/>
      <c r="F322" s="3"/>
      <c r="G322" s="3"/>
      <c r="H322" s="3"/>
      <c r="I322" s="3"/>
      <c r="J322" s="1"/>
      <c r="K322" s="1"/>
      <c r="L322" s="1"/>
      <c r="M322" s="3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3"/>
      <c r="D323" s="3"/>
      <c r="E323" s="3"/>
      <c r="F323" s="3"/>
      <c r="G323" s="3"/>
      <c r="H323" s="3"/>
      <c r="I323" s="3"/>
      <c r="J323" s="1"/>
      <c r="K323" s="1"/>
      <c r="L323" s="1"/>
      <c r="M323" s="3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3"/>
      <c r="D324" s="3"/>
      <c r="E324" s="3"/>
      <c r="F324" s="3"/>
      <c r="G324" s="3"/>
      <c r="H324" s="3"/>
      <c r="I324" s="3"/>
      <c r="J324" s="1"/>
      <c r="K324" s="1"/>
      <c r="L324" s="1"/>
      <c r="M324" s="3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3"/>
      <c r="D325" s="3"/>
      <c r="E325" s="3"/>
      <c r="F325" s="3"/>
      <c r="G325" s="3"/>
      <c r="H325" s="3"/>
      <c r="I325" s="3"/>
      <c r="J325" s="1"/>
      <c r="K325" s="1"/>
      <c r="L325" s="1"/>
      <c r="M325" s="3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3"/>
      <c r="D326" s="3"/>
      <c r="E326" s="3"/>
      <c r="F326" s="3"/>
      <c r="G326" s="3"/>
      <c r="H326" s="3"/>
      <c r="I326" s="3"/>
      <c r="J326" s="1"/>
      <c r="K326" s="1"/>
      <c r="L326" s="1"/>
      <c r="M326" s="3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3"/>
      <c r="D327" s="3"/>
      <c r="E327" s="3"/>
      <c r="F327" s="3"/>
      <c r="G327" s="3"/>
      <c r="H327" s="3"/>
      <c r="I327" s="3"/>
      <c r="J327" s="1"/>
      <c r="K327" s="1"/>
      <c r="L327" s="1"/>
      <c r="M327" s="3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3"/>
      <c r="D328" s="3"/>
      <c r="E328" s="3"/>
      <c r="F328" s="3"/>
      <c r="G328" s="3"/>
      <c r="H328" s="3"/>
      <c r="I328" s="3"/>
      <c r="J328" s="1"/>
      <c r="K328" s="1"/>
      <c r="L328" s="1"/>
      <c r="M328" s="3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3"/>
      <c r="D329" s="3"/>
      <c r="E329" s="3"/>
      <c r="F329" s="3"/>
      <c r="G329" s="3"/>
      <c r="H329" s="3"/>
      <c r="I329" s="3"/>
      <c r="J329" s="1"/>
      <c r="K329" s="1"/>
      <c r="L329" s="1"/>
      <c r="M329" s="3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3"/>
      <c r="D330" s="3"/>
      <c r="E330" s="3"/>
      <c r="F330" s="3"/>
      <c r="G330" s="3"/>
      <c r="H330" s="3"/>
      <c r="I330" s="3"/>
      <c r="J330" s="1"/>
      <c r="K330" s="1"/>
      <c r="L330" s="1"/>
      <c r="M330" s="3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3"/>
      <c r="D331" s="3"/>
      <c r="E331" s="3"/>
      <c r="F331" s="3"/>
      <c r="G331" s="3"/>
      <c r="H331" s="3"/>
      <c r="I331" s="3"/>
      <c r="J331" s="1"/>
      <c r="K331" s="1"/>
      <c r="L331" s="1"/>
      <c r="M331" s="3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3"/>
      <c r="D332" s="3"/>
      <c r="E332" s="3"/>
      <c r="F332" s="3"/>
      <c r="G332" s="3"/>
      <c r="H332" s="3"/>
      <c r="I332" s="3"/>
      <c r="J332" s="1"/>
      <c r="K332" s="1"/>
      <c r="L332" s="1"/>
      <c r="M332" s="3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3"/>
      <c r="D333" s="3"/>
      <c r="E333" s="3"/>
      <c r="F333" s="3"/>
      <c r="G333" s="3"/>
      <c r="H333" s="3"/>
      <c r="I333" s="3"/>
      <c r="J333" s="1"/>
      <c r="K333" s="1"/>
      <c r="L333" s="1"/>
      <c r="M333" s="3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3"/>
      <c r="D334" s="3"/>
      <c r="E334" s="3"/>
      <c r="F334" s="3"/>
      <c r="G334" s="3"/>
      <c r="H334" s="3"/>
      <c r="I334" s="3"/>
      <c r="J334" s="1"/>
      <c r="K334" s="1"/>
      <c r="L334" s="1"/>
      <c r="M334" s="3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3"/>
      <c r="D335" s="3"/>
      <c r="E335" s="3"/>
      <c r="F335" s="3"/>
      <c r="G335" s="3"/>
      <c r="H335" s="3"/>
      <c r="I335" s="3"/>
      <c r="J335" s="1"/>
      <c r="K335" s="1"/>
      <c r="L335" s="1"/>
      <c r="M335" s="3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3"/>
      <c r="D336" s="3"/>
      <c r="E336" s="3"/>
      <c r="F336" s="3"/>
      <c r="G336" s="3"/>
      <c r="H336" s="3"/>
      <c r="I336" s="3"/>
      <c r="J336" s="1"/>
      <c r="K336" s="1"/>
      <c r="L336" s="1"/>
      <c r="M336" s="3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3"/>
      <c r="D337" s="3"/>
      <c r="E337" s="3"/>
      <c r="F337" s="3"/>
      <c r="G337" s="3"/>
      <c r="H337" s="3"/>
      <c r="I337" s="3"/>
      <c r="J337" s="1"/>
      <c r="K337" s="1"/>
      <c r="L337" s="1"/>
      <c r="M337" s="3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3"/>
      <c r="D338" s="3"/>
      <c r="E338" s="3"/>
      <c r="F338" s="3"/>
      <c r="G338" s="3"/>
      <c r="H338" s="3"/>
      <c r="I338" s="3"/>
      <c r="J338" s="1"/>
      <c r="K338" s="1"/>
      <c r="L338" s="1"/>
      <c r="M338" s="3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3"/>
      <c r="D339" s="3"/>
      <c r="E339" s="3"/>
      <c r="F339" s="3"/>
      <c r="G339" s="3"/>
      <c r="H339" s="3"/>
      <c r="I339" s="3"/>
      <c r="J339" s="1"/>
      <c r="K339" s="1"/>
      <c r="L339" s="1"/>
      <c r="M339" s="3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3"/>
      <c r="D340" s="3"/>
      <c r="E340" s="3"/>
      <c r="F340" s="3"/>
      <c r="G340" s="3"/>
      <c r="H340" s="3"/>
      <c r="I340" s="3"/>
      <c r="J340" s="1"/>
      <c r="K340" s="1"/>
      <c r="L340" s="1"/>
      <c r="M340" s="3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3"/>
      <c r="D341" s="3"/>
      <c r="E341" s="3"/>
      <c r="F341" s="3"/>
      <c r="G341" s="3"/>
      <c r="H341" s="3"/>
      <c r="I341" s="3"/>
      <c r="J341" s="1"/>
      <c r="K341" s="1"/>
      <c r="L341" s="1"/>
      <c r="M341" s="3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3"/>
      <c r="D342" s="3"/>
      <c r="E342" s="3"/>
      <c r="F342" s="3"/>
      <c r="G342" s="3"/>
      <c r="H342" s="3"/>
      <c r="I342" s="3"/>
      <c r="J342" s="1"/>
      <c r="K342" s="1"/>
      <c r="L342" s="1"/>
      <c r="M342" s="3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3"/>
      <c r="D343" s="3"/>
      <c r="E343" s="3"/>
      <c r="F343" s="3"/>
      <c r="G343" s="3"/>
      <c r="H343" s="3"/>
      <c r="I343" s="3"/>
      <c r="J343" s="1"/>
      <c r="K343" s="1"/>
      <c r="L343" s="1"/>
      <c r="M343" s="3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3"/>
      <c r="D344" s="3"/>
      <c r="E344" s="3"/>
      <c r="F344" s="3"/>
      <c r="G344" s="3"/>
      <c r="H344" s="3"/>
      <c r="I344" s="3"/>
      <c r="J344" s="1"/>
      <c r="K344" s="1"/>
      <c r="L344" s="1"/>
      <c r="M344" s="3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3"/>
      <c r="D345" s="3"/>
      <c r="E345" s="3"/>
      <c r="F345" s="3"/>
      <c r="G345" s="3"/>
      <c r="H345" s="3"/>
      <c r="I345" s="3"/>
      <c r="J345" s="1"/>
      <c r="K345" s="1"/>
      <c r="L345" s="1"/>
      <c r="M345" s="3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3"/>
      <c r="D346" s="3"/>
      <c r="E346" s="3"/>
      <c r="F346" s="3"/>
      <c r="G346" s="3"/>
      <c r="H346" s="3"/>
      <c r="I346" s="3"/>
      <c r="J346" s="1"/>
      <c r="K346" s="1"/>
      <c r="L346" s="1"/>
      <c r="M346" s="3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3"/>
      <c r="D347" s="3"/>
      <c r="E347" s="3"/>
      <c r="F347" s="3"/>
      <c r="G347" s="3"/>
      <c r="H347" s="3"/>
      <c r="I347" s="3"/>
      <c r="J347" s="1"/>
      <c r="K347" s="1"/>
      <c r="L347" s="1"/>
      <c r="M347" s="3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3"/>
      <c r="D348" s="3"/>
      <c r="E348" s="3"/>
      <c r="F348" s="3"/>
      <c r="G348" s="3"/>
      <c r="H348" s="3"/>
      <c r="I348" s="3"/>
      <c r="J348" s="1"/>
      <c r="K348" s="1"/>
      <c r="L348" s="1"/>
      <c r="M348" s="3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3"/>
      <c r="D349" s="3"/>
      <c r="E349" s="3"/>
      <c r="F349" s="3"/>
      <c r="G349" s="3"/>
      <c r="H349" s="3"/>
      <c r="I349" s="3"/>
      <c r="J349" s="1"/>
      <c r="K349" s="1"/>
      <c r="L349" s="1"/>
      <c r="M349" s="3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3"/>
      <c r="D350" s="3"/>
      <c r="E350" s="3"/>
      <c r="F350" s="3"/>
      <c r="G350" s="3"/>
      <c r="H350" s="3"/>
      <c r="I350" s="3"/>
      <c r="J350" s="1"/>
      <c r="K350" s="1"/>
      <c r="L350" s="1"/>
      <c r="M350" s="3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3"/>
      <c r="D351" s="3"/>
      <c r="E351" s="3"/>
      <c r="F351" s="3"/>
      <c r="G351" s="3"/>
      <c r="H351" s="3"/>
      <c r="I351" s="3"/>
      <c r="J351" s="1"/>
      <c r="K351" s="1"/>
      <c r="L351" s="1"/>
      <c r="M351" s="3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3"/>
      <c r="D352" s="3"/>
      <c r="E352" s="3"/>
      <c r="F352" s="3"/>
      <c r="G352" s="3"/>
      <c r="H352" s="3"/>
      <c r="I352" s="3"/>
      <c r="J352" s="1"/>
      <c r="K352" s="1"/>
      <c r="L352" s="1"/>
      <c r="M352" s="3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3"/>
      <c r="D353" s="3"/>
      <c r="E353" s="3"/>
      <c r="F353" s="3"/>
      <c r="G353" s="3"/>
      <c r="H353" s="3"/>
      <c r="I353" s="3"/>
      <c r="J353" s="1"/>
      <c r="K353" s="1"/>
      <c r="L353" s="1"/>
      <c r="M353" s="3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3"/>
      <c r="D354" s="3"/>
      <c r="E354" s="3"/>
      <c r="F354" s="3"/>
      <c r="G354" s="3"/>
      <c r="H354" s="3"/>
      <c r="I354" s="3"/>
      <c r="J354" s="1"/>
      <c r="K354" s="1"/>
      <c r="L354" s="1"/>
      <c r="M354" s="3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3"/>
      <c r="D355" s="3"/>
      <c r="E355" s="3"/>
      <c r="F355" s="3"/>
      <c r="G355" s="3"/>
      <c r="H355" s="3"/>
      <c r="I355" s="3"/>
      <c r="J355" s="1"/>
      <c r="K355" s="1"/>
      <c r="L355" s="1"/>
      <c r="M355" s="3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3"/>
      <c r="D356" s="3"/>
      <c r="E356" s="3"/>
      <c r="F356" s="3"/>
      <c r="G356" s="3"/>
      <c r="H356" s="3"/>
      <c r="I356" s="3"/>
      <c r="J356" s="1"/>
      <c r="K356" s="1"/>
      <c r="L356" s="1"/>
      <c r="M356" s="3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3"/>
      <c r="D357" s="3"/>
      <c r="E357" s="3"/>
      <c r="F357" s="3"/>
      <c r="G357" s="3"/>
      <c r="H357" s="3"/>
      <c r="I357" s="3"/>
      <c r="J357" s="1"/>
      <c r="K357" s="1"/>
      <c r="L357" s="1"/>
      <c r="M357" s="3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3"/>
      <c r="D358" s="3"/>
      <c r="E358" s="3"/>
      <c r="F358" s="3"/>
      <c r="G358" s="3"/>
      <c r="H358" s="3"/>
      <c r="I358" s="3"/>
      <c r="J358" s="1"/>
      <c r="K358" s="1"/>
      <c r="L358" s="1"/>
      <c r="M358" s="3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3"/>
      <c r="D359" s="3"/>
      <c r="E359" s="3"/>
      <c r="F359" s="3"/>
      <c r="G359" s="3"/>
      <c r="H359" s="3"/>
      <c r="I359" s="3"/>
      <c r="J359" s="1"/>
      <c r="K359" s="1"/>
      <c r="L359" s="1"/>
      <c r="M359" s="3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3"/>
      <c r="D360" s="3"/>
      <c r="E360" s="3"/>
      <c r="F360" s="3"/>
      <c r="G360" s="3"/>
      <c r="H360" s="3"/>
      <c r="I360" s="3"/>
      <c r="J360" s="1"/>
      <c r="K360" s="1"/>
      <c r="L360" s="1"/>
      <c r="M360" s="3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3"/>
      <c r="D361" s="3"/>
      <c r="E361" s="3"/>
      <c r="F361" s="3"/>
      <c r="G361" s="3"/>
      <c r="H361" s="3"/>
      <c r="I361" s="3"/>
      <c r="J361" s="1"/>
      <c r="K361" s="1"/>
      <c r="L361" s="1"/>
      <c r="M361" s="3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3"/>
      <c r="D362" s="3"/>
      <c r="E362" s="3"/>
      <c r="F362" s="3"/>
      <c r="G362" s="3"/>
      <c r="H362" s="3"/>
      <c r="I362" s="3"/>
      <c r="J362" s="1"/>
      <c r="K362" s="1"/>
      <c r="L362" s="1"/>
      <c r="M362" s="3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3"/>
      <c r="D363" s="3"/>
      <c r="E363" s="3"/>
      <c r="F363" s="3"/>
      <c r="G363" s="3"/>
      <c r="H363" s="3"/>
      <c r="I363" s="3"/>
      <c r="J363" s="1"/>
      <c r="K363" s="1"/>
      <c r="L363" s="1"/>
      <c r="M363" s="3"/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3"/>
      <c r="D364" s="3"/>
      <c r="E364" s="3"/>
      <c r="F364" s="3"/>
      <c r="G364" s="3"/>
      <c r="H364" s="3"/>
      <c r="I364" s="3"/>
      <c r="J364" s="1"/>
      <c r="K364" s="1"/>
      <c r="L364" s="1"/>
      <c r="M364" s="3"/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3"/>
      <c r="D365" s="3"/>
      <c r="E365" s="3"/>
      <c r="F365" s="3"/>
      <c r="G365" s="3"/>
      <c r="H365" s="3"/>
      <c r="I365" s="3"/>
      <c r="J365" s="1"/>
      <c r="K365" s="1"/>
      <c r="L365" s="1"/>
      <c r="M365" s="3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3"/>
      <c r="D366" s="3"/>
      <c r="E366" s="3"/>
      <c r="F366" s="3"/>
      <c r="G366" s="3"/>
      <c r="H366" s="3"/>
      <c r="I366" s="3"/>
      <c r="J366" s="1"/>
      <c r="K366" s="1"/>
      <c r="L366" s="1"/>
      <c r="M366" s="3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3"/>
      <c r="D367" s="3"/>
      <c r="E367" s="3"/>
      <c r="F367" s="3"/>
      <c r="G367" s="3"/>
      <c r="H367" s="3"/>
      <c r="I367" s="3"/>
      <c r="J367" s="1"/>
      <c r="K367" s="1"/>
      <c r="L367" s="1"/>
      <c r="M367" s="3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3"/>
      <c r="D368" s="3"/>
      <c r="E368" s="3"/>
      <c r="F368" s="3"/>
      <c r="G368" s="3"/>
      <c r="H368" s="3"/>
      <c r="I368" s="3"/>
      <c r="J368" s="1"/>
      <c r="K368" s="1"/>
      <c r="L368" s="1"/>
      <c r="M368" s="3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3"/>
      <c r="D369" s="3"/>
      <c r="E369" s="3"/>
      <c r="F369" s="3"/>
      <c r="G369" s="3"/>
      <c r="H369" s="3"/>
      <c r="I369" s="3"/>
      <c r="J369" s="1"/>
      <c r="K369" s="1"/>
      <c r="L369" s="1"/>
      <c r="M369" s="3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3"/>
      <c r="D370" s="3"/>
      <c r="E370" s="3"/>
      <c r="F370" s="3"/>
      <c r="G370" s="3"/>
      <c r="H370" s="3"/>
      <c r="I370" s="3"/>
      <c r="J370" s="1"/>
      <c r="K370" s="1"/>
      <c r="L370" s="1"/>
      <c r="M370" s="3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3"/>
      <c r="D371" s="3"/>
      <c r="E371" s="3"/>
      <c r="F371" s="3"/>
      <c r="G371" s="3"/>
      <c r="H371" s="3"/>
      <c r="I371" s="3"/>
      <c r="J371" s="1"/>
      <c r="K371" s="1"/>
      <c r="L371" s="1"/>
      <c r="M371" s="3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3"/>
      <c r="D372" s="3"/>
      <c r="E372" s="3"/>
      <c r="F372" s="3"/>
      <c r="G372" s="3"/>
      <c r="H372" s="3"/>
      <c r="I372" s="3"/>
      <c r="J372" s="1"/>
      <c r="K372" s="1"/>
      <c r="L372" s="1"/>
      <c r="M372" s="3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3"/>
      <c r="D373" s="3"/>
      <c r="E373" s="3"/>
      <c r="F373" s="3"/>
      <c r="G373" s="3"/>
      <c r="H373" s="3"/>
      <c r="I373" s="3"/>
      <c r="J373" s="1"/>
      <c r="K373" s="1"/>
      <c r="L373" s="1"/>
      <c r="M373" s="3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3"/>
      <c r="D374" s="3"/>
      <c r="E374" s="3"/>
      <c r="F374" s="3"/>
      <c r="G374" s="3"/>
      <c r="H374" s="3"/>
      <c r="I374" s="3"/>
      <c r="J374" s="1"/>
      <c r="K374" s="1"/>
      <c r="L374" s="1"/>
      <c r="M374" s="3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3"/>
      <c r="D375" s="3"/>
      <c r="E375" s="3"/>
      <c r="F375" s="3"/>
      <c r="G375" s="3"/>
      <c r="H375" s="3"/>
      <c r="I375" s="3"/>
      <c r="J375" s="1"/>
      <c r="K375" s="1"/>
      <c r="L375" s="1"/>
      <c r="M375" s="3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3"/>
      <c r="D376" s="3"/>
      <c r="E376" s="3"/>
      <c r="F376" s="3"/>
      <c r="G376" s="3"/>
      <c r="H376" s="3"/>
      <c r="I376" s="3"/>
      <c r="J376" s="1"/>
      <c r="K376" s="1"/>
      <c r="L376" s="1"/>
      <c r="M376" s="3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3"/>
      <c r="D377" s="3"/>
      <c r="E377" s="3"/>
      <c r="F377" s="3"/>
      <c r="G377" s="3"/>
      <c r="H377" s="3"/>
      <c r="I377" s="3"/>
      <c r="J377" s="1"/>
      <c r="K377" s="1"/>
      <c r="L377" s="1"/>
      <c r="M377" s="3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3"/>
      <c r="D378" s="3"/>
      <c r="E378" s="3"/>
      <c r="F378" s="3"/>
      <c r="G378" s="3"/>
      <c r="H378" s="3"/>
      <c r="I378" s="3"/>
      <c r="J378" s="1"/>
      <c r="K378" s="1"/>
      <c r="L378" s="1"/>
      <c r="M378" s="3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3"/>
      <c r="D379" s="3"/>
      <c r="E379" s="3"/>
      <c r="F379" s="3"/>
      <c r="G379" s="3"/>
      <c r="H379" s="3"/>
      <c r="I379" s="3"/>
      <c r="J379" s="1"/>
      <c r="K379" s="1"/>
      <c r="L379" s="1"/>
      <c r="M379" s="3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3"/>
      <c r="D380" s="3"/>
      <c r="E380" s="3"/>
      <c r="F380" s="3"/>
      <c r="G380" s="3"/>
      <c r="H380" s="3"/>
      <c r="I380" s="3"/>
      <c r="J380" s="1"/>
      <c r="K380" s="1"/>
      <c r="L380" s="1"/>
      <c r="M380" s="3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3"/>
      <c r="D381" s="3"/>
      <c r="E381" s="3"/>
      <c r="F381" s="3"/>
      <c r="G381" s="3"/>
      <c r="H381" s="3"/>
      <c r="I381" s="3"/>
      <c r="J381" s="1"/>
      <c r="K381" s="1"/>
      <c r="L381" s="1"/>
      <c r="M381" s="3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3"/>
      <c r="D382" s="3"/>
      <c r="E382" s="3"/>
      <c r="F382" s="3"/>
      <c r="G382" s="3"/>
      <c r="H382" s="3"/>
      <c r="I382" s="3"/>
      <c r="J382" s="1"/>
      <c r="K382" s="1"/>
      <c r="L382" s="1"/>
      <c r="M382" s="3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3"/>
      <c r="D383" s="3"/>
      <c r="E383" s="3"/>
      <c r="F383" s="3"/>
      <c r="G383" s="3"/>
      <c r="H383" s="3"/>
      <c r="I383" s="3"/>
      <c r="J383" s="1"/>
      <c r="K383" s="1"/>
      <c r="L383" s="1"/>
      <c r="M383" s="3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3"/>
      <c r="D384" s="3"/>
      <c r="E384" s="3"/>
      <c r="F384" s="3"/>
      <c r="G384" s="3"/>
      <c r="H384" s="3"/>
      <c r="I384" s="3"/>
      <c r="J384" s="1"/>
      <c r="K384" s="1"/>
      <c r="L384" s="1"/>
      <c r="M384" s="3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3"/>
      <c r="D385" s="3"/>
      <c r="E385" s="3"/>
      <c r="F385" s="3"/>
      <c r="G385" s="3"/>
      <c r="H385" s="3"/>
      <c r="I385" s="3"/>
      <c r="J385" s="1"/>
      <c r="K385" s="1"/>
      <c r="L385" s="1"/>
      <c r="M385" s="3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3"/>
      <c r="D386" s="3"/>
      <c r="E386" s="3"/>
      <c r="F386" s="3"/>
      <c r="G386" s="3"/>
      <c r="H386" s="3"/>
      <c r="I386" s="3"/>
      <c r="J386" s="1"/>
      <c r="K386" s="1"/>
      <c r="L386" s="1"/>
      <c r="M386" s="3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3"/>
      <c r="D387" s="3"/>
      <c r="E387" s="3"/>
      <c r="F387" s="3"/>
      <c r="G387" s="3"/>
      <c r="H387" s="3"/>
      <c r="I387" s="3"/>
      <c r="J387" s="1"/>
      <c r="K387" s="1"/>
      <c r="L387" s="1"/>
      <c r="M387" s="3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3"/>
      <c r="D388" s="3"/>
      <c r="E388" s="3"/>
      <c r="F388" s="3"/>
      <c r="G388" s="3"/>
      <c r="H388" s="3"/>
      <c r="I388" s="3"/>
      <c r="J388" s="1"/>
      <c r="K388" s="1"/>
      <c r="L388" s="1"/>
      <c r="M388" s="3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3"/>
      <c r="D389" s="3"/>
      <c r="E389" s="3"/>
      <c r="F389" s="3"/>
      <c r="G389" s="3"/>
      <c r="H389" s="3"/>
      <c r="I389" s="3"/>
      <c r="J389" s="1"/>
      <c r="K389" s="1"/>
      <c r="L389" s="1"/>
      <c r="M389" s="3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3"/>
      <c r="D390" s="3"/>
      <c r="E390" s="3"/>
      <c r="F390" s="3"/>
      <c r="G390" s="3"/>
      <c r="H390" s="3"/>
      <c r="I390" s="3"/>
      <c r="J390" s="1"/>
      <c r="K390" s="1"/>
      <c r="L390" s="1"/>
      <c r="M390" s="3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3"/>
      <c r="D391" s="3"/>
      <c r="E391" s="3"/>
      <c r="F391" s="3"/>
      <c r="G391" s="3"/>
      <c r="H391" s="3"/>
      <c r="I391" s="3"/>
      <c r="J391" s="1"/>
      <c r="K391" s="1"/>
      <c r="L391" s="1"/>
      <c r="M391" s="3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3"/>
      <c r="D392" s="3"/>
      <c r="E392" s="3"/>
      <c r="F392" s="3"/>
      <c r="G392" s="3"/>
      <c r="H392" s="3"/>
      <c r="I392" s="3"/>
      <c r="J392" s="1"/>
      <c r="K392" s="1"/>
      <c r="L392" s="1"/>
      <c r="M392" s="3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3"/>
      <c r="D393" s="3"/>
      <c r="E393" s="3"/>
      <c r="F393" s="3"/>
      <c r="G393" s="3"/>
      <c r="H393" s="3"/>
      <c r="I393" s="3"/>
      <c r="J393" s="1"/>
      <c r="K393" s="1"/>
      <c r="L393" s="1"/>
      <c r="M393" s="3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3"/>
      <c r="D394" s="3"/>
      <c r="E394" s="3"/>
      <c r="F394" s="3"/>
      <c r="G394" s="3"/>
      <c r="H394" s="3"/>
      <c r="I394" s="3"/>
      <c r="J394" s="1"/>
      <c r="K394" s="1"/>
      <c r="L394" s="1"/>
      <c r="M394" s="3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3"/>
      <c r="D395" s="3"/>
      <c r="E395" s="3"/>
      <c r="F395" s="3"/>
      <c r="G395" s="3"/>
      <c r="H395" s="3"/>
      <c r="I395" s="3"/>
      <c r="J395" s="1"/>
      <c r="K395" s="1"/>
      <c r="L395" s="1"/>
      <c r="M395" s="3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3"/>
      <c r="D396" s="3"/>
      <c r="E396" s="3"/>
      <c r="F396" s="3"/>
      <c r="G396" s="3"/>
      <c r="H396" s="3"/>
      <c r="I396" s="3"/>
      <c r="J396" s="1"/>
      <c r="K396" s="1"/>
      <c r="L396" s="1"/>
      <c r="M396" s="3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3"/>
      <c r="D397" s="3"/>
      <c r="E397" s="3"/>
      <c r="F397" s="3"/>
      <c r="G397" s="3"/>
      <c r="H397" s="3"/>
      <c r="I397" s="3"/>
      <c r="J397" s="1"/>
      <c r="K397" s="1"/>
      <c r="L397" s="1"/>
      <c r="M397" s="3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3"/>
      <c r="D398" s="3"/>
      <c r="E398" s="3"/>
      <c r="F398" s="3"/>
      <c r="G398" s="3"/>
      <c r="H398" s="3"/>
      <c r="I398" s="3"/>
      <c r="J398" s="1"/>
      <c r="K398" s="1"/>
      <c r="L398" s="1"/>
      <c r="M398" s="3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3"/>
      <c r="D399" s="3"/>
      <c r="E399" s="3"/>
      <c r="F399" s="3"/>
      <c r="G399" s="3"/>
      <c r="H399" s="3"/>
      <c r="I399" s="3"/>
      <c r="J399" s="1"/>
      <c r="K399" s="1"/>
      <c r="L399" s="1"/>
      <c r="M399" s="3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3"/>
      <c r="D400" s="3"/>
      <c r="E400" s="3"/>
      <c r="F400" s="3"/>
      <c r="G400" s="3"/>
      <c r="H400" s="3"/>
      <c r="I400" s="3"/>
      <c r="J400" s="1"/>
      <c r="K400" s="1"/>
      <c r="L400" s="1"/>
      <c r="M400" s="3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3"/>
      <c r="D401" s="3"/>
      <c r="E401" s="3"/>
      <c r="F401" s="3"/>
      <c r="G401" s="3"/>
      <c r="H401" s="3"/>
      <c r="I401" s="3"/>
      <c r="J401" s="1"/>
      <c r="K401" s="1"/>
      <c r="L401" s="1"/>
      <c r="M401" s="3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3"/>
      <c r="D402" s="3"/>
      <c r="E402" s="3"/>
      <c r="F402" s="3"/>
      <c r="G402" s="3"/>
      <c r="H402" s="3"/>
      <c r="I402" s="3"/>
      <c r="J402" s="1"/>
      <c r="K402" s="1"/>
      <c r="L402" s="1"/>
      <c r="M402" s="3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3"/>
      <c r="D403" s="3"/>
      <c r="E403" s="3"/>
      <c r="F403" s="3"/>
      <c r="G403" s="3"/>
      <c r="H403" s="3"/>
      <c r="I403" s="3"/>
      <c r="J403" s="1"/>
      <c r="K403" s="1"/>
      <c r="L403" s="1"/>
      <c r="M403" s="3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3"/>
      <c r="D404" s="3"/>
      <c r="E404" s="3"/>
      <c r="F404" s="3"/>
      <c r="G404" s="3"/>
      <c r="H404" s="3"/>
      <c r="I404" s="3"/>
      <c r="J404" s="1"/>
      <c r="K404" s="1"/>
      <c r="L404" s="1"/>
      <c r="M404" s="3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3"/>
      <c r="D405" s="3"/>
      <c r="E405" s="3"/>
      <c r="F405" s="3"/>
      <c r="G405" s="3"/>
      <c r="H405" s="3"/>
      <c r="I405" s="3"/>
      <c r="J405" s="1"/>
      <c r="K405" s="1"/>
      <c r="L405" s="1"/>
      <c r="M405" s="3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3"/>
      <c r="D406" s="3"/>
      <c r="E406" s="3"/>
      <c r="F406" s="3"/>
      <c r="G406" s="3"/>
      <c r="H406" s="3"/>
      <c r="I406" s="3"/>
      <c r="J406" s="1"/>
      <c r="K406" s="1"/>
      <c r="L406" s="1"/>
      <c r="M406" s="3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3"/>
      <c r="D407" s="3"/>
      <c r="E407" s="3"/>
      <c r="F407" s="3"/>
      <c r="G407" s="3"/>
      <c r="H407" s="3"/>
      <c r="I407" s="3"/>
      <c r="J407" s="1"/>
      <c r="K407" s="1"/>
      <c r="L407" s="1"/>
      <c r="M407" s="3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3"/>
      <c r="D408" s="3"/>
      <c r="E408" s="3"/>
      <c r="F408" s="3"/>
      <c r="G408" s="3"/>
      <c r="H408" s="3"/>
      <c r="I408" s="3"/>
      <c r="J408" s="1"/>
      <c r="K408" s="1"/>
      <c r="L408" s="1"/>
      <c r="M408" s="3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3"/>
      <c r="D409" s="3"/>
      <c r="E409" s="3"/>
      <c r="F409" s="3"/>
      <c r="G409" s="3"/>
      <c r="H409" s="3"/>
      <c r="I409" s="3"/>
      <c r="J409" s="1"/>
      <c r="K409" s="1"/>
      <c r="L409" s="1"/>
      <c r="M409" s="3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3"/>
      <c r="D410" s="3"/>
      <c r="E410" s="3"/>
      <c r="F410" s="3"/>
      <c r="G410" s="3"/>
      <c r="H410" s="3"/>
      <c r="I410" s="3"/>
      <c r="J410" s="1"/>
      <c r="K410" s="1"/>
      <c r="L410" s="1"/>
      <c r="M410" s="3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3"/>
      <c r="D411" s="3"/>
      <c r="E411" s="3"/>
      <c r="F411" s="3"/>
      <c r="G411" s="3"/>
      <c r="H411" s="3"/>
      <c r="I411" s="3"/>
      <c r="J411" s="1"/>
      <c r="K411" s="1"/>
      <c r="L411" s="1"/>
      <c r="M411" s="3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3"/>
      <c r="D412" s="3"/>
      <c r="E412" s="3"/>
      <c r="F412" s="3"/>
      <c r="G412" s="3"/>
      <c r="H412" s="3"/>
      <c r="I412" s="3"/>
      <c r="J412" s="1"/>
      <c r="K412" s="1"/>
      <c r="L412" s="1"/>
      <c r="M412" s="3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3"/>
      <c r="D413" s="3"/>
      <c r="E413" s="3"/>
      <c r="F413" s="3"/>
      <c r="G413" s="3"/>
      <c r="H413" s="3"/>
      <c r="I413" s="3"/>
      <c r="J413" s="1"/>
      <c r="K413" s="1"/>
      <c r="L413" s="1"/>
      <c r="M413" s="3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3"/>
      <c r="D414" s="3"/>
      <c r="E414" s="3"/>
      <c r="F414" s="3"/>
      <c r="G414" s="3"/>
      <c r="H414" s="3"/>
      <c r="I414" s="3"/>
      <c r="J414" s="1"/>
      <c r="K414" s="1"/>
      <c r="L414" s="1"/>
      <c r="M414" s="3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3"/>
      <c r="D415" s="3"/>
      <c r="E415" s="3"/>
      <c r="F415" s="3"/>
      <c r="G415" s="3"/>
      <c r="H415" s="3"/>
      <c r="I415" s="3"/>
      <c r="J415" s="1"/>
      <c r="K415" s="1"/>
      <c r="L415" s="1"/>
      <c r="M415" s="3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3"/>
      <c r="D416" s="3"/>
      <c r="E416" s="3"/>
      <c r="F416" s="3"/>
      <c r="G416" s="3"/>
      <c r="H416" s="3"/>
      <c r="I416" s="3"/>
      <c r="J416" s="1"/>
      <c r="K416" s="1"/>
      <c r="L416" s="1"/>
      <c r="M416" s="3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3"/>
      <c r="D417" s="3"/>
      <c r="E417" s="3"/>
      <c r="F417" s="3"/>
      <c r="G417" s="3"/>
      <c r="H417" s="3"/>
      <c r="I417" s="3"/>
      <c r="J417" s="1"/>
      <c r="K417" s="1"/>
      <c r="L417" s="1"/>
      <c r="M417" s="3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3"/>
      <c r="D418" s="3"/>
      <c r="E418" s="3"/>
      <c r="F418" s="3"/>
      <c r="G418" s="3"/>
      <c r="H418" s="3"/>
      <c r="I418" s="3"/>
      <c r="J418" s="1"/>
      <c r="K418" s="1"/>
      <c r="L418" s="1"/>
      <c r="M418" s="3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3"/>
      <c r="D419" s="3"/>
      <c r="E419" s="3"/>
      <c r="F419" s="3"/>
      <c r="G419" s="3"/>
      <c r="H419" s="3"/>
      <c r="I419" s="3"/>
      <c r="J419" s="1"/>
      <c r="K419" s="1"/>
      <c r="L419" s="1"/>
      <c r="M419" s="3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3"/>
      <c r="D420" s="3"/>
      <c r="E420" s="3"/>
      <c r="F420" s="3"/>
      <c r="G420" s="3"/>
      <c r="H420" s="3"/>
      <c r="I420" s="3"/>
      <c r="J420" s="1"/>
      <c r="K420" s="1"/>
      <c r="L420" s="1"/>
      <c r="M420" s="3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3"/>
      <c r="D421" s="3"/>
      <c r="E421" s="3"/>
      <c r="F421" s="3"/>
      <c r="G421" s="3"/>
      <c r="H421" s="3"/>
      <c r="I421" s="3"/>
      <c r="J421" s="1"/>
      <c r="K421" s="1"/>
      <c r="L421" s="1"/>
      <c r="M421" s="3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3"/>
      <c r="D422" s="3"/>
      <c r="E422" s="3"/>
      <c r="F422" s="3"/>
      <c r="G422" s="3"/>
      <c r="H422" s="3"/>
      <c r="I422" s="3"/>
      <c r="J422" s="1"/>
      <c r="K422" s="1"/>
      <c r="L422" s="1"/>
      <c r="M422" s="3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3"/>
      <c r="D423" s="3"/>
      <c r="E423" s="3"/>
      <c r="F423" s="3"/>
      <c r="G423" s="3"/>
      <c r="H423" s="3"/>
      <c r="I423" s="3"/>
      <c r="J423" s="1"/>
      <c r="K423" s="1"/>
      <c r="L423" s="1"/>
      <c r="M423" s="3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3"/>
      <c r="D424" s="3"/>
      <c r="E424" s="3"/>
      <c r="F424" s="3"/>
      <c r="G424" s="3"/>
      <c r="H424" s="3"/>
      <c r="I424" s="3"/>
      <c r="J424" s="1"/>
      <c r="K424" s="1"/>
      <c r="L424" s="1"/>
      <c r="M424" s="3"/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3"/>
      <c r="D425" s="3"/>
      <c r="E425" s="3"/>
      <c r="F425" s="3"/>
      <c r="G425" s="3"/>
      <c r="H425" s="3"/>
      <c r="I425" s="3"/>
      <c r="J425" s="1"/>
      <c r="K425" s="1"/>
      <c r="L425" s="1"/>
      <c r="M425" s="3"/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3"/>
      <c r="D426" s="3"/>
      <c r="E426" s="3"/>
      <c r="F426" s="3"/>
      <c r="G426" s="3"/>
      <c r="H426" s="3"/>
      <c r="I426" s="3"/>
      <c r="J426" s="1"/>
      <c r="K426" s="1"/>
      <c r="L426" s="1"/>
      <c r="M426" s="3"/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3"/>
      <c r="D427" s="3"/>
      <c r="E427" s="3"/>
      <c r="F427" s="3"/>
      <c r="G427" s="3"/>
      <c r="H427" s="3"/>
      <c r="I427" s="3"/>
      <c r="J427" s="1"/>
      <c r="K427" s="1"/>
      <c r="L427" s="1"/>
      <c r="M427" s="3"/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3"/>
      <c r="D428" s="3"/>
      <c r="E428" s="3"/>
      <c r="F428" s="3"/>
      <c r="G428" s="3"/>
      <c r="H428" s="3"/>
      <c r="I428" s="3"/>
      <c r="J428" s="1"/>
      <c r="K428" s="1"/>
      <c r="L428" s="1"/>
      <c r="M428" s="3"/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3"/>
      <c r="D429" s="3"/>
      <c r="E429" s="3"/>
      <c r="F429" s="3"/>
      <c r="G429" s="3"/>
      <c r="H429" s="3"/>
      <c r="I429" s="3"/>
      <c r="J429" s="1"/>
      <c r="K429" s="1"/>
      <c r="L429" s="1"/>
      <c r="M429" s="3"/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3"/>
      <c r="D430" s="3"/>
      <c r="E430" s="3"/>
      <c r="F430" s="3"/>
      <c r="G430" s="3"/>
      <c r="H430" s="3"/>
      <c r="I430" s="3"/>
      <c r="J430" s="1"/>
      <c r="K430" s="1"/>
      <c r="L430" s="1"/>
      <c r="M430" s="3"/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3"/>
      <c r="D431" s="3"/>
      <c r="E431" s="3"/>
      <c r="F431" s="3"/>
      <c r="G431" s="3"/>
      <c r="H431" s="3"/>
      <c r="I431" s="3"/>
      <c r="J431" s="1"/>
      <c r="K431" s="1"/>
      <c r="L431" s="1"/>
      <c r="M431" s="3"/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3"/>
      <c r="D432" s="3"/>
      <c r="E432" s="3"/>
      <c r="F432" s="3"/>
      <c r="G432" s="3"/>
      <c r="H432" s="3"/>
      <c r="I432" s="3"/>
      <c r="J432" s="1"/>
      <c r="K432" s="1"/>
      <c r="L432" s="1"/>
      <c r="M432" s="3"/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3"/>
      <c r="D433" s="3"/>
      <c r="E433" s="3"/>
      <c r="F433" s="3"/>
      <c r="G433" s="3"/>
      <c r="H433" s="3"/>
      <c r="I433" s="3"/>
      <c r="J433" s="1"/>
      <c r="K433" s="1"/>
      <c r="L433" s="1"/>
      <c r="M433" s="3"/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3"/>
      <c r="D434" s="3"/>
      <c r="E434" s="3"/>
      <c r="F434" s="3"/>
      <c r="G434" s="3"/>
      <c r="H434" s="3"/>
      <c r="I434" s="3"/>
      <c r="J434" s="1"/>
      <c r="K434" s="1"/>
      <c r="L434" s="1"/>
      <c r="M434" s="3"/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3"/>
      <c r="D435" s="3"/>
      <c r="E435" s="3"/>
      <c r="F435" s="3"/>
      <c r="G435" s="3"/>
      <c r="H435" s="3"/>
      <c r="I435" s="3"/>
      <c r="J435" s="1"/>
      <c r="K435" s="1"/>
      <c r="L435" s="1"/>
      <c r="M435" s="3"/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3"/>
      <c r="D436" s="3"/>
      <c r="E436" s="3"/>
      <c r="F436" s="3"/>
      <c r="G436" s="3"/>
      <c r="H436" s="3"/>
      <c r="I436" s="3"/>
      <c r="J436" s="1"/>
      <c r="K436" s="1"/>
      <c r="L436" s="1"/>
      <c r="M436" s="3"/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3"/>
      <c r="D437" s="3"/>
      <c r="E437" s="3"/>
      <c r="F437" s="3"/>
      <c r="G437" s="3"/>
      <c r="H437" s="3"/>
      <c r="I437" s="3"/>
      <c r="J437" s="1"/>
      <c r="K437" s="1"/>
      <c r="L437" s="1"/>
      <c r="M437" s="3"/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3"/>
      <c r="D438" s="3"/>
      <c r="E438" s="3"/>
      <c r="F438" s="3"/>
      <c r="G438" s="3"/>
      <c r="H438" s="3"/>
      <c r="I438" s="3"/>
      <c r="J438" s="1"/>
      <c r="K438" s="1"/>
      <c r="L438" s="1"/>
      <c r="M438" s="3"/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3"/>
      <c r="D439" s="3"/>
      <c r="E439" s="3"/>
      <c r="F439" s="3"/>
      <c r="G439" s="3"/>
      <c r="H439" s="3"/>
      <c r="I439" s="3"/>
      <c r="J439" s="1"/>
      <c r="K439" s="1"/>
      <c r="L439" s="1"/>
      <c r="M439" s="3"/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3"/>
      <c r="D440" s="3"/>
      <c r="E440" s="3"/>
      <c r="F440" s="3"/>
      <c r="G440" s="3"/>
      <c r="H440" s="3"/>
      <c r="I440" s="3"/>
      <c r="J440" s="1"/>
      <c r="K440" s="1"/>
      <c r="L440" s="1"/>
      <c r="M440" s="3"/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3"/>
      <c r="D441" s="3"/>
      <c r="E441" s="3"/>
      <c r="F441" s="3"/>
      <c r="G441" s="3"/>
      <c r="H441" s="3"/>
      <c r="I441" s="3"/>
      <c r="J441" s="1"/>
      <c r="K441" s="1"/>
      <c r="L441" s="1"/>
      <c r="M441" s="3"/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3"/>
      <c r="D442" s="3"/>
      <c r="E442" s="3"/>
      <c r="F442" s="3"/>
      <c r="G442" s="3"/>
      <c r="H442" s="3"/>
      <c r="I442" s="3"/>
      <c r="J442" s="1"/>
      <c r="K442" s="1"/>
      <c r="L442" s="1"/>
      <c r="M442" s="3"/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3"/>
      <c r="D443" s="3"/>
      <c r="E443" s="3"/>
      <c r="F443" s="3"/>
      <c r="G443" s="3"/>
      <c r="H443" s="3"/>
      <c r="I443" s="3"/>
      <c r="J443" s="1"/>
      <c r="K443" s="1"/>
      <c r="L443" s="1"/>
      <c r="M443" s="3"/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3"/>
      <c r="D444" s="3"/>
      <c r="E444" s="3"/>
      <c r="F444" s="3"/>
      <c r="G444" s="3"/>
      <c r="H444" s="3"/>
      <c r="I444" s="3"/>
      <c r="J444" s="1"/>
      <c r="K444" s="1"/>
      <c r="L444" s="1"/>
      <c r="M444" s="3"/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3"/>
      <c r="D445" s="3"/>
      <c r="E445" s="3"/>
      <c r="F445" s="3"/>
      <c r="G445" s="3"/>
      <c r="H445" s="3"/>
      <c r="I445" s="3"/>
      <c r="J445" s="1"/>
      <c r="K445" s="1"/>
      <c r="L445" s="1"/>
      <c r="M445" s="3"/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3"/>
      <c r="D446" s="3"/>
      <c r="E446" s="3"/>
      <c r="F446" s="3"/>
      <c r="G446" s="3"/>
      <c r="H446" s="3"/>
      <c r="I446" s="3"/>
      <c r="J446" s="1"/>
      <c r="K446" s="1"/>
      <c r="L446" s="1"/>
      <c r="M446" s="3"/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3"/>
      <c r="D447" s="3"/>
      <c r="E447" s="3"/>
      <c r="F447" s="3"/>
      <c r="G447" s="3"/>
      <c r="H447" s="3"/>
      <c r="I447" s="3"/>
      <c r="J447" s="1"/>
      <c r="K447" s="1"/>
      <c r="L447" s="1"/>
      <c r="M447" s="3"/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3"/>
      <c r="D448" s="3"/>
      <c r="E448" s="3"/>
      <c r="F448" s="3"/>
      <c r="G448" s="3"/>
      <c r="H448" s="3"/>
      <c r="I448" s="3"/>
      <c r="J448" s="1"/>
      <c r="K448" s="1"/>
      <c r="L448" s="1"/>
      <c r="M448" s="3"/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3"/>
      <c r="D449" s="3"/>
      <c r="E449" s="3"/>
      <c r="F449" s="3"/>
      <c r="G449" s="3"/>
      <c r="H449" s="3"/>
      <c r="I449" s="3"/>
      <c r="J449" s="1"/>
      <c r="K449" s="1"/>
      <c r="L449" s="1"/>
      <c r="M449" s="3"/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3"/>
      <c r="D450" s="3"/>
      <c r="E450" s="3"/>
      <c r="F450" s="3"/>
      <c r="G450" s="3"/>
      <c r="H450" s="3"/>
      <c r="I450" s="3"/>
      <c r="J450" s="1"/>
      <c r="K450" s="1"/>
      <c r="L450" s="1"/>
      <c r="M450" s="3"/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3"/>
      <c r="D451" s="3"/>
      <c r="E451" s="3"/>
      <c r="F451" s="3"/>
      <c r="G451" s="3"/>
      <c r="H451" s="3"/>
      <c r="I451" s="3"/>
      <c r="J451" s="1"/>
      <c r="K451" s="1"/>
      <c r="L451" s="1"/>
      <c r="M451" s="3"/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3"/>
      <c r="D452" s="3"/>
      <c r="E452" s="3"/>
      <c r="F452" s="3"/>
      <c r="G452" s="3"/>
      <c r="H452" s="3"/>
      <c r="I452" s="3"/>
      <c r="J452" s="1"/>
      <c r="K452" s="1"/>
      <c r="L452" s="1"/>
      <c r="M452" s="3"/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3"/>
      <c r="D453" s="3"/>
      <c r="E453" s="3"/>
      <c r="F453" s="3"/>
      <c r="G453" s="3"/>
      <c r="H453" s="3"/>
      <c r="I453" s="3"/>
      <c r="J453" s="1"/>
      <c r="K453" s="1"/>
      <c r="L453" s="1"/>
      <c r="M453" s="3"/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3"/>
      <c r="D454" s="3"/>
      <c r="E454" s="3"/>
      <c r="F454" s="3"/>
      <c r="G454" s="3"/>
      <c r="H454" s="3"/>
      <c r="I454" s="3"/>
      <c r="J454" s="1"/>
      <c r="K454" s="1"/>
      <c r="L454" s="1"/>
      <c r="M454" s="3"/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3"/>
      <c r="D455" s="3"/>
      <c r="E455" s="3"/>
      <c r="F455" s="3"/>
      <c r="G455" s="3"/>
      <c r="H455" s="3"/>
      <c r="I455" s="3"/>
      <c r="J455" s="1"/>
      <c r="K455" s="1"/>
      <c r="L455" s="1"/>
      <c r="M455" s="3"/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3"/>
      <c r="D456" s="3"/>
      <c r="E456" s="3"/>
      <c r="F456" s="3"/>
      <c r="G456" s="3"/>
      <c r="H456" s="3"/>
      <c r="I456" s="3"/>
      <c r="J456" s="1"/>
      <c r="K456" s="1"/>
      <c r="L456" s="1"/>
      <c r="M456" s="3"/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3"/>
      <c r="D457" s="3"/>
      <c r="E457" s="3"/>
      <c r="F457" s="3"/>
      <c r="G457" s="3"/>
      <c r="H457" s="3"/>
      <c r="I457" s="3"/>
      <c r="J457" s="1"/>
      <c r="K457" s="1"/>
      <c r="L457" s="1"/>
      <c r="M457" s="3"/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3"/>
      <c r="D458" s="3"/>
      <c r="E458" s="3"/>
      <c r="F458" s="3"/>
      <c r="G458" s="3"/>
      <c r="H458" s="3"/>
      <c r="I458" s="3"/>
      <c r="J458" s="1"/>
      <c r="K458" s="1"/>
      <c r="L458" s="1"/>
      <c r="M458" s="3"/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3"/>
      <c r="D459" s="3"/>
      <c r="E459" s="3"/>
      <c r="F459" s="3"/>
      <c r="G459" s="3"/>
      <c r="H459" s="3"/>
      <c r="I459" s="3"/>
      <c r="J459" s="1"/>
      <c r="K459" s="1"/>
      <c r="L459" s="1"/>
      <c r="M459" s="3"/>
      <c r="N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3"/>
      <c r="D460" s="3"/>
      <c r="E460" s="3"/>
      <c r="F460" s="3"/>
      <c r="G460" s="3"/>
      <c r="H460" s="3"/>
      <c r="I460" s="3"/>
      <c r="J460" s="1"/>
      <c r="K460" s="1"/>
      <c r="L460" s="1"/>
      <c r="M460" s="3"/>
      <c r="N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3"/>
      <c r="D461" s="3"/>
      <c r="E461" s="3"/>
      <c r="F461" s="3"/>
      <c r="G461" s="3"/>
      <c r="H461" s="3"/>
      <c r="I461" s="3"/>
      <c r="J461" s="1"/>
      <c r="K461" s="1"/>
      <c r="L461" s="1"/>
      <c r="M461" s="3"/>
      <c r="N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3"/>
      <c r="D462" s="3"/>
      <c r="E462" s="3"/>
      <c r="F462" s="3"/>
      <c r="G462" s="3"/>
      <c r="H462" s="3"/>
      <c r="I462" s="3"/>
      <c r="J462" s="1"/>
      <c r="K462" s="1"/>
      <c r="L462" s="1"/>
      <c r="M462" s="3"/>
      <c r="N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3"/>
      <c r="D463" s="3"/>
      <c r="E463" s="3"/>
      <c r="F463" s="3"/>
      <c r="G463" s="3"/>
      <c r="H463" s="3"/>
      <c r="I463" s="3"/>
      <c r="J463" s="1"/>
      <c r="K463" s="1"/>
      <c r="L463" s="1"/>
      <c r="M463" s="3"/>
      <c r="N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3"/>
      <c r="D464" s="3"/>
      <c r="E464" s="3"/>
      <c r="F464" s="3"/>
      <c r="G464" s="3"/>
      <c r="H464" s="3"/>
      <c r="I464" s="3"/>
      <c r="J464" s="1"/>
      <c r="K464" s="1"/>
      <c r="L464" s="1"/>
      <c r="M464" s="3"/>
      <c r="N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3"/>
      <c r="D465" s="3"/>
      <c r="E465" s="3"/>
      <c r="F465" s="3"/>
      <c r="G465" s="3"/>
      <c r="H465" s="3"/>
      <c r="I465" s="3"/>
      <c r="J465" s="1"/>
      <c r="K465" s="1"/>
      <c r="L465" s="1"/>
      <c r="M465" s="3"/>
      <c r="N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3"/>
      <c r="D466" s="3"/>
      <c r="E466" s="3"/>
      <c r="F466" s="3"/>
      <c r="G466" s="3"/>
      <c r="H466" s="3"/>
      <c r="I466" s="3"/>
      <c r="J466" s="1"/>
      <c r="K466" s="1"/>
      <c r="L466" s="1"/>
      <c r="M466" s="3"/>
      <c r="N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3"/>
      <c r="D467" s="3"/>
      <c r="E467" s="3"/>
      <c r="F467" s="3"/>
      <c r="G467" s="3"/>
      <c r="H467" s="3"/>
      <c r="I467" s="3"/>
      <c r="J467" s="1"/>
      <c r="K467" s="1"/>
      <c r="L467" s="1"/>
      <c r="M467" s="3"/>
      <c r="N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3"/>
      <c r="D468" s="3"/>
      <c r="E468" s="3"/>
      <c r="F468" s="3"/>
      <c r="G468" s="3"/>
      <c r="H468" s="3"/>
      <c r="I468" s="3"/>
      <c r="J468" s="1"/>
      <c r="K468" s="1"/>
      <c r="L468" s="1"/>
      <c r="M468" s="3"/>
      <c r="N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3"/>
      <c r="D469" s="3"/>
      <c r="E469" s="3"/>
      <c r="F469" s="3"/>
      <c r="G469" s="3"/>
      <c r="H469" s="3"/>
      <c r="I469" s="3"/>
      <c r="J469" s="1"/>
      <c r="K469" s="1"/>
      <c r="L469" s="1"/>
      <c r="M469" s="3"/>
      <c r="N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3"/>
      <c r="D470" s="3"/>
      <c r="E470" s="3"/>
      <c r="F470" s="3"/>
      <c r="G470" s="3"/>
      <c r="H470" s="3"/>
      <c r="I470" s="3"/>
      <c r="J470" s="1"/>
      <c r="K470" s="1"/>
      <c r="L470" s="1"/>
      <c r="M470" s="3"/>
      <c r="N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3"/>
      <c r="D471" s="3"/>
      <c r="E471" s="3"/>
      <c r="F471" s="3"/>
      <c r="G471" s="3"/>
      <c r="H471" s="3"/>
      <c r="I471" s="3"/>
      <c r="J471" s="1"/>
      <c r="K471" s="1"/>
      <c r="L471" s="1"/>
      <c r="M471" s="3"/>
      <c r="N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3"/>
      <c r="D472" s="3"/>
      <c r="E472" s="3"/>
      <c r="F472" s="3"/>
      <c r="G472" s="3"/>
      <c r="H472" s="3"/>
      <c r="I472" s="3"/>
      <c r="J472" s="1"/>
      <c r="K472" s="1"/>
      <c r="L472" s="1"/>
      <c r="M472" s="3"/>
      <c r="N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3"/>
      <c r="D473" s="3"/>
      <c r="E473" s="3"/>
      <c r="F473" s="3"/>
      <c r="G473" s="3"/>
      <c r="H473" s="3"/>
      <c r="I473" s="3"/>
      <c r="J473" s="1"/>
      <c r="K473" s="1"/>
      <c r="L473" s="1"/>
      <c r="M473" s="3"/>
      <c r="N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3"/>
      <c r="D474" s="3"/>
      <c r="E474" s="3"/>
      <c r="F474" s="3"/>
      <c r="G474" s="3"/>
      <c r="H474" s="3"/>
      <c r="I474" s="3"/>
      <c r="J474" s="1"/>
      <c r="K474" s="1"/>
      <c r="L474" s="1"/>
      <c r="M474" s="3"/>
      <c r="N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3"/>
      <c r="D475" s="3"/>
      <c r="E475" s="3"/>
      <c r="F475" s="3"/>
      <c r="G475" s="3"/>
      <c r="H475" s="3"/>
      <c r="I475" s="3"/>
      <c r="J475" s="1"/>
      <c r="K475" s="1"/>
      <c r="L475" s="1"/>
      <c r="M475" s="3"/>
      <c r="N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3"/>
      <c r="D476" s="3"/>
      <c r="E476" s="3"/>
      <c r="F476" s="3"/>
      <c r="G476" s="3"/>
      <c r="H476" s="3"/>
      <c r="I476" s="3"/>
      <c r="J476" s="1"/>
      <c r="K476" s="1"/>
      <c r="L476" s="1"/>
      <c r="M476" s="3"/>
      <c r="N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3"/>
      <c r="D477" s="3"/>
      <c r="E477" s="3"/>
      <c r="F477" s="3"/>
      <c r="G477" s="3"/>
      <c r="H477" s="3"/>
      <c r="I477" s="3"/>
      <c r="J477" s="1"/>
      <c r="K477" s="1"/>
      <c r="L477" s="1"/>
      <c r="M477" s="3"/>
      <c r="N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3"/>
      <c r="D478" s="3"/>
      <c r="E478" s="3"/>
      <c r="F478" s="3"/>
      <c r="G478" s="3"/>
      <c r="H478" s="3"/>
      <c r="I478" s="3"/>
      <c r="J478" s="1"/>
      <c r="K478" s="1"/>
      <c r="L478" s="1"/>
      <c r="M478" s="3"/>
      <c r="N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3"/>
      <c r="D479" s="3"/>
      <c r="E479" s="3"/>
      <c r="F479" s="3"/>
      <c r="G479" s="3"/>
      <c r="H479" s="3"/>
      <c r="I479" s="3"/>
      <c r="J479" s="1"/>
      <c r="K479" s="1"/>
      <c r="L479" s="1"/>
      <c r="M479" s="3"/>
      <c r="N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3"/>
      <c r="D480" s="3"/>
      <c r="E480" s="3"/>
      <c r="F480" s="3"/>
      <c r="G480" s="3"/>
      <c r="H480" s="3"/>
      <c r="I480" s="3"/>
      <c r="J480" s="1"/>
      <c r="K480" s="1"/>
      <c r="L480" s="1"/>
      <c r="M480" s="3"/>
      <c r="N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3"/>
      <c r="D481" s="3"/>
      <c r="E481" s="3"/>
      <c r="F481" s="3"/>
      <c r="G481" s="3"/>
      <c r="H481" s="3"/>
      <c r="I481" s="3"/>
      <c r="J481" s="1"/>
      <c r="K481" s="1"/>
      <c r="L481" s="1"/>
      <c r="M481" s="3"/>
      <c r="N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3"/>
      <c r="D482" s="3"/>
      <c r="E482" s="3"/>
      <c r="F482" s="3"/>
      <c r="G482" s="3"/>
      <c r="H482" s="3"/>
      <c r="I482" s="3"/>
      <c r="J482" s="1"/>
      <c r="K482" s="1"/>
      <c r="L482" s="1"/>
      <c r="M482" s="3"/>
      <c r="N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3"/>
      <c r="D483" s="3"/>
      <c r="E483" s="3"/>
      <c r="F483" s="3"/>
      <c r="G483" s="3"/>
      <c r="H483" s="3"/>
      <c r="I483" s="3"/>
      <c r="J483" s="1"/>
      <c r="K483" s="1"/>
      <c r="L483" s="1"/>
      <c r="M483" s="3"/>
      <c r="N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3"/>
      <c r="D484" s="3"/>
      <c r="E484" s="3"/>
      <c r="F484" s="3"/>
      <c r="G484" s="3"/>
      <c r="H484" s="3"/>
      <c r="I484" s="3"/>
      <c r="J484" s="1"/>
      <c r="K484" s="1"/>
      <c r="L484" s="1"/>
      <c r="M484" s="3"/>
      <c r="N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3"/>
      <c r="D485" s="3"/>
      <c r="E485" s="3"/>
      <c r="F485" s="3"/>
      <c r="G485" s="3"/>
      <c r="H485" s="3"/>
      <c r="I485" s="3"/>
      <c r="J485" s="1"/>
      <c r="K485" s="1"/>
      <c r="L485" s="1"/>
      <c r="M485" s="3"/>
      <c r="N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3"/>
      <c r="D486" s="3"/>
      <c r="E486" s="3"/>
      <c r="F486" s="3"/>
      <c r="G486" s="3"/>
      <c r="H486" s="3"/>
      <c r="I486" s="3"/>
      <c r="J486" s="1"/>
      <c r="K486" s="1"/>
      <c r="L486" s="1"/>
      <c r="M486" s="3"/>
      <c r="N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3"/>
      <c r="D487" s="3"/>
      <c r="E487" s="3"/>
      <c r="F487" s="3"/>
      <c r="G487" s="3"/>
      <c r="H487" s="3"/>
      <c r="I487" s="3"/>
      <c r="J487" s="1"/>
      <c r="K487" s="1"/>
      <c r="L487" s="1"/>
      <c r="M487" s="3"/>
      <c r="N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3"/>
      <c r="D488" s="3"/>
      <c r="E488" s="3"/>
      <c r="F488" s="3"/>
      <c r="G488" s="3"/>
      <c r="H488" s="3"/>
      <c r="I488" s="3"/>
      <c r="J488" s="1"/>
      <c r="K488" s="1"/>
      <c r="L488" s="1"/>
      <c r="M488" s="3"/>
      <c r="N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3"/>
      <c r="D489" s="3"/>
      <c r="E489" s="3"/>
      <c r="F489" s="3"/>
      <c r="G489" s="3"/>
      <c r="H489" s="3"/>
      <c r="I489" s="3"/>
      <c r="J489" s="1"/>
      <c r="K489" s="1"/>
      <c r="L489" s="1"/>
      <c r="M489" s="3"/>
      <c r="N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3"/>
      <c r="D490" s="3"/>
      <c r="E490" s="3"/>
      <c r="F490" s="3"/>
      <c r="G490" s="3"/>
      <c r="H490" s="3"/>
      <c r="I490" s="3"/>
      <c r="J490" s="1"/>
      <c r="K490" s="1"/>
      <c r="L490" s="1"/>
      <c r="M490" s="3"/>
      <c r="N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3"/>
      <c r="D491" s="3"/>
      <c r="E491" s="3"/>
      <c r="F491" s="3"/>
      <c r="G491" s="3"/>
      <c r="H491" s="3"/>
      <c r="I491" s="3"/>
      <c r="J491" s="1"/>
      <c r="K491" s="1"/>
      <c r="L491" s="1"/>
      <c r="M491" s="3"/>
      <c r="N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3"/>
      <c r="D492" s="3"/>
      <c r="E492" s="3"/>
      <c r="F492" s="3"/>
      <c r="G492" s="3"/>
      <c r="H492" s="3"/>
      <c r="I492" s="3"/>
      <c r="J492" s="1"/>
      <c r="K492" s="1"/>
      <c r="L492" s="1"/>
      <c r="M492" s="3"/>
      <c r="N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3"/>
      <c r="D493" s="3"/>
      <c r="E493" s="3"/>
      <c r="F493" s="3"/>
      <c r="G493" s="3"/>
      <c r="H493" s="3"/>
      <c r="I493" s="3"/>
      <c r="J493" s="1"/>
      <c r="K493" s="1"/>
      <c r="L493" s="1"/>
      <c r="M493" s="3"/>
      <c r="N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3"/>
      <c r="D494" s="3"/>
      <c r="E494" s="3"/>
      <c r="F494" s="3"/>
      <c r="G494" s="3"/>
      <c r="H494" s="3"/>
      <c r="I494" s="3"/>
      <c r="J494" s="1"/>
      <c r="K494" s="1"/>
      <c r="L494" s="1"/>
      <c r="M494" s="3"/>
      <c r="N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3"/>
      <c r="D495" s="3"/>
      <c r="E495" s="3"/>
      <c r="F495" s="3"/>
      <c r="G495" s="3"/>
      <c r="H495" s="3"/>
      <c r="I495" s="3"/>
      <c r="J495" s="1"/>
      <c r="K495" s="1"/>
      <c r="L495" s="1"/>
      <c r="M495" s="3"/>
      <c r="N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3"/>
      <c r="D496" s="3"/>
      <c r="E496" s="3"/>
      <c r="F496" s="3"/>
      <c r="G496" s="3"/>
      <c r="H496" s="3"/>
      <c r="I496" s="3"/>
      <c r="J496" s="1"/>
      <c r="K496" s="1"/>
      <c r="L496" s="1"/>
      <c r="M496" s="3"/>
      <c r="N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3"/>
      <c r="D497" s="3"/>
      <c r="E497" s="3"/>
      <c r="F497" s="3"/>
      <c r="G497" s="3"/>
      <c r="H497" s="3"/>
      <c r="I497" s="3"/>
      <c r="J497" s="1"/>
      <c r="K497" s="1"/>
      <c r="L497" s="1"/>
      <c r="M497" s="3"/>
      <c r="N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3"/>
      <c r="D498" s="3"/>
      <c r="E498" s="3"/>
      <c r="F498" s="3"/>
      <c r="G498" s="3"/>
      <c r="H498" s="3"/>
      <c r="I498" s="3"/>
      <c r="J498" s="1"/>
      <c r="K498" s="1"/>
      <c r="L498" s="1"/>
      <c r="M498" s="3"/>
      <c r="N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3"/>
      <c r="D499" s="3"/>
      <c r="E499" s="3"/>
      <c r="F499" s="3"/>
      <c r="G499" s="3"/>
      <c r="H499" s="3"/>
      <c r="I499" s="3"/>
      <c r="J499" s="1"/>
      <c r="K499" s="1"/>
      <c r="L499" s="1"/>
      <c r="M499" s="3"/>
      <c r="N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3"/>
      <c r="D500" s="3"/>
      <c r="E500" s="3"/>
      <c r="F500" s="3"/>
      <c r="G500" s="3"/>
      <c r="H500" s="3"/>
      <c r="I500" s="3"/>
      <c r="J500" s="1"/>
      <c r="K500" s="1"/>
      <c r="L500" s="1"/>
      <c r="M500" s="3"/>
      <c r="N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3"/>
      <c r="D501" s="3"/>
      <c r="E501" s="3"/>
      <c r="F501" s="3"/>
      <c r="G501" s="3"/>
      <c r="H501" s="3"/>
      <c r="I501" s="3"/>
      <c r="J501" s="1"/>
      <c r="K501" s="1"/>
      <c r="L501" s="1"/>
      <c r="M501" s="3"/>
      <c r="N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3"/>
      <c r="D502" s="3"/>
      <c r="E502" s="3"/>
      <c r="F502" s="3"/>
      <c r="G502" s="3"/>
      <c r="H502" s="3"/>
      <c r="I502" s="3"/>
      <c r="J502" s="1"/>
      <c r="K502" s="1"/>
      <c r="L502" s="1"/>
      <c r="M502" s="3"/>
      <c r="N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3"/>
      <c r="D503" s="3"/>
      <c r="E503" s="3"/>
      <c r="F503" s="3"/>
      <c r="G503" s="3"/>
      <c r="H503" s="3"/>
      <c r="I503" s="3"/>
      <c r="J503" s="1"/>
      <c r="K503" s="1"/>
      <c r="L503" s="1"/>
      <c r="M503" s="3"/>
      <c r="N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3"/>
      <c r="D504" s="3"/>
      <c r="E504" s="3"/>
      <c r="F504" s="3"/>
      <c r="G504" s="3"/>
      <c r="H504" s="3"/>
      <c r="I504" s="3"/>
      <c r="J504" s="1"/>
      <c r="K504" s="1"/>
      <c r="L504" s="1"/>
      <c r="M504" s="3"/>
      <c r="N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3"/>
      <c r="D505" s="3"/>
      <c r="E505" s="3"/>
      <c r="F505" s="3"/>
      <c r="G505" s="3"/>
      <c r="H505" s="3"/>
      <c r="I505" s="3"/>
      <c r="J505" s="1"/>
      <c r="K505" s="1"/>
      <c r="L505" s="1"/>
      <c r="M505" s="3"/>
      <c r="N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3"/>
      <c r="D506" s="3"/>
      <c r="E506" s="3"/>
      <c r="F506" s="3"/>
      <c r="G506" s="3"/>
      <c r="H506" s="3"/>
      <c r="I506" s="3"/>
      <c r="J506" s="1"/>
      <c r="K506" s="1"/>
      <c r="L506" s="1"/>
      <c r="M506" s="3"/>
      <c r="N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3"/>
      <c r="D507" s="3"/>
      <c r="E507" s="3"/>
      <c r="F507" s="3"/>
      <c r="G507" s="3"/>
      <c r="H507" s="3"/>
      <c r="I507" s="3"/>
      <c r="J507" s="1"/>
      <c r="K507" s="1"/>
      <c r="L507" s="1"/>
      <c r="M507" s="3"/>
      <c r="N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3"/>
      <c r="D508" s="3"/>
      <c r="E508" s="3"/>
      <c r="F508" s="3"/>
      <c r="G508" s="3"/>
      <c r="H508" s="3"/>
      <c r="I508" s="3"/>
      <c r="J508" s="1"/>
      <c r="K508" s="1"/>
      <c r="L508" s="1"/>
      <c r="M508" s="3"/>
      <c r="N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3"/>
      <c r="D509" s="3"/>
      <c r="E509" s="3"/>
      <c r="F509" s="3"/>
      <c r="G509" s="3"/>
      <c r="H509" s="3"/>
      <c r="I509" s="3"/>
      <c r="J509" s="1"/>
      <c r="K509" s="1"/>
      <c r="L509" s="1"/>
      <c r="M509" s="3"/>
      <c r="N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3"/>
      <c r="D510" s="3"/>
      <c r="E510" s="3"/>
      <c r="F510" s="3"/>
      <c r="G510" s="3"/>
      <c r="H510" s="3"/>
      <c r="I510" s="3"/>
      <c r="J510" s="1"/>
      <c r="K510" s="1"/>
      <c r="L510" s="1"/>
      <c r="M510" s="3"/>
      <c r="N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3"/>
      <c r="D511" s="3"/>
      <c r="E511" s="3"/>
      <c r="F511" s="3"/>
      <c r="G511" s="3"/>
      <c r="H511" s="3"/>
      <c r="I511" s="3"/>
      <c r="J511" s="1"/>
      <c r="K511" s="1"/>
      <c r="L511" s="1"/>
      <c r="M511" s="3"/>
      <c r="N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3"/>
      <c r="D512" s="3"/>
      <c r="E512" s="3"/>
      <c r="F512" s="3"/>
      <c r="G512" s="3"/>
      <c r="H512" s="3"/>
      <c r="I512" s="3"/>
      <c r="J512" s="1"/>
      <c r="K512" s="1"/>
      <c r="L512" s="1"/>
      <c r="M512" s="3"/>
      <c r="N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3"/>
      <c r="D513" s="3"/>
      <c r="E513" s="3"/>
      <c r="F513" s="3"/>
      <c r="G513" s="3"/>
      <c r="H513" s="3"/>
      <c r="I513" s="3"/>
      <c r="J513" s="1"/>
      <c r="K513" s="1"/>
      <c r="L513" s="1"/>
      <c r="M513" s="3"/>
      <c r="N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3"/>
      <c r="D514" s="3"/>
      <c r="E514" s="3"/>
      <c r="F514" s="3"/>
      <c r="G514" s="3"/>
      <c r="H514" s="3"/>
      <c r="I514" s="3"/>
      <c r="J514" s="1"/>
      <c r="K514" s="1"/>
      <c r="L514" s="1"/>
      <c r="M514" s="3"/>
      <c r="N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3"/>
      <c r="D515" s="3"/>
      <c r="E515" s="3"/>
      <c r="F515" s="3"/>
      <c r="G515" s="3"/>
      <c r="H515" s="3"/>
      <c r="I515" s="3"/>
      <c r="J515" s="1"/>
      <c r="K515" s="1"/>
      <c r="L515" s="1"/>
      <c r="M515" s="3"/>
      <c r="N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3"/>
      <c r="D516" s="3"/>
      <c r="E516" s="3"/>
      <c r="F516" s="3"/>
      <c r="G516" s="3"/>
      <c r="H516" s="3"/>
      <c r="I516" s="3"/>
      <c r="J516" s="1"/>
      <c r="K516" s="1"/>
      <c r="L516" s="1"/>
      <c r="M516" s="3"/>
      <c r="N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3"/>
      <c r="D517" s="3"/>
      <c r="E517" s="3"/>
      <c r="F517" s="3"/>
      <c r="G517" s="3"/>
      <c r="H517" s="3"/>
      <c r="I517" s="3"/>
      <c r="J517" s="1"/>
      <c r="K517" s="1"/>
      <c r="L517" s="1"/>
      <c r="M517" s="3"/>
      <c r="N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3"/>
      <c r="D518" s="3"/>
      <c r="E518" s="3"/>
      <c r="F518" s="3"/>
      <c r="G518" s="3"/>
      <c r="H518" s="3"/>
      <c r="I518" s="3"/>
      <c r="J518" s="1"/>
      <c r="K518" s="1"/>
      <c r="L518" s="1"/>
      <c r="M518" s="3"/>
      <c r="N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3"/>
      <c r="D519" s="3"/>
      <c r="E519" s="3"/>
      <c r="F519" s="3"/>
      <c r="G519" s="3"/>
      <c r="H519" s="3"/>
      <c r="I519" s="3"/>
      <c r="J519" s="1"/>
      <c r="K519" s="1"/>
      <c r="L519" s="1"/>
      <c r="M519" s="3"/>
      <c r="N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3"/>
      <c r="D520" s="3"/>
      <c r="E520" s="3"/>
      <c r="F520" s="3"/>
      <c r="G520" s="3"/>
      <c r="H520" s="3"/>
      <c r="I520" s="3"/>
      <c r="J520" s="1"/>
      <c r="K520" s="1"/>
      <c r="L520" s="1"/>
      <c r="M520" s="3"/>
      <c r="N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3"/>
      <c r="D521" s="3"/>
      <c r="E521" s="3"/>
      <c r="F521" s="3"/>
      <c r="G521" s="3"/>
      <c r="H521" s="3"/>
      <c r="I521" s="3"/>
      <c r="J521" s="1"/>
      <c r="K521" s="1"/>
      <c r="L521" s="1"/>
      <c r="M521" s="3"/>
      <c r="N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3"/>
      <c r="D522" s="3"/>
      <c r="E522" s="3"/>
      <c r="F522" s="3"/>
      <c r="G522" s="3"/>
      <c r="H522" s="3"/>
      <c r="I522" s="3"/>
      <c r="J522" s="1"/>
      <c r="K522" s="1"/>
      <c r="L522" s="1"/>
      <c r="M522" s="3"/>
      <c r="N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3"/>
      <c r="D523" s="3"/>
      <c r="E523" s="3"/>
      <c r="F523" s="3"/>
      <c r="G523" s="3"/>
      <c r="H523" s="3"/>
      <c r="I523" s="3"/>
      <c r="J523" s="1"/>
      <c r="K523" s="1"/>
      <c r="L523" s="1"/>
      <c r="M523" s="3"/>
      <c r="N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3"/>
      <c r="D524" s="3"/>
      <c r="E524" s="3"/>
      <c r="F524" s="3"/>
      <c r="G524" s="3"/>
      <c r="H524" s="3"/>
      <c r="I524" s="3"/>
      <c r="J524" s="1"/>
      <c r="K524" s="1"/>
      <c r="L524" s="1"/>
      <c r="M524" s="3"/>
      <c r="N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3"/>
      <c r="D525" s="3"/>
      <c r="E525" s="3"/>
      <c r="F525" s="3"/>
      <c r="G525" s="3"/>
      <c r="H525" s="3"/>
      <c r="I525" s="3"/>
      <c r="J525" s="1"/>
      <c r="K525" s="1"/>
      <c r="L525" s="1"/>
      <c r="M525" s="3"/>
      <c r="N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3"/>
      <c r="D526" s="3"/>
      <c r="E526" s="3"/>
      <c r="F526" s="3"/>
      <c r="G526" s="3"/>
      <c r="H526" s="3"/>
      <c r="I526" s="3"/>
      <c r="J526" s="1"/>
      <c r="K526" s="1"/>
      <c r="L526" s="1"/>
      <c r="M526" s="3"/>
      <c r="N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3"/>
      <c r="D527" s="3"/>
      <c r="E527" s="3"/>
      <c r="F527" s="3"/>
      <c r="G527" s="3"/>
      <c r="H527" s="3"/>
      <c r="I527" s="3"/>
      <c r="J527" s="1"/>
      <c r="K527" s="1"/>
      <c r="L527" s="1"/>
      <c r="M527" s="3"/>
      <c r="N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3"/>
      <c r="D528" s="3"/>
      <c r="E528" s="3"/>
      <c r="F528" s="3"/>
      <c r="G528" s="3"/>
      <c r="H528" s="3"/>
      <c r="I528" s="3"/>
      <c r="J528" s="1"/>
      <c r="K528" s="1"/>
      <c r="L528" s="1"/>
      <c r="M528" s="3"/>
      <c r="N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3"/>
      <c r="D529" s="3"/>
      <c r="E529" s="3"/>
      <c r="F529" s="3"/>
      <c r="G529" s="3"/>
      <c r="H529" s="3"/>
      <c r="I529" s="3"/>
      <c r="J529" s="1"/>
      <c r="K529" s="1"/>
      <c r="L529" s="1"/>
      <c r="M529" s="3"/>
      <c r="N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3"/>
      <c r="D530" s="3"/>
      <c r="E530" s="3"/>
      <c r="F530" s="3"/>
      <c r="G530" s="3"/>
      <c r="H530" s="3"/>
      <c r="I530" s="3"/>
      <c r="J530" s="1"/>
      <c r="K530" s="1"/>
      <c r="L530" s="1"/>
      <c r="M530" s="3"/>
      <c r="N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3"/>
      <c r="D531" s="3"/>
      <c r="E531" s="3"/>
      <c r="F531" s="3"/>
      <c r="G531" s="3"/>
      <c r="H531" s="3"/>
      <c r="I531" s="3"/>
      <c r="J531" s="1"/>
      <c r="K531" s="1"/>
      <c r="L531" s="1"/>
      <c r="M531" s="3"/>
      <c r="N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3"/>
      <c r="D532" s="3"/>
      <c r="E532" s="3"/>
      <c r="F532" s="3"/>
      <c r="G532" s="3"/>
      <c r="H532" s="3"/>
      <c r="I532" s="3"/>
      <c r="J532" s="1"/>
      <c r="K532" s="1"/>
      <c r="L532" s="1"/>
      <c r="M532" s="3"/>
      <c r="N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3"/>
      <c r="D533" s="3"/>
      <c r="E533" s="3"/>
      <c r="F533" s="3"/>
      <c r="G533" s="3"/>
      <c r="H533" s="3"/>
      <c r="I533" s="3"/>
      <c r="J533" s="1"/>
      <c r="K533" s="1"/>
      <c r="L533" s="1"/>
      <c r="M533" s="3"/>
      <c r="N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3"/>
      <c r="D534" s="3"/>
      <c r="E534" s="3"/>
      <c r="F534" s="3"/>
      <c r="G534" s="3"/>
      <c r="H534" s="3"/>
      <c r="I534" s="3"/>
      <c r="J534" s="1"/>
      <c r="K534" s="1"/>
      <c r="L534" s="1"/>
      <c r="M534" s="3"/>
      <c r="N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3"/>
      <c r="D535" s="3"/>
      <c r="E535" s="3"/>
      <c r="F535" s="3"/>
      <c r="G535" s="3"/>
      <c r="H535" s="3"/>
      <c r="I535" s="3"/>
      <c r="J535" s="1"/>
      <c r="K535" s="1"/>
      <c r="L535" s="1"/>
      <c r="M535" s="3"/>
      <c r="N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3"/>
      <c r="D536" s="3"/>
      <c r="E536" s="3"/>
      <c r="F536" s="3"/>
      <c r="G536" s="3"/>
      <c r="H536" s="3"/>
      <c r="I536" s="3"/>
      <c r="J536" s="1"/>
      <c r="K536" s="1"/>
      <c r="L536" s="1"/>
      <c r="M536" s="3"/>
      <c r="N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3"/>
      <c r="D537" s="3"/>
      <c r="E537" s="3"/>
      <c r="F537" s="3"/>
      <c r="G537" s="3"/>
      <c r="H537" s="3"/>
      <c r="I537" s="3"/>
      <c r="J537" s="1"/>
      <c r="K537" s="1"/>
      <c r="L537" s="1"/>
      <c r="M537" s="3"/>
      <c r="N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3"/>
      <c r="D538" s="3"/>
      <c r="E538" s="3"/>
      <c r="F538" s="3"/>
      <c r="G538" s="3"/>
      <c r="H538" s="3"/>
      <c r="I538" s="3"/>
      <c r="J538" s="1"/>
      <c r="K538" s="1"/>
      <c r="L538" s="1"/>
      <c r="M538" s="3"/>
      <c r="N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3"/>
      <c r="D539" s="3"/>
      <c r="E539" s="3"/>
      <c r="F539" s="3"/>
      <c r="G539" s="3"/>
      <c r="H539" s="3"/>
      <c r="I539" s="3"/>
      <c r="J539" s="1"/>
      <c r="K539" s="1"/>
      <c r="L539" s="1"/>
      <c r="M539" s="3"/>
      <c r="N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3"/>
      <c r="D540" s="3"/>
      <c r="E540" s="3"/>
      <c r="F540" s="3"/>
      <c r="G540" s="3"/>
      <c r="H540" s="3"/>
      <c r="I540" s="3"/>
      <c r="J540" s="1"/>
      <c r="K540" s="1"/>
      <c r="L540" s="1"/>
      <c r="M540" s="3"/>
      <c r="N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3"/>
      <c r="D541" s="3"/>
      <c r="E541" s="3"/>
      <c r="F541" s="3"/>
      <c r="G541" s="3"/>
      <c r="H541" s="3"/>
      <c r="I541" s="3"/>
      <c r="J541" s="1"/>
      <c r="K541" s="1"/>
      <c r="L541" s="1"/>
      <c r="M541" s="3"/>
      <c r="N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3"/>
      <c r="D542" s="3"/>
      <c r="E542" s="3"/>
      <c r="F542" s="3"/>
      <c r="G542" s="3"/>
      <c r="H542" s="3"/>
      <c r="I542" s="3"/>
      <c r="J542" s="1"/>
      <c r="K542" s="1"/>
      <c r="L542" s="1"/>
      <c r="M542" s="3"/>
      <c r="N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3"/>
      <c r="D543" s="3"/>
      <c r="E543" s="3"/>
      <c r="F543" s="3"/>
      <c r="G543" s="3"/>
      <c r="H543" s="3"/>
      <c r="I543" s="3"/>
      <c r="J543" s="1"/>
      <c r="K543" s="1"/>
      <c r="L543" s="1"/>
      <c r="M543" s="3"/>
      <c r="N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3"/>
      <c r="D544" s="3"/>
      <c r="E544" s="3"/>
      <c r="F544" s="3"/>
      <c r="G544" s="3"/>
      <c r="H544" s="3"/>
      <c r="I544" s="3"/>
      <c r="J544" s="1"/>
      <c r="K544" s="1"/>
      <c r="L544" s="1"/>
      <c r="M544" s="3"/>
      <c r="N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3"/>
      <c r="D545" s="3"/>
      <c r="E545" s="3"/>
      <c r="F545" s="3"/>
      <c r="G545" s="3"/>
      <c r="H545" s="3"/>
      <c r="I545" s="3"/>
      <c r="J545" s="1"/>
      <c r="K545" s="1"/>
      <c r="L545" s="1"/>
      <c r="M545" s="3"/>
      <c r="N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3"/>
      <c r="D546" s="3"/>
      <c r="E546" s="3"/>
      <c r="F546" s="3"/>
      <c r="G546" s="3"/>
      <c r="H546" s="3"/>
      <c r="I546" s="3"/>
      <c r="J546" s="1"/>
      <c r="K546" s="1"/>
      <c r="L546" s="1"/>
      <c r="M546" s="3"/>
      <c r="N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3"/>
      <c r="D547" s="3"/>
      <c r="E547" s="3"/>
      <c r="F547" s="3"/>
      <c r="G547" s="3"/>
      <c r="H547" s="3"/>
      <c r="I547" s="3"/>
      <c r="J547" s="1"/>
      <c r="K547" s="1"/>
      <c r="L547" s="1"/>
      <c r="M547" s="3"/>
      <c r="N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3"/>
      <c r="D548" s="3"/>
      <c r="E548" s="3"/>
      <c r="F548" s="3"/>
      <c r="G548" s="3"/>
      <c r="H548" s="3"/>
      <c r="I548" s="3"/>
      <c r="J548" s="1"/>
      <c r="K548" s="1"/>
      <c r="L548" s="1"/>
      <c r="M548" s="3"/>
      <c r="N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3"/>
      <c r="D549" s="3"/>
      <c r="E549" s="3"/>
      <c r="F549" s="3"/>
      <c r="G549" s="3"/>
      <c r="H549" s="3"/>
      <c r="I549" s="3"/>
      <c r="J549" s="1"/>
      <c r="K549" s="1"/>
      <c r="L549" s="1"/>
      <c r="M549" s="3"/>
      <c r="N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3"/>
      <c r="D550" s="3"/>
      <c r="E550" s="3"/>
      <c r="F550" s="3"/>
      <c r="G550" s="3"/>
      <c r="H550" s="3"/>
      <c r="I550" s="3"/>
      <c r="J550" s="1"/>
      <c r="K550" s="1"/>
      <c r="L550" s="1"/>
      <c r="M550" s="3"/>
      <c r="N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3"/>
      <c r="D551" s="3"/>
      <c r="E551" s="3"/>
      <c r="F551" s="3"/>
      <c r="G551" s="3"/>
      <c r="H551" s="3"/>
      <c r="I551" s="3"/>
      <c r="J551" s="1"/>
      <c r="K551" s="1"/>
      <c r="L551" s="1"/>
      <c r="M551" s="3"/>
      <c r="N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3"/>
      <c r="D552" s="3"/>
      <c r="E552" s="3"/>
      <c r="F552" s="3"/>
      <c r="G552" s="3"/>
      <c r="H552" s="3"/>
      <c r="I552" s="3"/>
      <c r="J552" s="1"/>
      <c r="K552" s="1"/>
      <c r="L552" s="1"/>
      <c r="M552" s="3"/>
      <c r="N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3"/>
      <c r="D553" s="3"/>
      <c r="E553" s="3"/>
      <c r="F553" s="3"/>
      <c r="G553" s="3"/>
      <c r="H553" s="3"/>
      <c r="I553" s="3"/>
      <c r="J553" s="1"/>
      <c r="K553" s="1"/>
      <c r="L553" s="1"/>
      <c r="M553" s="3"/>
      <c r="N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3"/>
      <c r="D554" s="3"/>
      <c r="E554" s="3"/>
      <c r="F554" s="3"/>
      <c r="G554" s="3"/>
      <c r="H554" s="3"/>
      <c r="I554" s="3"/>
      <c r="J554" s="1"/>
      <c r="K554" s="1"/>
      <c r="L554" s="1"/>
      <c r="M554" s="3"/>
      <c r="N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3"/>
      <c r="D555" s="3"/>
      <c r="E555" s="3"/>
      <c r="F555" s="3"/>
      <c r="G555" s="3"/>
      <c r="H555" s="3"/>
      <c r="I555" s="3"/>
      <c r="J555" s="1"/>
      <c r="K555" s="1"/>
      <c r="L555" s="1"/>
      <c r="M555" s="3"/>
      <c r="N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3"/>
      <c r="D556" s="3"/>
      <c r="E556" s="3"/>
      <c r="F556" s="3"/>
      <c r="G556" s="3"/>
      <c r="H556" s="3"/>
      <c r="I556" s="3"/>
      <c r="J556" s="1"/>
      <c r="K556" s="1"/>
      <c r="L556" s="1"/>
      <c r="M556" s="3"/>
      <c r="N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3"/>
      <c r="D557" s="3"/>
      <c r="E557" s="3"/>
      <c r="F557" s="3"/>
      <c r="G557" s="3"/>
      <c r="H557" s="3"/>
      <c r="I557" s="3"/>
      <c r="J557" s="1"/>
      <c r="K557" s="1"/>
      <c r="L557" s="1"/>
      <c r="M557" s="3"/>
      <c r="N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3"/>
      <c r="D558" s="3"/>
      <c r="E558" s="3"/>
      <c r="F558" s="3"/>
      <c r="G558" s="3"/>
      <c r="H558" s="3"/>
      <c r="I558" s="3"/>
      <c r="J558" s="1"/>
      <c r="K558" s="1"/>
      <c r="L558" s="1"/>
      <c r="M558" s="3"/>
      <c r="N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3"/>
      <c r="D559" s="3"/>
      <c r="E559" s="3"/>
      <c r="F559" s="3"/>
      <c r="G559" s="3"/>
      <c r="H559" s="3"/>
      <c r="I559" s="3"/>
      <c r="J559" s="1"/>
      <c r="K559" s="1"/>
      <c r="L559" s="1"/>
      <c r="M559" s="3"/>
      <c r="N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3"/>
      <c r="D560" s="3"/>
      <c r="E560" s="3"/>
      <c r="F560" s="3"/>
      <c r="G560" s="3"/>
      <c r="H560" s="3"/>
      <c r="I560" s="3"/>
      <c r="J560" s="1"/>
      <c r="K560" s="1"/>
      <c r="L560" s="1"/>
      <c r="M560" s="3"/>
      <c r="N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3"/>
      <c r="D561" s="3"/>
      <c r="E561" s="3"/>
      <c r="F561" s="3"/>
      <c r="G561" s="3"/>
      <c r="H561" s="3"/>
      <c r="I561" s="3"/>
      <c r="J561" s="1"/>
      <c r="K561" s="1"/>
      <c r="L561" s="1"/>
      <c r="M561" s="3"/>
      <c r="N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3"/>
      <c r="D562" s="3"/>
      <c r="E562" s="3"/>
      <c r="F562" s="3"/>
      <c r="G562" s="3"/>
      <c r="H562" s="3"/>
      <c r="I562" s="3"/>
      <c r="J562" s="1"/>
      <c r="K562" s="1"/>
      <c r="L562" s="1"/>
      <c r="M562" s="3"/>
      <c r="N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3"/>
      <c r="D563" s="3"/>
      <c r="E563" s="3"/>
      <c r="F563" s="3"/>
      <c r="G563" s="3"/>
      <c r="H563" s="3"/>
      <c r="I563" s="3"/>
      <c r="J563" s="1"/>
      <c r="K563" s="1"/>
      <c r="L563" s="1"/>
      <c r="M563" s="3"/>
      <c r="N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3"/>
      <c r="D564" s="3"/>
      <c r="E564" s="3"/>
      <c r="F564" s="3"/>
      <c r="G564" s="3"/>
      <c r="H564" s="3"/>
      <c r="I564" s="3"/>
      <c r="J564" s="1"/>
      <c r="K564" s="1"/>
      <c r="L564" s="1"/>
      <c r="M564" s="3"/>
      <c r="N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3"/>
      <c r="D565" s="3"/>
      <c r="E565" s="3"/>
      <c r="F565" s="3"/>
      <c r="G565" s="3"/>
      <c r="H565" s="3"/>
      <c r="I565" s="3"/>
      <c r="J565" s="1"/>
      <c r="K565" s="1"/>
      <c r="L565" s="1"/>
      <c r="M565" s="3"/>
      <c r="N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3"/>
      <c r="D566" s="3"/>
      <c r="E566" s="3"/>
      <c r="F566" s="3"/>
      <c r="G566" s="3"/>
      <c r="H566" s="3"/>
      <c r="I566" s="3"/>
      <c r="J566" s="1"/>
      <c r="K566" s="1"/>
      <c r="L566" s="1"/>
      <c r="M566" s="3"/>
      <c r="N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3"/>
      <c r="D567" s="3"/>
      <c r="E567" s="3"/>
      <c r="F567" s="3"/>
      <c r="G567" s="3"/>
      <c r="H567" s="3"/>
      <c r="I567" s="3"/>
      <c r="J567" s="1"/>
      <c r="K567" s="1"/>
      <c r="L567" s="1"/>
      <c r="M567" s="3"/>
      <c r="N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3"/>
      <c r="D568" s="3"/>
      <c r="E568" s="3"/>
      <c r="F568" s="3"/>
      <c r="G568" s="3"/>
      <c r="H568" s="3"/>
      <c r="I568" s="3"/>
      <c r="J568" s="1"/>
      <c r="K568" s="1"/>
      <c r="L568" s="1"/>
      <c r="M568" s="3"/>
      <c r="N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3"/>
      <c r="D569" s="3"/>
      <c r="E569" s="3"/>
      <c r="F569" s="3"/>
      <c r="G569" s="3"/>
      <c r="H569" s="3"/>
      <c r="I569" s="3"/>
      <c r="J569" s="1"/>
      <c r="K569" s="1"/>
      <c r="L569" s="1"/>
      <c r="M569" s="3"/>
      <c r="N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3"/>
      <c r="D570" s="3"/>
      <c r="E570" s="3"/>
      <c r="F570" s="3"/>
      <c r="G570" s="3"/>
      <c r="H570" s="3"/>
      <c r="I570" s="3"/>
      <c r="J570" s="1"/>
      <c r="K570" s="1"/>
      <c r="L570" s="1"/>
      <c r="M570" s="3"/>
      <c r="N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3"/>
      <c r="D571" s="3"/>
      <c r="E571" s="3"/>
      <c r="F571" s="3"/>
      <c r="G571" s="3"/>
      <c r="H571" s="3"/>
      <c r="I571" s="3"/>
      <c r="J571" s="1"/>
      <c r="K571" s="1"/>
      <c r="L571" s="1"/>
      <c r="M571" s="3"/>
      <c r="N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3"/>
      <c r="D572" s="3"/>
      <c r="E572" s="3"/>
      <c r="F572" s="3"/>
      <c r="G572" s="3"/>
      <c r="H572" s="3"/>
      <c r="I572" s="3"/>
      <c r="J572" s="1"/>
      <c r="K572" s="1"/>
      <c r="L572" s="1"/>
      <c r="M572" s="3"/>
      <c r="N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3"/>
      <c r="D573" s="3"/>
      <c r="E573" s="3"/>
      <c r="F573" s="3"/>
      <c r="G573" s="3"/>
      <c r="H573" s="3"/>
      <c r="I573" s="3"/>
      <c r="J573" s="1"/>
      <c r="K573" s="1"/>
      <c r="L573" s="1"/>
      <c r="M573" s="3"/>
      <c r="N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3"/>
      <c r="D574" s="3"/>
      <c r="E574" s="3"/>
      <c r="F574" s="3"/>
      <c r="G574" s="3"/>
      <c r="H574" s="3"/>
      <c r="I574" s="3"/>
      <c r="J574" s="1"/>
      <c r="K574" s="1"/>
      <c r="L574" s="1"/>
      <c r="M574" s="3"/>
      <c r="N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3"/>
      <c r="D575" s="3"/>
      <c r="E575" s="3"/>
      <c r="F575" s="3"/>
      <c r="G575" s="3"/>
      <c r="H575" s="3"/>
      <c r="I575" s="3"/>
      <c r="J575" s="1"/>
      <c r="K575" s="1"/>
      <c r="L575" s="1"/>
      <c r="M575" s="3"/>
      <c r="N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3"/>
      <c r="D576" s="3"/>
      <c r="E576" s="3"/>
      <c r="F576" s="3"/>
      <c r="G576" s="3"/>
      <c r="H576" s="3"/>
      <c r="I576" s="3"/>
      <c r="J576" s="1"/>
      <c r="K576" s="1"/>
      <c r="L576" s="1"/>
      <c r="M576" s="3"/>
      <c r="N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3"/>
      <c r="D577" s="3"/>
      <c r="E577" s="3"/>
      <c r="F577" s="3"/>
      <c r="G577" s="3"/>
      <c r="H577" s="3"/>
      <c r="I577" s="3"/>
      <c r="J577" s="1"/>
      <c r="K577" s="1"/>
      <c r="L577" s="1"/>
      <c r="M577" s="3"/>
      <c r="N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3"/>
      <c r="D578" s="3"/>
      <c r="E578" s="3"/>
      <c r="F578" s="3"/>
      <c r="G578" s="3"/>
      <c r="H578" s="3"/>
      <c r="I578" s="3"/>
      <c r="J578" s="1"/>
      <c r="K578" s="1"/>
      <c r="L578" s="1"/>
      <c r="M578" s="3"/>
      <c r="N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3"/>
      <c r="D579" s="3"/>
      <c r="E579" s="3"/>
      <c r="F579" s="3"/>
      <c r="G579" s="3"/>
      <c r="H579" s="3"/>
      <c r="I579" s="3"/>
      <c r="J579" s="1"/>
      <c r="K579" s="1"/>
      <c r="L579" s="1"/>
      <c r="M579" s="3"/>
      <c r="N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3"/>
      <c r="D580" s="3"/>
      <c r="E580" s="3"/>
      <c r="F580" s="3"/>
      <c r="G580" s="3"/>
      <c r="H580" s="3"/>
      <c r="I580" s="3"/>
      <c r="J580" s="1"/>
      <c r="K580" s="1"/>
      <c r="L580" s="1"/>
      <c r="M580" s="3"/>
      <c r="N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3"/>
      <c r="D581" s="3"/>
      <c r="E581" s="3"/>
      <c r="F581" s="3"/>
      <c r="G581" s="3"/>
      <c r="H581" s="3"/>
      <c r="I581" s="3"/>
      <c r="J581" s="1"/>
      <c r="K581" s="1"/>
      <c r="L581" s="1"/>
      <c r="M581" s="3"/>
      <c r="N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3"/>
      <c r="D582" s="3"/>
      <c r="E582" s="3"/>
      <c r="F582" s="3"/>
      <c r="G582" s="3"/>
      <c r="H582" s="3"/>
      <c r="I582" s="3"/>
      <c r="J582" s="1"/>
      <c r="K582" s="1"/>
      <c r="L582" s="1"/>
      <c r="M582" s="3"/>
      <c r="N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3"/>
      <c r="D583" s="3"/>
      <c r="E583" s="3"/>
      <c r="F583" s="3"/>
      <c r="G583" s="3"/>
      <c r="H583" s="3"/>
      <c r="I583" s="3"/>
      <c r="J583" s="1"/>
      <c r="K583" s="1"/>
      <c r="L583" s="1"/>
      <c r="M583" s="3"/>
      <c r="N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3"/>
      <c r="D584" s="3"/>
      <c r="E584" s="3"/>
      <c r="F584" s="3"/>
      <c r="G584" s="3"/>
      <c r="H584" s="3"/>
      <c r="I584" s="3"/>
      <c r="J584" s="1"/>
      <c r="K584" s="1"/>
      <c r="L584" s="1"/>
      <c r="M584" s="3"/>
      <c r="N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3"/>
      <c r="D585" s="3"/>
      <c r="E585" s="3"/>
      <c r="F585" s="3"/>
      <c r="G585" s="3"/>
      <c r="H585" s="3"/>
      <c r="I585" s="3"/>
      <c r="J585" s="1"/>
      <c r="K585" s="1"/>
      <c r="L585" s="1"/>
      <c r="M585" s="3"/>
      <c r="N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3"/>
      <c r="D586" s="3"/>
      <c r="E586" s="3"/>
      <c r="F586" s="3"/>
      <c r="G586" s="3"/>
      <c r="H586" s="3"/>
      <c r="I586" s="3"/>
      <c r="J586" s="1"/>
      <c r="K586" s="1"/>
      <c r="L586" s="1"/>
      <c r="M586" s="3"/>
      <c r="N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3"/>
      <c r="D587" s="3"/>
      <c r="E587" s="3"/>
      <c r="F587" s="3"/>
      <c r="G587" s="3"/>
      <c r="H587" s="3"/>
      <c r="I587" s="3"/>
      <c r="J587" s="1"/>
      <c r="K587" s="1"/>
      <c r="L587" s="1"/>
      <c r="M587" s="3"/>
      <c r="N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3"/>
      <c r="D588" s="3"/>
      <c r="E588" s="3"/>
      <c r="F588" s="3"/>
      <c r="G588" s="3"/>
      <c r="H588" s="3"/>
      <c r="I588" s="3"/>
      <c r="J588" s="1"/>
      <c r="K588" s="1"/>
      <c r="L588" s="1"/>
      <c r="M588" s="3"/>
      <c r="N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3"/>
      <c r="D589" s="3"/>
      <c r="E589" s="3"/>
      <c r="F589" s="3"/>
      <c r="G589" s="3"/>
      <c r="H589" s="3"/>
      <c r="I589" s="3"/>
      <c r="J589" s="1"/>
      <c r="K589" s="1"/>
      <c r="L589" s="1"/>
      <c r="M589" s="3"/>
      <c r="N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3"/>
      <c r="D590" s="3"/>
      <c r="E590" s="3"/>
      <c r="F590" s="3"/>
      <c r="G590" s="3"/>
      <c r="H590" s="3"/>
      <c r="I590" s="3"/>
      <c r="J590" s="1"/>
      <c r="K590" s="1"/>
      <c r="L590" s="1"/>
      <c r="M590" s="3"/>
      <c r="N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3"/>
      <c r="D591" s="3"/>
      <c r="E591" s="3"/>
      <c r="F591" s="3"/>
      <c r="G591" s="3"/>
      <c r="H591" s="3"/>
      <c r="I591" s="3"/>
      <c r="J591" s="1"/>
      <c r="K591" s="1"/>
      <c r="L591" s="1"/>
      <c r="M591" s="3"/>
      <c r="N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3"/>
      <c r="D592" s="3"/>
      <c r="E592" s="3"/>
      <c r="F592" s="3"/>
      <c r="G592" s="3"/>
      <c r="H592" s="3"/>
      <c r="I592" s="3"/>
      <c r="J592" s="1"/>
      <c r="K592" s="1"/>
      <c r="L592" s="1"/>
      <c r="M592" s="3"/>
      <c r="N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3"/>
      <c r="D593" s="3"/>
      <c r="E593" s="3"/>
      <c r="F593" s="3"/>
      <c r="G593" s="3"/>
      <c r="H593" s="3"/>
      <c r="I593" s="3"/>
      <c r="J593" s="1"/>
      <c r="K593" s="1"/>
      <c r="L593" s="1"/>
      <c r="M593" s="3"/>
      <c r="N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3"/>
      <c r="D594" s="3"/>
      <c r="E594" s="3"/>
      <c r="F594" s="3"/>
      <c r="G594" s="3"/>
      <c r="H594" s="3"/>
      <c r="I594" s="3"/>
      <c r="J594" s="1"/>
      <c r="K594" s="1"/>
      <c r="L594" s="1"/>
      <c r="M594" s="3"/>
      <c r="N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3"/>
      <c r="D595" s="3"/>
      <c r="E595" s="3"/>
      <c r="F595" s="3"/>
      <c r="G595" s="3"/>
      <c r="H595" s="3"/>
      <c r="I595" s="3"/>
      <c r="J595" s="1"/>
      <c r="K595" s="1"/>
      <c r="L595" s="1"/>
      <c r="M595" s="3"/>
      <c r="N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3"/>
      <c r="D596" s="3"/>
      <c r="E596" s="3"/>
      <c r="F596" s="3"/>
      <c r="G596" s="3"/>
      <c r="H596" s="3"/>
      <c r="I596" s="3"/>
      <c r="J596" s="1"/>
      <c r="K596" s="1"/>
      <c r="L596" s="1"/>
      <c r="M596" s="3"/>
      <c r="N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3"/>
      <c r="D597" s="3"/>
      <c r="E597" s="3"/>
      <c r="F597" s="3"/>
      <c r="G597" s="3"/>
      <c r="H597" s="3"/>
      <c r="I597" s="3"/>
      <c r="J597" s="1"/>
      <c r="K597" s="1"/>
      <c r="L597" s="1"/>
      <c r="M597" s="3"/>
      <c r="N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3"/>
      <c r="D598" s="3"/>
      <c r="E598" s="3"/>
      <c r="F598" s="3"/>
      <c r="G598" s="3"/>
      <c r="H598" s="3"/>
      <c r="I598" s="3"/>
      <c r="J598" s="1"/>
      <c r="K598" s="1"/>
      <c r="L598" s="1"/>
      <c r="M598" s="3"/>
      <c r="N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3"/>
      <c r="D599" s="3"/>
      <c r="E599" s="3"/>
      <c r="F599" s="3"/>
      <c r="G599" s="3"/>
      <c r="H599" s="3"/>
      <c r="I599" s="3"/>
      <c r="J599" s="1"/>
      <c r="K599" s="1"/>
      <c r="L599" s="1"/>
      <c r="M599" s="3"/>
      <c r="N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3"/>
      <c r="D600" s="3"/>
      <c r="E600" s="3"/>
      <c r="F600" s="3"/>
      <c r="G600" s="3"/>
      <c r="H600" s="3"/>
      <c r="I600" s="3"/>
      <c r="J600" s="1"/>
      <c r="K600" s="1"/>
      <c r="L600" s="1"/>
      <c r="M600" s="3"/>
      <c r="N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3"/>
      <c r="D601" s="3"/>
      <c r="E601" s="3"/>
      <c r="F601" s="3"/>
      <c r="G601" s="3"/>
      <c r="H601" s="3"/>
      <c r="I601" s="3"/>
      <c r="J601" s="1"/>
      <c r="K601" s="1"/>
      <c r="L601" s="1"/>
      <c r="M601" s="3"/>
      <c r="N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3"/>
      <c r="D602" s="3"/>
      <c r="E602" s="3"/>
      <c r="F602" s="3"/>
      <c r="G602" s="3"/>
      <c r="H602" s="3"/>
      <c r="I602" s="3"/>
      <c r="J602" s="1"/>
      <c r="K602" s="1"/>
      <c r="L602" s="1"/>
      <c r="M602" s="3"/>
      <c r="N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3"/>
      <c r="D603" s="3"/>
      <c r="E603" s="3"/>
      <c r="F603" s="3"/>
      <c r="G603" s="3"/>
      <c r="H603" s="3"/>
      <c r="I603" s="3"/>
      <c r="J603" s="1"/>
      <c r="K603" s="1"/>
      <c r="L603" s="1"/>
      <c r="M603" s="3"/>
      <c r="N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3"/>
      <c r="D604" s="3"/>
      <c r="E604" s="3"/>
      <c r="F604" s="3"/>
      <c r="G604" s="3"/>
      <c r="H604" s="3"/>
      <c r="I604" s="3"/>
      <c r="J604" s="1"/>
      <c r="K604" s="1"/>
      <c r="L604" s="1"/>
      <c r="M604" s="3"/>
      <c r="N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3"/>
      <c r="D605" s="3"/>
      <c r="E605" s="3"/>
      <c r="F605" s="3"/>
      <c r="G605" s="3"/>
      <c r="H605" s="3"/>
      <c r="I605" s="3"/>
      <c r="J605" s="1"/>
      <c r="K605" s="1"/>
      <c r="L605" s="1"/>
      <c r="M605" s="3"/>
      <c r="N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3"/>
      <c r="D606" s="3"/>
      <c r="E606" s="3"/>
      <c r="F606" s="3"/>
      <c r="G606" s="3"/>
      <c r="H606" s="3"/>
      <c r="I606" s="3"/>
      <c r="J606" s="1"/>
      <c r="K606" s="1"/>
      <c r="L606" s="1"/>
      <c r="M606" s="3"/>
      <c r="N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3"/>
      <c r="D607" s="3"/>
      <c r="E607" s="3"/>
      <c r="F607" s="3"/>
      <c r="G607" s="3"/>
      <c r="H607" s="3"/>
      <c r="I607" s="3"/>
      <c r="J607" s="1"/>
      <c r="K607" s="1"/>
      <c r="L607" s="1"/>
      <c r="M607" s="3"/>
      <c r="N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3"/>
      <c r="D608" s="3"/>
      <c r="E608" s="3"/>
      <c r="F608" s="3"/>
      <c r="G608" s="3"/>
      <c r="H608" s="3"/>
      <c r="I608" s="3"/>
      <c r="J608" s="1"/>
      <c r="K608" s="1"/>
      <c r="L608" s="1"/>
      <c r="M608" s="3"/>
      <c r="N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3"/>
      <c r="D609" s="3"/>
      <c r="E609" s="3"/>
      <c r="F609" s="3"/>
      <c r="G609" s="3"/>
      <c r="H609" s="3"/>
      <c r="I609" s="3"/>
      <c r="J609" s="1"/>
      <c r="K609" s="1"/>
      <c r="L609" s="1"/>
      <c r="M609" s="3"/>
      <c r="N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3"/>
      <c r="D610" s="3"/>
      <c r="E610" s="3"/>
      <c r="F610" s="3"/>
      <c r="G610" s="3"/>
      <c r="H610" s="3"/>
      <c r="I610" s="3"/>
      <c r="J610" s="1"/>
      <c r="K610" s="1"/>
      <c r="L610" s="1"/>
      <c r="M610" s="3"/>
      <c r="N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3"/>
      <c r="D611" s="3"/>
      <c r="E611" s="3"/>
      <c r="F611" s="3"/>
      <c r="G611" s="3"/>
      <c r="H611" s="3"/>
      <c r="I611" s="3"/>
      <c r="J611" s="1"/>
      <c r="K611" s="1"/>
      <c r="L611" s="1"/>
      <c r="M611" s="3"/>
      <c r="N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3"/>
      <c r="D612" s="3"/>
      <c r="E612" s="3"/>
      <c r="F612" s="3"/>
      <c r="G612" s="3"/>
      <c r="H612" s="3"/>
      <c r="I612" s="3"/>
      <c r="J612" s="1"/>
      <c r="K612" s="1"/>
      <c r="L612" s="1"/>
      <c r="M612" s="3"/>
      <c r="N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3"/>
      <c r="D613" s="3"/>
      <c r="E613" s="3"/>
      <c r="F613" s="3"/>
      <c r="G613" s="3"/>
      <c r="H613" s="3"/>
      <c r="I613" s="3"/>
      <c r="J613" s="1"/>
      <c r="K613" s="1"/>
      <c r="L613" s="1"/>
      <c r="M613" s="3"/>
      <c r="N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3"/>
      <c r="D614" s="3"/>
      <c r="E614" s="3"/>
      <c r="F614" s="3"/>
      <c r="G614" s="3"/>
      <c r="H614" s="3"/>
      <c r="I614" s="3"/>
      <c r="J614" s="1"/>
      <c r="K614" s="1"/>
      <c r="L614" s="1"/>
      <c r="M614" s="3"/>
      <c r="N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3"/>
      <c r="D615" s="3"/>
      <c r="E615" s="3"/>
      <c r="F615" s="3"/>
      <c r="G615" s="3"/>
      <c r="H615" s="3"/>
      <c r="I615" s="3"/>
      <c r="J615" s="1"/>
      <c r="K615" s="1"/>
      <c r="L615" s="1"/>
      <c r="M615" s="3"/>
      <c r="N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3"/>
      <c r="D616" s="3"/>
      <c r="E616" s="3"/>
      <c r="F616" s="3"/>
      <c r="G616" s="3"/>
      <c r="H616" s="3"/>
      <c r="I616" s="3"/>
      <c r="J616" s="1"/>
      <c r="K616" s="1"/>
      <c r="L616" s="1"/>
      <c r="M616" s="3"/>
      <c r="N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3"/>
      <c r="D617" s="3"/>
      <c r="E617" s="3"/>
      <c r="F617" s="3"/>
      <c r="G617" s="3"/>
      <c r="H617" s="3"/>
      <c r="I617" s="3"/>
      <c r="J617" s="1"/>
      <c r="K617" s="1"/>
      <c r="L617" s="1"/>
      <c r="M617" s="3"/>
      <c r="N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3"/>
      <c r="D618" s="3"/>
      <c r="E618" s="3"/>
      <c r="F618" s="3"/>
      <c r="G618" s="3"/>
      <c r="H618" s="3"/>
      <c r="I618" s="3"/>
      <c r="J618" s="1"/>
      <c r="K618" s="1"/>
      <c r="L618" s="1"/>
      <c r="M618" s="3"/>
      <c r="N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3"/>
      <c r="D619" s="3"/>
      <c r="E619" s="3"/>
      <c r="F619" s="3"/>
      <c r="G619" s="3"/>
      <c r="H619" s="3"/>
      <c r="I619" s="3"/>
      <c r="J619" s="1"/>
      <c r="K619" s="1"/>
      <c r="L619" s="1"/>
      <c r="M619" s="3"/>
      <c r="N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3"/>
      <c r="D620" s="3"/>
      <c r="E620" s="3"/>
      <c r="F620" s="3"/>
      <c r="G620" s="3"/>
      <c r="H620" s="3"/>
      <c r="I620" s="3"/>
      <c r="J620" s="1"/>
      <c r="K620" s="1"/>
      <c r="L620" s="1"/>
      <c r="M620" s="3"/>
      <c r="N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3"/>
      <c r="D621" s="3"/>
      <c r="E621" s="3"/>
      <c r="F621" s="3"/>
      <c r="G621" s="3"/>
      <c r="H621" s="3"/>
      <c r="I621" s="3"/>
      <c r="J621" s="1"/>
      <c r="K621" s="1"/>
      <c r="L621" s="1"/>
      <c r="M621" s="3"/>
      <c r="N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3"/>
      <c r="D622" s="3"/>
      <c r="E622" s="3"/>
      <c r="F622" s="3"/>
      <c r="G622" s="3"/>
      <c r="H622" s="3"/>
      <c r="I622" s="3"/>
      <c r="J622" s="1"/>
      <c r="K622" s="1"/>
      <c r="L622" s="1"/>
      <c r="M622" s="3"/>
      <c r="N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3"/>
      <c r="D623" s="3"/>
      <c r="E623" s="3"/>
      <c r="F623" s="3"/>
      <c r="G623" s="3"/>
      <c r="H623" s="3"/>
      <c r="I623" s="3"/>
      <c r="J623" s="1"/>
      <c r="K623" s="1"/>
      <c r="L623" s="1"/>
      <c r="M623" s="3"/>
      <c r="N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3"/>
      <c r="D624" s="3"/>
      <c r="E624" s="3"/>
      <c r="F624" s="3"/>
      <c r="G624" s="3"/>
      <c r="H624" s="3"/>
      <c r="I624" s="3"/>
      <c r="J624" s="1"/>
      <c r="K624" s="1"/>
      <c r="L624" s="1"/>
      <c r="M624" s="3"/>
      <c r="N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3"/>
      <c r="D625" s="3"/>
      <c r="E625" s="3"/>
      <c r="F625" s="3"/>
      <c r="G625" s="3"/>
      <c r="H625" s="3"/>
      <c r="I625" s="3"/>
      <c r="J625" s="1"/>
      <c r="K625" s="1"/>
      <c r="L625" s="1"/>
      <c r="M625" s="3"/>
      <c r="N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3"/>
      <c r="D626" s="3"/>
      <c r="E626" s="3"/>
      <c r="F626" s="3"/>
      <c r="G626" s="3"/>
      <c r="H626" s="3"/>
      <c r="I626" s="3"/>
      <c r="J626" s="1"/>
      <c r="K626" s="1"/>
      <c r="L626" s="1"/>
      <c r="M626" s="3"/>
      <c r="N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3"/>
      <c r="D627" s="3"/>
      <c r="E627" s="3"/>
      <c r="F627" s="3"/>
      <c r="G627" s="3"/>
      <c r="H627" s="3"/>
      <c r="I627" s="3"/>
      <c r="J627" s="1"/>
      <c r="K627" s="1"/>
      <c r="L627" s="1"/>
      <c r="M627" s="3"/>
      <c r="N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3"/>
      <c r="D628" s="3"/>
      <c r="E628" s="3"/>
      <c r="F628" s="3"/>
      <c r="G628" s="3"/>
      <c r="H628" s="3"/>
      <c r="I628" s="3"/>
      <c r="J628" s="1"/>
      <c r="K628" s="1"/>
      <c r="L628" s="1"/>
      <c r="M628" s="3"/>
      <c r="N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3"/>
      <c r="D629" s="3"/>
      <c r="E629" s="3"/>
      <c r="F629" s="3"/>
      <c r="G629" s="3"/>
      <c r="H629" s="3"/>
      <c r="I629" s="3"/>
      <c r="J629" s="1"/>
      <c r="K629" s="1"/>
      <c r="L629" s="1"/>
      <c r="M629" s="3"/>
      <c r="N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3"/>
      <c r="D630" s="3"/>
      <c r="E630" s="3"/>
      <c r="F630" s="3"/>
      <c r="G630" s="3"/>
      <c r="H630" s="3"/>
      <c r="I630" s="3"/>
      <c r="J630" s="1"/>
      <c r="K630" s="1"/>
      <c r="L630" s="1"/>
      <c r="M630" s="3"/>
      <c r="N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3"/>
      <c r="D631" s="3"/>
      <c r="E631" s="3"/>
      <c r="F631" s="3"/>
      <c r="G631" s="3"/>
      <c r="H631" s="3"/>
      <c r="I631" s="3"/>
      <c r="J631" s="1"/>
      <c r="K631" s="1"/>
      <c r="L631" s="1"/>
      <c r="M631" s="3"/>
      <c r="N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3"/>
      <c r="D632" s="3"/>
      <c r="E632" s="3"/>
      <c r="F632" s="3"/>
      <c r="G632" s="3"/>
      <c r="H632" s="3"/>
      <c r="I632" s="3"/>
      <c r="J632" s="1"/>
      <c r="K632" s="1"/>
      <c r="L632" s="1"/>
      <c r="M632" s="3"/>
      <c r="N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3"/>
      <c r="D633" s="3"/>
      <c r="E633" s="3"/>
      <c r="F633" s="3"/>
      <c r="G633" s="3"/>
      <c r="H633" s="3"/>
      <c r="I633" s="3"/>
      <c r="J633" s="1"/>
      <c r="K633" s="1"/>
      <c r="L633" s="1"/>
      <c r="M633" s="3"/>
      <c r="N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3"/>
      <c r="D634" s="3"/>
      <c r="E634" s="3"/>
      <c r="F634" s="3"/>
      <c r="G634" s="3"/>
      <c r="H634" s="3"/>
      <c r="I634" s="3"/>
      <c r="J634" s="1"/>
      <c r="K634" s="1"/>
      <c r="L634" s="1"/>
      <c r="M634" s="3"/>
      <c r="N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3"/>
      <c r="D635" s="3"/>
      <c r="E635" s="3"/>
      <c r="F635" s="3"/>
      <c r="G635" s="3"/>
      <c r="H635" s="3"/>
      <c r="I635" s="3"/>
      <c r="J635" s="1"/>
      <c r="K635" s="1"/>
      <c r="L635" s="1"/>
      <c r="M635" s="3"/>
      <c r="N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3"/>
      <c r="D636" s="3"/>
      <c r="E636" s="3"/>
      <c r="F636" s="3"/>
      <c r="G636" s="3"/>
      <c r="H636" s="3"/>
      <c r="I636" s="3"/>
      <c r="J636" s="1"/>
      <c r="K636" s="1"/>
      <c r="L636" s="1"/>
      <c r="M636" s="3"/>
      <c r="N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3"/>
      <c r="D637" s="3"/>
      <c r="E637" s="3"/>
      <c r="F637" s="3"/>
      <c r="G637" s="3"/>
      <c r="H637" s="3"/>
      <c r="I637" s="3"/>
      <c r="J637" s="1"/>
      <c r="K637" s="1"/>
      <c r="L637" s="1"/>
      <c r="M637" s="3"/>
      <c r="N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3"/>
      <c r="D638" s="3"/>
      <c r="E638" s="3"/>
      <c r="F638" s="3"/>
      <c r="G638" s="3"/>
      <c r="H638" s="3"/>
      <c r="I638" s="3"/>
      <c r="J638" s="1"/>
      <c r="K638" s="1"/>
      <c r="L638" s="1"/>
      <c r="M638" s="3"/>
      <c r="N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3"/>
      <c r="D639" s="3"/>
      <c r="E639" s="3"/>
      <c r="F639" s="3"/>
      <c r="G639" s="3"/>
      <c r="H639" s="3"/>
      <c r="I639" s="3"/>
      <c r="J639" s="1"/>
      <c r="K639" s="1"/>
      <c r="L639" s="1"/>
      <c r="M639" s="3"/>
      <c r="N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3"/>
      <c r="D640" s="3"/>
      <c r="E640" s="3"/>
      <c r="F640" s="3"/>
      <c r="G640" s="3"/>
      <c r="H640" s="3"/>
      <c r="I640" s="3"/>
      <c r="J640" s="1"/>
      <c r="K640" s="1"/>
      <c r="L640" s="1"/>
      <c r="M640" s="3"/>
      <c r="N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3"/>
      <c r="D641" s="3"/>
      <c r="E641" s="3"/>
      <c r="F641" s="3"/>
      <c r="G641" s="3"/>
      <c r="H641" s="3"/>
      <c r="I641" s="3"/>
      <c r="J641" s="1"/>
      <c r="K641" s="1"/>
      <c r="L641" s="1"/>
      <c r="M641" s="3"/>
      <c r="N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3"/>
      <c r="D642" s="3"/>
      <c r="E642" s="3"/>
      <c r="F642" s="3"/>
      <c r="G642" s="3"/>
      <c r="H642" s="3"/>
      <c r="I642" s="3"/>
      <c r="J642" s="1"/>
      <c r="K642" s="1"/>
      <c r="L642" s="1"/>
      <c r="M642" s="3"/>
      <c r="N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3"/>
      <c r="D643" s="3"/>
      <c r="E643" s="3"/>
      <c r="F643" s="3"/>
      <c r="G643" s="3"/>
      <c r="H643" s="3"/>
      <c r="I643" s="3"/>
      <c r="J643" s="1"/>
      <c r="K643" s="1"/>
      <c r="L643" s="1"/>
      <c r="M643" s="3"/>
      <c r="N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3"/>
      <c r="D644" s="3"/>
      <c r="E644" s="3"/>
      <c r="F644" s="3"/>
      <c r="G644" s="3"/>
      <c r="H644" s="3"/>
      <c r="I644" s="3"/>
      <c r="J644" s="1"/>
      <c r="K644" s="1"/>
      <c r="L644" s="1"/>
      <c r="M644" s="3"/>
      <c r="N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3"/>
      <c r="D645" s="3"/>
      <c r="E645" s="3"/>
      <c r="F645" s="3"/>
      <c r="G645" s="3"/>
      <c r="H645" s="3"/>
      <c r="I645" s="3"/>
      <c r="J645" s="1"/>
      <c r="K645" s="1"/>
      <c r="L645" s="1"/>
      <c r="M645" s="3"/>
      <c r="N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3"/>
      <c r="D646" s="3"/>
      <c r="E646" s="3"/>
      <c r="F646" s="3"/>
      <c r="G646" s="3"/>
      <c r="H646" s="3"/>
      <c r="I646" s="3"/>
      <c r="J646" s="1"/>
      <c r="K646" s="1"/>
      <c r="L646" s="1"/>
      <c r="M646" s="3"/>
      <c r="N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3"/>
      <c r="D647" s="3"/>
      <c r="E647" s="3"/>
      <c r="F647" s="3"/>
      <c r="G647" s="3"/>
      <c r="H647" s="3"/>
      <c r="I647" s="3"/>
      <c r="J647" s="1"/>
      <c r="K647" s="1"/>
      <c r="L647" s="1"/>
      <c r="M647" s="3"/>
      <c r="N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3"/>
      <c r="D648" s="3"/>
      <c r="E648" s="3"/>
      <c r="F648" s="3"/>
      <c r="G648" s="3"/>
      <c r="H648" s="3"/>
      <c r="I648" s="3"/>
      <c r="J648" s="1"/>
      <c r="K648" s="1"/>
      <c r="L648" s="1"/>
      <c r="M648" s="3"/>
      <c r="N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3"/>
      <c r="D649" s="3"/>
      <c r="E649" s="3"/>
      <c r="F649" s="3"/>
      <c r="G649" s="3"/>
      <c r="H649" s="3"/>
      <c r="I649" s="3"/>
      <c r="J649" s="1"/>
      <c r="K649" s="1"/>
      <c r="L649" s="1"/>
      <c r="M649" s="3"/>
      <c r="N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3"/>
      <c r="D650" s="3"/>
      <c r="E650" s="3"/>
      <c r="F650" s="3"/>
      <c r="G650" s="3"/>
      <c r="H650" s="3"/>
      <c r="I650" s="3"/>
      <c r="J650" s="1"/>
      <c r="K650" s="1"/>
      <c r="L650" s="1"/>
      <c r="M650" s="3"/>
      <c r="N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3"/>
      <c r="D651" s="3"/>
      <c r="E651" s="3"/>
      <c r="F651" s="3"/>
      <c r="G651" s="3"/>
      <c r="H651" s="3"/>
      <c r="I651" s="3"/>
      <c r="J651" s="1"/>
      <c r="K651" s="1"/>
      <c r="L651" s="1"/>
      <c r="M651" s="3"/>
      <c r="N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3"/>
      <c r="D652" s="3"/>
      <c r="E652" s="3"/>
      <c r="F652" s="3"/>
      <c r="G652" s="3"/>
      <c r="H652" s="3"/>
      <c r="I652" s="3"/>
      <c r="J652" s="1"/>
      <c r="K652" s="1"/>
      <c r="L652" s="1"/>
      <c r="M652" s="3"/>
      <c r="N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3"/>
      <c r="D653" s="3"/>
      <c r="E653" s="3"/>
      <c r="F653" s="3"/>
      <c r="G653" s="3"/>
      <c r="H653" s="3"/>
      <c r="I653" s="3"/>
      <c r="J653" s="1"/>
      <c r="K653" s="1"/>
      <c r="L653" s="1"/>
      <c r="M653" s="3"/>
      <c r="N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3"/>
      <c r="D654" s="3"/>
      <c r="E654" s="3"/>
      <c r="F654" s="3"/>
      <c r="G654" s="3"/>
      <c r="H654" s="3"/>
      <c r="I654" s="3"/>
      <c r="J654" s="1"/>
      <c r="K654" s="1"/>
      <c r="L654" s="1"/>
      <c r="M654" s="3"/>
      <c r="N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3"/>
      <c r="D655" s="3"/>
      <c r="E655" s="3"/>
      <c r="F655" s="3"/>
      <c r="G655" s="3"/>
      <c r="H655" s="3"/>
      <c r="I655" s="3"/>
      <c r="J655" s="1"/>
      <c r="K655" s="1"/>
      <c r="L655" s="1"/>
      <c r="M655" s="3"/>
      <c r="N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3"/>
      <c r="D656" s="3"/>
      <c r="E656" s="3"/>
      <c r="F656" s="3"/>
      <c r="G656" s="3"/>
      <c r="H656" s="3"/>
      <c r="I656" s="3"/>
      <c r="J656" s="1"/>
      <c r="K656" s="1"/>
      <c r="L656" s="1"/>
      <c r="M656" s="3"/>
      <c r="N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3"/>
      <c r="D657" s="3"/>
      <c r="E657" s="3"/>
      <c r="F657" s="3"/>
      <c r="G657" s="3"/>
      <c r="H657" s="3"/>
      <c r="I657" s="3"/>
      <c r="J657" s="1"/>
      <c r="K657" s="1"/>
      <c r="L657" s="1"/>
      <c r="M657" s="3"/>
      <c r="N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3"/>
      <c r="D658" s="3"/>
      <c r="E658" s="3"/>
      <c r="F658" s="3"/>
      <c r="G658" s="3"/>
      <c r="H658" s="3"/>
      <c r="I658" s="3"/>
      <c r="J658" s="1"/>
      <c r="K658" s="1"/>
      <c r="L658" s="1"/>
      <c r="M658" s="3"/>
      <c r="N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3"/>
      <c r="D659" s="3"/>
      <c r="E659" s="3"/>
      <c r="F659" s="3"/>
      <c r="G659" s="3"/>
      <c r="H659" s="3"/>
      <c r="I659" s="3"/>
      <c r="J659" s="1"/>
      <c r="K659" s="1"/>
      <c r="L659" s="1"/>
      <c r="M659" s="3"/>
      <c r="N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3"/>
      <c r="D660" s="3"/>
      <c r="E660" s="3"/>
      <c r="F660" s="3"/>
      <c r="G660" s="3"/>
      <c r="H660" s="3"/>
      <c r="I660" s="3"/>
      <c r="J660" s="1"/>
      <c r="K660" s="1"/>
      <c r="L660" s="1"/>
      <c r="M660" s="3"/>
      <c r="N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3"/>
      <c r="D661" s="3"/>
      <c r="E661" s="3"/>
      <c r="F661" s="3"/>
      <c r="G661" s="3"/>
      <c r="H661" s="3"/>
      <c r="I661" s="3"/>
      <c r="J661" s="1"/>
      <c r="K661" s="1"/>
      <c r="L661" s="1"/>
      <c r="M661" s="3"/>
      <c r="N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3"/>
      <c r="D662" s="3"/>
      <c r="E662" s="3"/>
      <c r="F662" s="3"/>
      <c r="G662" s="3"/>
      <c r="H662" s="3"/>
      <c r="I662" s="3"/>
      <c r="J662" s="1"/>
      <c r="K662" s="1"/>
      <c r="L662" s="1"/>
      <c r="M662" s="3"/>
      <c r="N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3"/>
      <c r="D663" s="3"/>
      <c r="E663" s="3"/>
      <c r="F663" s="3"/>
      <c r="G663" s="3"/>
      <c r="H663" s="3"/>
      <c r="I663" s="3"/>
      <c r="J663" s="1"/>
      <c r="K663" s="1"/>
      <c r="L663" s="1"/>
      <c r="M663" s="3"/>
      <c r="N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3"/>
      <c r="D664" s="3"/>
      <c r="E664" s="3"/>
      <c r="F664" s="3"/>
      <c r="G664" s="3"/>
      <c r="H664" s="3"/>
      <c r="I664" s="3"/>
      <c r="J664" s="1"/>
      <c r="K664" s="1"/>
      <c r="L664" s="1"/>
      <c r="M664" s="3"/>
      <c r="N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3"/>
      <c r="D665" s="3"/>
      <c r="E665" s="3"/>
      <c r="F665" s="3"/>
      <c r="G665" s="3"/>
      <c r="H665" s="3"/>
      <c r="I665" s="3"/>
      <c r="J665" s="1"/>
      <c r="K665" s="1"/>
      <c r="L665" s="1"/>
      <c r="M665" s="3"/>
      <c r="N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3"/>
      <c r="D666" s="3"/>
      <c r="E666" s="3"/>
      <c r="F666" s="3"/>
      <c r="G666" s="3"/>
      <c r="H666" s="3"/>
      <c r="I666" s="3"/>
      <c r="J666" s="1"/>
      <c r="K666" s="1"/>
      <c r="L666" s="1"/>
      <c r="M666" s="3"/>
      <c r="N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3"/>
      <c r="D667" s="3"/>
      <c r="E667" s="3"/>
      <c r="F667" s="3"/>
      <c r="G667" s="3"/>
      <c r="H667" s="3"/>
      <c r="I667" s="3"/>
      <c r="J667" s="1"/>
      <c r="K667" s="1"/>
      <c r="L667" s="1"/>
      <c r="M667" s="3"/>
      <c r="N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3"/>
      <c r="D668" s="3"/>
      <c r="E668" s="3"/>
      <c r="F668" s="3"/>
      <c r="G668" s="3"/>
      <c r="H668" s="3"/>
      <c r="I668" s="3"/>
      <c r="J668" s="1"/>
      <c r="K668" s="1"/>
      <c r="L668" s="1"/>
      <c r="M668" s="3"/>
      <c r="N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3"/>
      <c r="D669" s="3"/>
      <c r="E669" s="3"/>
      <c r="F669" s="3"/>
      <c r="G669" s="3"/>
      <c r="H669" s="3"/>
      <c r="I669" s="3"/>
      <c r="J669" s="1"/>
      <c r="K669" s="1"/>
      <c r="L669" s="1"/>
      <c r="M669" s="3"/>
      <c r="N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3"/>
      <c r="D670" s="3"/>
      <c r="E670" s="3"/>
      <c r="F670" s="3"/>
      <c r="G670" s="3"/>
      <c r="H670" s="3"/>
      <c r="I670" s="3"/>
      <c r="J670" s="1"/>
      <c r="K670" s="1"/>
      <c r="L670" s="1"/>
      <c r="M670" s="3"/>
      <c r="N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3"/>
      <c r="D671" s="3"/>
      <c r="E671" s="3"/>
      <c r="F671" s="3"/>
      <c r="G671" s="3"/>
      <c r="H671" s="3"/>
      <c r="I671" s="3"/>
      <c r="J671" s="1"/>
      <c r="K671" s="1"/>
      <c r="L671" s="1"/>
      <c r="M671" s="3"/>
      <c r="N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3"/>
      <c r="D672" s="3"/>
      <c r="E672" s="3"/>
      <c r="F672" s="3"/>
      <c r="G672" s="3"/>
      <c r="H672" s="3"/>
      <c r="I672" s="3"/>
      <c r="J672" s="1"/>
      <c r="K672" s="1"/>
      <c r="L672" s="1"/>
      <c r="M672" s="3"/>
      <c r="N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3"/>
      <c r="D673" s="3"/>
      <c r="E673" s="3"/>
      <c r="F673" s="3"/>
      <c r="G673" s="3"/>
      <c r="H673" s="3"/>
      <c r="I673" s="3"/>
      <c r="J673" s="1"/>
      <c r="K673" s="1"/>
      <c r="L673" s="1"/>
      <c r="M673" s="3"/>
      <c r="N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3"/>
      <c r="D674" s="3"/>
      <c r="E674" s="3"/>
      <c r="F674" s="3"/>
      <c r="G674" s="3"/>
      <c r="H674" s="3"/>
      <c r="I674" s="3"/>
      <c r="J674" s="1"/>
      <c r="K674" s="1"/>
      <c r="L674" s="1"/>
      <c r="M674" s="3"/>
      <c r="N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3"/>
      <c r="D675" s="3"/>
      <c r="E675" s="3"/>
      <c r="F675" s="3"/>
      <c r="G675" s="3"/>
      <c r="H675" s="3"/>
      <c r="I675" s="3"/>
      <c r="J675" s="1"/>
      <c r="K675" s="1"/>
      <c r="L675" s="1"/>
      <c r="M675" s="3"/>
      <c r="N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3"/>
      <c r="D676" s="3"/>
      <c r="E676" s="3"/>
      <c r="F676" s="3"/>
      <c r="G676" s="3"/>
      <c r="H676" s="3"/>
      <c r="I676" s="3"/>
      <c r="J676" s="1"/>
      <c r="K676" s="1"/>
      <c r="L676" s="1"/>
      <c r="M676" s="3"/>
      <c r="N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3"/>
      <c r="D677" s="3"/>
      <c r="E677" s="3"/>
      <c r="F677" s="3"/>
      <c r="G677" s="3"/>
      <c r="H677" s="3"/>
      <c r="I677" s="3"/>
      <c r="J677" s="1"/>
      <c r="K677" s="1"/>
      <c r="L677" s="1"/>
      <c r="M677" s="3"/>
      <c r="N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3"/>
      <c r="D678" s="3"/>
      <c r="E678" s="3"/>
      <c r="F678" s="3"/>
      <c r="G678" s="3"/>
      <c r="H678" s="3"/>
      <c r="I678" s="3"/>
      <c r="J678" s="1"/>
      <c r="K678" s="1"/>
      <c r="L678" s="1"/>
      <c r="M678" s="3"/>
      <c r="N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3"/>
      <c r="D679" s="3"/>
      <c r="E679" s="3"/>
      <c r="F679" s="3"/>
      <c r="G679" s="3"/>
      <c r="H679" s="3"/>
      <c r="I679" s="3"/>
      <c r="J679" s="1"/>
      <c r="K679" s="1"/>
      <c r="L679" s="1"/>
      <c r="M679" s="3"/>
      <c r="N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3"/>
      <c r="D680" s="3"/>
      <c r="E680" s="3"/>
      <c r="F680" s="3"/>
      <c r="G680" s="3"/>
      <c r="H680" s="3"/>
      <c r="I680" s="3"/>
      <c r="J680" s="1"/>
      <c r="K680" s="1"/>
      <c r="L680" s="1"/>
      <c r="M680" s="3"/>
      <c r="N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3"/>
      <c r="D681" s="3"/>
      <c r="E681" s="3"/>
      <c r="F681" s="3"/>
      <c r="G681" s="3"/>
      <c r="H681" s="3"/>
      <c r="I681" s="3"/>
      <c r="J681" s="1"/>
      <c r="K681" s="1"/>
      <c r="L681" s="1"/>
      <c r="M681" s="3"/>
      <c r="N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3"/>
      <c r="D682" s="3"/>
      <c r="E682" s="3"/>
      <c r="F682" s="3"/>
      <c r="G682" s="3"/>
      <c r="H682" s="3"/>
      <c r="I682" s="3"/>
      <c r="J682" s="1"/>
      <c r="K682" s="1"/>
      <c r="L682" s="1"/>
      <c r="M682" s="3"/>
      <c r="N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3"/>
      <c r="D683" s="3"/>
      <c r="E683" s="3"/>
      <c r="F683" s="3"/>
      <c r="G683" s="3"/>
      <c r="H683" s="3"/>
      <c r="I683" s="3"/>
      <c r="J683" s="1"/>
      <c r="K683" s="1"/>
      <c r="L683" s="1"/>
      <c r="M683" s="3"/>
      <c r="N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3"/>
      <c r="D684" s="3"/>
      <c r="E684" s="3"/>
      <c r="F684" s="3"/>
      <c r="G684" s="3"/>
      <c r="H684" s="3"/>
      <c r="I684" s="3"/>
      <c r="J684" s="1"/>
      <c r="K684" s="1"/>
      <c r="L684" s="1"/>
      <c r="M684" s="3"/>
      <c r="N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3"/>
      <c r="D685" s="3"/>
      <c r="E685" s="3"/>
      <c r="F685" s="3"/>
      <c r="G685" s="3"/>
      <c r="H685" s="3"/>
      <c r="I685" s="3"/>
      <c r="J685" s="1"/>
      <c r="K685" s="1"/>
      <c r="L685" s="1"/>
      <c r="M685" s="3"/>
      <c r="N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3"/>
      <c r="D686" s="3"/>
      <c r="E686" s="3"/>
      <c r="F686" s="3"/>
      <c r="G686" s="3"/>
      <c r="H686" s="3"/>
      <c r="I686" s="3"/>
      <c r="J686" s="1"/>
      <c r="K686" s="1"/>
      <c r="L686" s="1"/>
      <c r="M686" s="3"/>
      <c r="N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3"/>
      <c r="D687" s="3"/>
      <c r="E687" s="3"/>
      <c r="F687" s="3"/>
      <c r="G687" s="3"/>
      <c r="H687" s="3"/>
      <c r="I687" s="3"/>
      <c r="J687" s="1"/>
      <c r="K687" s="1"/>
      <c r="L687" s="1"/>
      <c r="M687" s="3"/>
      <c r="N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3"/>
      <c r="D688" s="3"/>
      <c r="E688" s="3"/>
      <c r="F688" s="3"/>
      <c r="G688" s="3"/>
      <c r="H688" s="3"/>
      <c r="I688" s="3"/>
      <c r="J688" s="1"/>
      <c r="K688" s="1"/>
      <c r="L688" s="1"/>
      <c r="M688" s="3"/>
      <c r="N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3"/>
      <c r="D689" s="3"/>
      <c r="E689" s="3"/>
      <c r="F689" s="3"/>
      <c r="G689" s="3"/>
      <c r="H689" s="3"/>
      <c r="I689" s="3"/>
      <c r="J689" s="1"/>
      <c r="K689" s="1"/>
      <c r="L689" s="1"/>
      <c r="M689" s="3"/>
      <c r="N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3"/>
      <c r="D690" s="3"/>
      <c r="E690" s="3"/>
      <c r="F690" s="3"/>
      <c r="G690" s="3"/>
      <c r="H690" s="3"/>
      <c r="I690" s="3"/>
      <c r="J690" s="1"/>
      <c r="K690" s="1"/>
      <c r="L690" s="1"/>
      <c r="M690" s="3"/>
      <c r="N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3"/>
      <c r="D691" s="3"/>
      <c r="E691" s="3"/>
      <c r="F691" s="3"/>
      <c r="G691" s="3"/>
      <c r="H691" s="3"/>
      <c r="I691" s="3"/>
      <c r="J691" s="1"/>
      <c r="K691" s="1"/>
      <c r="L691" s="1"/>
      <c r="M691" s="3"/>
      <c r="N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3"/>
      <c r="D692" s="3"/>
      <c r="E692" s="3"/>
      <c r="F692" s="3"/>
      <c r="G692" s="3"/>
      <c r="H692" s="3"/>
      <c r="I692" s="3"/>
      <c r="J692" s="1"/>
      <c r="K692" s="1"/>
      <c r="L692" s="1"/>
      <c r="M692" s="3"/>
      <c r="N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3"/>
      <c r="D693" s="3"/>
      <c r="E693" s="3"/>
      <c r="F693" s="3"/>
      <c r="G693" s="3"/>
      <c r="H693" s="3"/>
      <c r="I693" s="3"/>
      <c r="J693" s="1"/>
      <c r="K693" s="1"/>
      <c r="L693" s="1"/>
      <c r="M693" s="3"/>
      <c r="N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3"/>
      <c r="D694" s="3"/>
      <c r="E694" s="3"/>
      <c r="F694" s="3"/>
      <c r="G694" s="3"/>
      <c r="H694" s="3"/>
      <c r="I694" s="3"/>
      <c r="J694" s="1"/>
      <c r="K694" s="1"/>
      <c r="L694" s="1"/>
      <c r="M694" s="3"/>
      <c r="N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3"/>
      <c r="D695" s="3"/>
      <c r="E695" s="3"/>
      <c r="F695" s="3"/>
      <c r="G695" s="3"/>
      <c r="H695" s="3"/>
      <c r="I695" s="3"/>
      <c r="J695" s="1"/>
      <c r="K695" s="1"/>
      <c r="L695" s="1"/>
      <c r="M695" s="3"/>
      <c r="N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3"/>
      <c r="D696" s="3"/>
      <c r="E696" s="3"/>
      <c r="F696" s="3"/>
      <c r="G696" s="3"/>
      <c r="H696" s="3"/>
      <c r="I696" s="3"/>
      <c r="J696" s="1"/>
      <c r="K696" s="1"/>
      <c r="L696" s="1"/>
      <c r="M696" s="3"/>
      <c r="N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3"/>
      <c r="D697" s="3"/>
      <c r="E697" s="3"/>
      <c r="F697" s="3"/>
      <c r="G697" s="3"/>
      <c r="H697" s="3"/>
      <c r="I697" s="3"/>
      <c r="J697" s="1"/>
      <c r="K697" s="1"/>
      <c r="L697" s="1"/>
      <c r="M697" s="3"/>
      <c r="N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3"/>
      <c r="D698" s="3"/>
      <c r="E698" s="3"/>
      <c r="F698" s="3"/>
      <c r="G698" s="3"/>
      <c r="H698" s="3"/>
      <c r="I698" s="3"/>
      <c r="J698" s="1"/>
      <c r="K698" s="1"/>
      <c r="L698" s="1"/>
      <c r="M698" s="3"/>
      <c r="N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3"/>
      <c r="D699" s="3"/>
      <c r="E699" s="3"/>
      <c r="F699" s="3"/>
      <c r="G699" s="3"/>
      <c r="H699" s="3"/>
      <c r="I699" s="3"/>
      <c r="J699" s="1"/>
      <c r="K699" s="1"/>
      <c r="L699" s="1"/>
      <c r="M699" s="3"/>
      <c r="N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3"/>
      <c r="D700" s="3"/>
      <c r="E700" s="3"/>
      <c r="F700" s="3"/>
      <c r="G700" s="3"/>
      <c r="H700" s="3"/>
      <c r="I700" s="3"/>
      <c r="J700" s="1"/>
      <c r="K700" s="1"/>
      <c r="L700" s="1"/>
      <c r="M700" s="3"/>
      <c r="N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3"/>
      <c r="D701" s="3"/>
      <c r="E701" s="3"/>
      <c r="F701" s="3"/>
      <c r="G701" s="3"/>
      <c r="H701" s="3"/>
      <c r="I701" s="3"/>
      <c r="J701" s="1"/>
      <c r="K701" s="1"/>
      <c r="L701" s="1"/>
      <c r="M701" s="3"/>
      <c r="N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3"/>
      <c r="D702" s="3"/>
      <c r="E702" s="3"/>
      <c r="F702" s="3"/>
      <c r="G702" s="3"/>
      <c r="H702" s="3"/>
      <c r="I702" s="3"/>
      <c r="J702" s="1"/>
      <c r="K702" s="1"/>
      <c r="L702" s="1"/>
      <c r="M702" s="3"/>
      <c r="N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3"/>
      <c r="D703" s="3"/>
      <c r="E703" s="3"/>
      <c r="F703" s="3"/>
      <c r="G703" s="3"/>
      <c r="H703" s="3"/>
      <c r="I703" s="3"/>
      <c r="J703" s="1"/>
      <c r="K703" s="1"/>
      <c r="L703" s="1"/>
      <c r="M703" s="3"/>
      <c r="N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3"/>
      <c r="D704" s="3"/>
      <c r="E704" s="3"/>
      <c r="F704" s="3"/>
      <c r="G704" s="3"/>
      <c r="H704" s="3"/>
      <c r="I704" s="3"/>
      <c r="J704" s="1"/>
      <c r="K704" s="1"/>
      <c r="L704" s="1"/>
      <c r="M704" s="3"/>
      <c r="N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3"/>
      <c r="D705" s="3"/>
      <c r="E705" s="3"/>
      <c r="F705" s="3"/>
      <c r="G705" s="3"/>
      <c r="H705" s="3"/>
      <c r="I705" s="3"/>
      <c r="J705" s="1"/>
      <c r="K705" s="1"/>
      <c r="L705" s="1"/>
      <c r="M705" s="3"/>
      <c r="N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3"/>
      <c r="D706" s="3"/>
      <c r="E706" s="3"/>
      <c r="F706" s="3"/>
      <c r="G706" s="3"/>
      <c r="H706" s="3"/>
      <c r="I706" s="3"/>
      <c r="J706" s="1"/>
      <c r="K706" s="1"/>
      <c r="L706" s="1"/>
      <c r="M706" s="3"/>
      <c r="N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3"/>
      <c r="D707" s="3"/>
      <c r="E707" s="3"/>
      <c r="F707" s="3"/>
      <c r="G707" s="3"/>
      <c r="H707" s="3"/>
      <c r="I707" s="3"/>
      <c r="J707" s="1"/>
      <c r="K707" s="1"/>
      <c r="L707" s="1"/>
      <c r="M707" s="3"/>
      <c r="N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3"/>
      <c r="D708" s="3"/>
      <c r="E708" s="3"/>
      <c r="F708" s="3"/>
      <c r="G708" s="3"/>
      <c r="H708" s="3"/>
      <c r="I708" s="3"/>
      <c r="J708" s="1"/>
      <c r="K708" s="1"/>
      <c r="L708" s="1"/>
      <c r="M708" s="3"/>
      <c r="N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3"/>
      <c r="D709" s="3"/>
      <c r="E709" s="3"/>
      <c r="F709" s="3"/>
      <c r="G709" s="3"/>
      <c r="H709" s="3"/>
      <c r="I709" s="3"/>
      <c r="J709" s="1"/>
      <c r="K709" s="1"/>
      <c r="L709" s="1"/>
      <c r="M709" s="3"/>
      <c r="N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3"/>
      <c r="D710" s="3"/>
      <c r="E710" s="3"/>
      <c r="F710" s="3"/>
      <c r="G710" s="3"/>
      <c r="H710" s="3"/>
      <c r="I710" s="3"/>
      <c r="J710" s="1"/>
      <c r="K710" s="1"/>
      <c r="L710" s="1"/>
      <c r="M710" s="3"/>
      <c r="N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3"/>
      <c r="D711" s="3"/>
      <c r="E711" s="3"/>
      <c r="F711" s="3"/>
      <c r="G711" s="3"/>
      <c r="H711" s="3"/>
      <c r="I711" s="3"/>
      <c r="J711" s="1"/>
      <c r="K711" s="1"/>
      <c r="L711" s="1"/>
      <c r="M711" s="3"/>
      <c r="N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3"/>
      <c r="D712" s="3"/>
      <c r="E712" s="3"/>
      <c r="F712" s="3"/>
      <c r="G712" s="3"/>
      <c r="H712" s="3"/>
      <c r="I712" s="3"/>
      <c r="J712" s="1"/>
      <c r="K712" s="1"/>
      <c r="L712" s="1"/>
      <c r="M712" s="3"/>
      <c r="N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3"/>
      <c r="D713" s="3"/>
      <c r="E713" s="3"/>
      <c r="F713" s="3"/>
      <c r="G713" s="3"/>
      <c r="H713" s="3"/>
      <c r="I713" s="3"/>
      <c r="J713" s="1"/>
      <c r="K713" s="1"/>
      <c r="L713" s="1"/>
      <c r="M713" s="3"/>
      <c r="N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3"/>
      <c r="D714" s="3"/>
      <c r="E714" s="3"/>
      <c r="F714" s="3"/>
      <c r="G714" s="3"/>
      <c r="H714" s="3"/>
      <c r="I714" s="3"/>
      <c r="J714" s="1"/>
      <c r="K714" s="1"/>
      <c r="L714" s="1"/>
      <c r="M714" s="3"/>
      <c r="N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3"/>
      <c r="D715" s="3"/>
      <c r="E715" s="3"/>
      <c r="F715" s="3"/>
      <c r="G715" s="3"/>
      <c r="H715" s="3"/>
      <c r="I715" s="3"/>
      <c r="J715" s="1"/>
      <c r="K715" s="1"/>
      <c r="L715" s="1"/>
      <c r="M715" s="3"/>
      <c r="N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3"/>
      <c r="D716" s="3"/>
      <c r="E716" s="3"/>
      <c r="F716" s="3"/>
      <c r="G716" s="3"/>
      <c r="H716" s="3"/>
      <c r="I716" s="3"/>
      <c r="J716" s="1"/>
      <c r="K716" s="1"/>
      <c r="L716" s="1"/>
      <c r="M716" s="3"/>
      <c r="N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3"/>
      <c r="D717" s="3"/>
      <c r="E717" s="3"/>
      <c r="F717" s="3"/>
      <c r="G717" s="3"/>
      <c r="H717" s="3"/>
      <c r="I717" s="3"/>
      <c r="J717" s="1"/>
      <c r="K717" s="1"/>
      <c r="L717" s="1"/>
      <c r="M717" s="3"/>
      <c r="N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3"/>
      <c r="D718" s="3"/>
      <c r="E718" s="3"/>
      <c r="F718" s="3"/>
      <c r="G718" s="3"/>
      <c r="H718" s="3"/>
      <c r="I718" s="3"/>
      <c r="J718" s="1"/>
      <c r="K718" s="1"/>
      <c r="L718" s="1"/>
      <c r="M718" s="3"/>
      <c r="N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3"/>
      <c r="D719" s="3"/>
      <c r="E719" s="3"/>
      <c r="F719" s="3"/>
      <c r="G719" s="3"/>
      <c r="H719" s="3"/>
      <c r="I719" s="3"/>
      <c r="J719" s="1"/>
      <c r="K719" s="1"/>
      <c r="L719" s="1"/>
      <c r="M719" s="3"/>
      <c r="N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3"/>
      <c r="D720" s="3"/>
      <c r="E720" s="3"/>
      <c r="F720" s="3"/>
      <c r="G720" s="3"/>
      <c r="H720" s="3"/>
      <c r="I720" s="3"/>
      <c r="J720" s="1"/>
      <c r="K720" s="1"/>
      <c r="L720" s="1"/>
      <c r="M720" s="3"/>
      <c r="N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3"/>
      <c r="D721" s="3"/>
      <c r="E721" s="3"/>
      <c r="F721" s="3"/>
      <c r="G721" s="3"/>
      <c r="H721" s="3"/>
      <c r="I721" s="3"/>
      <c r="J721" s="1"/>
      <c r="K721" s="1"/>
      <c r="L721" s="1"/>
      <c r="M721" s="3"/>
      <c r="N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3"/>
      <c r="D722" s="3"/>
      <c r="E722" s="3"/>
      <c r="F722" s="3"/>
      <c r="G722" s="3"/>
      <c r="H722" s="3"/>
      <c r="I722" s="3"/>
      <c r="J722" s="1"/>
      <c r="K722" s="1"/>
      <c r="L722" s="1"/>
      <c r="M722" s="3"/>
      <c r="N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3"/>
      <c r="D723" s="3"/>
      <c r="E723" s="3"/>
      <c r="F723" s="3"/>
      <c r="G723" s="3"/>
      <c r="H723" s="3"/>
      <c r="I723" s="3"/>
      <c r="J723" s="1"/>
      <c r="K723" s="1"/>
      <c r="L723" s="1"/>
      <c r="M723" s="3"/>
      <c r="N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3"/>
      <c r="D724" s="3"/>
      <c r="E724" s="3"/>
      <c r="F724" s="3"/>
      <c r="G724" s="3"/>
      <c r="H724" s="3"/>
      <c r="I724" s="3"/>
      <c r="J724" s="1"/>
      <c r="K724" s="1"/>
      <c r="L724" s="1"/>
      <c r="M724" s="3"/>
      <c r="N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3"/>
      <c r="D725" s="3"/>
      <c r="E725" s="3"/>
      <c r="F725" s="3"/>
      <c r="G725" s="3"/>
      <c r="H725" s="3"/>
      <c r="I725" s="3"/>
      <c r="J725" s="1"/>
      <c r="K725" s="1"/>
      <c r="L725" s="1"/>
      <c r="M725" s="3"/>
      <c r="N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3"/>
      <c r="D726" s="3"/>
      <c r="E726" s="3"/>
      <c r="F726" s="3"/>
      <c r="G726" s="3"/>
      <c r="H726" s="3"/>
      <c r="I726" s="3"/>
      <c r="J726" s="1"/>
      <c r="K726" s="1"/>
      <c r="L726" s="1"/>
      <c r="M726" s="3"/>
      <c r="N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3"/>
      <c r="D727" s="3"/>
      <c r="E727" s="3"/>
      <c r="F727" s="3"/>
      <c r="G727" s="3"/>
      <c r="H727" s="3"/>
      <c r="I727" s="3"/>
      <c r="J727" s="1"/>
      <c r="K727" s="1"/>
      <c r="L727" s="1"/>
      <c r="M727" s="3"/>
      <c r="N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3"/>
      <c r="D728" s="3"/>
      <c r="E728" s="3"/>
      <c r="F728" s="3"/>
      <c r="G728" s="3"/>
      <c r="H728" s="3"/>
      <c r="I728" s="3"/>
      <c r="J728" s="1"/>
      <c r="K728" s="1"/>
      <c r="L728" s="1"/>
      <c r="M728" s="3"/>
      <c r="N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3"/>
      <c r="D729" s="3"/>
      <c r="E729" s="3"/>
      <c r="F729" s="3"/>
      <c r="G729" s="3"/>
      <c r="H729" s="3"/>
      <c r="I729" s="3"/>
      <c r="J729" s="1"/>
      <c r="K729" s="1"/>
      <c r="L729" s="1"/>
      <c r="M729" s="3"/>
      <c r="N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3"/>
      <c r="D730" s="3"/>
      <c r="E730" s="3"/>
      <c r="F730" s="3"/>
      <c r="G730" s="3"/>
      <c r="H730" s="3"/>
      <c r="I730" s="3"/>
      <c r="J730" s="1"/>
      <c r="K730" s="1"/>
      <c r="L730" s="1"/>
      <c r="M730" s="3"/>
      <c r="N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3"/>
      <c r="D731" s="3"/>
      <c r="E731" s="3"/>
      <c r="F731" s="3"/>
      <c r="G731" s="3"/>
      <c r="H731" s="3"/>
      <c r="I731" s="3"/>
      <c r="J731" s="1"/>
      <c r="K731" s="1"/>
      <c r="L731" s="1"/>
      <c r="M731" s="3"/>
      <c r="N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3"/>
      <c r="D732" s="3"/>
      <c r="E732" s="3"/>
      <c r="F732" s="3"/>
      <c r="G732" s="3"/>
      <c r="H732" s="3"/>
      <c r="I732" s="3"/>
      <c r="J732" s="1"/>
      <c r="K732" s="1"/>
      <c r="L732" s="1"/>
      <c r="M732" s="3"/>
      <c r="N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3"/>
      <c r="D733" s="3"/>
      <c r="E733" s="3"/>
      <c r="F733" s="3"/>
      <c r="G733" s="3"/>
      <c r="H733" s="3"/>
      <c r="I733" s="3"/>
      <c r="J733" s="1"/>
      <c r="K733" s="1"/>
      <c r="L733" s="1"/>
      <c r="M733" s="3"/>
      <c r="N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3"/>
      <c r="D734" s="3"/>
      <c r="E734" s="3"/>
      <c r="F734" s="3"/>
      <c r="G734" s="3"/>
      <c r="H734" s="3"/>
      <c r="I734" s="3"/>
      <c r="J734" s="1"/>
      <c r="K734" s="1"/>
      <c r="L734" s="1"/>
      <c r="M734" s="3"/>
      <c r="N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3"/>
      <c r="D735" s="3"/>
      <c r="E735" s="3"/>
      <c r="F735" s="3"/>
      <c r="G735" s="3"/>
      <c r="H735" s="3"/>
      <c r="I735" s="3"/>
      <c r="J735" s="1"/>
      <c r="K735" s="1"/>
      <c r="L735" s="1"/>
      <c r="M735" s="3"/>
      <c r="N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3"/>
      <c r="D736" s="3"/>
      <c r="E736" s="3"/>
      <c r="F736" s="3"/>
      <c r="G736" s="3"/>
      <c r="H736" s="3"/>
      <c r="I736" s="3"/>
      <c r="J736" s="1"/>
      <c r="K736" s="1"/>
      <c r="L736" s="1"/>
      <c r="M736" s="3"/>
      <c r="N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3"/>
      <c r="D737" s="3"/>
      <c r="E737" s="3"/>
      <c r="F737" s="3"/>
      <c r="G737" s="3"/>
      <c r="H737" s="3"/>
      <c r="I737" s="3"/>
      <c r="J737" s="1"/>
      <c r="K737" s="1"/>
      <c r="L737" s="1"/>
      <c r="M737" s="3"/>
      <c r="N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3"/>
      <c r="D738" s="3"/>
      <c r="E738" s="3"/>
      <c r="F738" s="3"/>
      <c r="G738" s="3"/>
      <c r="H738" s="3"/>
      <c r="I738" s="3"/>
      <c r="J738" s="1"/>
      <c r="K738" s="1"/>
      <c r="L738" s="1"/>
      <c r="M738" s="3"/>
      <c r="N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3"/>
      <c r="D739" s="3"/>
      <c r="E739" s="3"/>
      <c r="F739" s="3"/>
      <c r="G739" s="3"/>
      <c r="H739" s="3"/>
      <c r="I739" s="3"/>
      <c r="J739" s="1"/>
      <c r="K739" s="1"/>
      <c r="L739" s="1"/>
      <c r="M739" s="3"/>
      <c r="N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3"/>
      <c r="D740" s="3"/>
      <c r="E740" s="3"/>
      <c r="F740" s="3"/>
      <c r="G740" s="3"/>
      <c r="H740" s="3"/>
      <c r="I740" s="3"/>
      <c r="J740" s="1"/>
      <c r="K740" s="1"/>
      <c r="L740" s="1"/>
      <c r="M740" s="3"/>
      <c r="N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3"/>
      <c r="D741" s="3"/>
      <c r="E741" s="3"/>
      <c r="F741" s="3"/>
      <c r="G741" s="3"/>
      <c r="H741" s="3"/>
      <c r="I741" s="3"/>
      <c r="J741" s="1"/>
      <c r="K741" s="1"/>
      <c r="L741" s="1"/>
      <c r="M741" s="3"/>
      <c r="N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3"/>
      <c r="D742" s="3"/>
      <c r="E742" s="3"/>
      <c r="F742" s="3"/>
      <c r="G742" s="3"/>
      <c r="H742" s="3"/>
      <c r="I742" s="3"/>
      <c r="J742" s="1"/>
      <c r="K742" s="1"/>
      <c r="L742" s="1"/>
      <c r="M742" s="3"/>
      <c r="N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3"/>
      <c r="D743" s="3"/>
      <c r="E743" s="3"/>
      <c r="F743" s="3"/>
      <c r="G743" s="3"/>
      <c r="H743" s="3"/>
      <c r="I743" s="3"/>
      <c r="J743" s="1"/>
      <c r="K743" s="1"/>
      <c r="L743" s="1"/>
      <c r="M743" s="3"/>
      <c r="N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3"/>
      <c r="D744" s="3"/>
      <c r="E744" s="3"/>
      <c r="F744" s="3"/>
      <c r="G744" s="3"/>
      <c r="H744" s="3"/>
      <c r="I744" s="3"/>
      <c r="J744" s="1"/>
      <c r="K744" s="1"/>
      <c r="L744" s="1"/>
      <c r="M744" s="3"/>
      <c r="N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3"/>
      <c r="D745" s="3"/>
      <c r="E745" s="3"/>
      <c r="F745" s="3"/>
      <c r="G745" s="3"/>
      <c r="H745" s="3"/>
      <c r="I745" s="3"/>
      <c r="J745" s="1"/>
      <c r="K745" s="1"/>
      <c r="L745" s="1"/>
      <c r="M745" s="3"/>
      <c r="N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3"/>
      <c r="D746" s="3"/>
      <c r="E746" s="3"/>
      <c r="F746" s="3"/>
      <c r="G746" s="3"/>
      <c r="H746" s="3"/>
      <c r="I746" s="3"/>
      <c r="J746" s="1"/>
      <c r="K746" s="1"/>
      <c r="L746" s="1"/>
      <c r="M746" s="3"/>
      <c r="N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3"/>
      <c r="D747" s="3"/>
      <c r="E747" s="3"/>
      <c r="F747" s="3"/>
      <c r="G747" s="3"/>
      <c r="H747" s="3"/>
      <c r="I747" s="3"/>
      <c r="J747" s="1"/>
      <c r="K747" s="1"/>
      <c r="L747" s="1"/>
      <c r="M747" s="3"/>
      <c r="N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3"/>
      <c r="D748" s="3"/>
      <c r="E748" s="3"/>
      <c r="F748" s="3"/>
      <c r="G748" s="3"/>
      <c r="H748" s="3"/>
      <c r="I748" s="3"/>
      <c r="J748" s="1"/>
      <c r="K748" s="1"/>
      <c r="L748" s="1"/>
      <c r="M748" s="3"/>
      <c r="N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3"/>
      <c r="D749" s="3"/>
      <c r="E749" s="3"/>
      <c r="F749" s="3"/>
      <c r="G749" s="3"/>
      <c r="H749" s="3"/>
      <c r="I749" s="3"/>
      <c r="J749" s="1"/>
      <c r="K749" s="1"/>
      <c r="L749" s="1"/>
      <c r="M749" s="3"/>
      <c r="N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3"/>
      <c r="D750" s="3"/>
      <c r="E750" s="3"/>
      <c r="F750" s="3"/>
      <c r="G750" s="3"/>
      <c r="H750" s="3"/>
      <c r="I750" s="3"/>
      <c r="J750" s="1"/>
      <c r="K750" s="1"/>
      <c r="L750" s="1"/>
      <c r="M750" s="3"/>
      <c r="N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3"/>
      <c r="D751" s="3"/>
      <c r="E751" s="3"/>
      <c r="F751" s="3"/>
      <c r="G751" s="3"/>
      <c r="H751" s="3"/>
      <c r="I751" s="3"/>
      <c r="J751" s="1"/>
      <c r="K751" s="1"/>
      <c r="L751" s="1"/>
      <c r="M751" s="3"/>
      <c r="N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3"/>
      <c r="D752" s="3"/>
      <c r="E752" s="3"/>
      <c r="F752" s="3"/>
      <c r="G752" s="3"/>
      <c r="H752" s="3"/>
      <c r="I752" s="3"/>
      <c r="J752" s="1"/>
      <c r="K752" s="1"/>
      <c r="L752" s="1"/>
      <c r="M752" s="3"/>
      <c r="N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3"/>
      <c r="D753" s="3"/>
      <c r="E753" s="3"/>
      <c r="F753" s="3"/>
      <c r="G753" s="3"/>
      <c r="H753" s="3"/>
      <c r="I753" s="3"/>
      <c r="J753" s="1"/>
      <c r="K753" s="1"/>
      <c r="L753" s="1"/>
      <c r="M753" s="3"/>
      <c r="N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3"/>
      <c r="D754" s="3"/>
      <c r="E754" s="3"/>
      <c r="F754" s="3"/>
      <c r="G754" s="3"/>
      <c r="H754" s="3"/>
      <c r="I754" s="3"/>
      <c r="J754" s="1"/>
      <c r="K754" s="1"/>
      <c r="L754" s="1"/>
      <c r="M754" s="3"/>
      <c r="N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3"/>
      <c r="D755" s="3"/>
      <c r="E755" s="3"/>
      <c r="F755" s="3"/>
      <c r="G755" s="3"/>
      <c r="H755" s="3"/>
      <c r="I755" s="3"/>
      <c r="J755" s="1"/>
      <c r="K755" s="1"/>
      <c r="L755" s="1"/>
      <c r="M755" s="3"/>
      <c r="N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3"/>
      <c r="D756" s="3"/>
      <c r="E756" s="3"/>
      <c r="F756" s="3"/>
      <c r="G756" s="3"/>
      <c r="H756" s="3"/>
      <c r="I756" s="3"/>
      <c r="J756" s="1"/>
      <c r="K756" s="1"/>
      <c r="L756" s="1"/>
      <c r="M756" s="3"/>
      <c r="N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3"/>
      <c r="D757" s="3"/>
      <c r="E757" s="3"/>
      <c r="F757" s="3"/>
      <c r="G757" s="3"/>
      <c r="H757" s="3"/>
      <c r="I757" s="3"/>
      <c r="J757" s="1"/>
      <c r="K757" s="1"/>
      <c r="L757" s="1"/>
      <c r="M757" s="3"/>
      <c r="N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3"/>
      <c r="D758" s="3"/>
      <c r="E758" s="3"/>
      <c r="F758" s="3"/>
      <c r="G758" s="3"/>
      <c r="H758" s="3"/>
      <c r="I758" s="3"/>
      <c r="J758" s="1"/>
      <c r="K758" s="1"/>
      <c r="L758" s="1"/>
      <c r="M758" s="3"/>
      <c r="N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3"/>
      <c r="D759" s="3"/>
      <c r="E759" s="3"/>
      <c r="F759" s="3"/>
      <c r="G759" s="3"/>
      <c r="H759" s="3"/>
      <c r="I759" s="3"/>
      <c r="J759" s="1"/>
      <c r="K759" s="1"/>
      <c r="L759" s="1"/>
      <c r="M759" s="3"/>
      <c r="N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3"/>
      <c r="D760" s="3"/>
      <c r="E760" s="3"/>
      <c r="F760" s="3"/>
      <c r="G760" s="3"/>
      <c r="H760" s="3"/>
      <c r="I760" s="3"/>
      <c r="J760" s="1"/>
      <c r="K760" s="1"/>
      <c r="L760" s="1"/>
      <c r="M760" s="3"/>
      <c r="N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3"/>
      <c r="D761" s="3"/>
      <c r="E761" s="3"/>
      <c r="F761" s="3"/>
      <c r="G761" s="3"/>
      <c r="H761" s="3"/>
      <c r="I761" s="3"/>
      <c r="J761" s="1"/>
      <c r="K761" s="1"/>
      <c r="L761" s="1"/>
      <c r="M761" s="3"/>
      <c r="N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3"/>
      <c r="D762" s="3"/>
      <c r="E762" s="3"/>
      <c r="F762" s="3"/>
      <c r="G762" s="3"/>
      <c r="H762" s="3"/>
      <c r="I762" s="3"/>
      <c r="J762" s="1"/>
      <c r="K762" s="1"/>
      <c r="L762" s="1"/>
      <c r="M762" s="3"/>
      <c r="N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3"/>
      <c r="D763" s="3"/>
      <c r="E763" s="3"/>
      <c r="F763" s="3"/>
      <c r="G763" s="3"/>
      <c r="H763" s="3"/>
      <c r="I763" s="3"/>
      <c r="J763" s="1"/>
      <c r="K763" s="1"/>
      <c r="L763" s="1"/>
      <c r="M763" s="3"/>
      <c r="N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3"/>
      <c r="D764" s="3"/>
      <c r="E764" s="3"/>
      <c r="F764" s="3"/>
      <c r="G764" s="3"/>
      <c r="H764" s="3"/>
      <c r="I764" s="3"/>
      <c r="J764" s="1"/>
      <c r="K764" s="1"/>
      <c r="L764" s="1"/>
      <c r="M764" s="3"/>
      <c r="N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3"/>
      <c r="D765" s="3"/>
      <c r="E765" s="3"/>
      <c r="F765" s="3"/>
      <c r="G765" s="3"/>
      <c r="H765" s="3"/>
      <c r="I765" s="3"/>
      <c r="J765" s="1"/>
      <c r="K765" s="1"/>
      <c r="L765" s="1"/>
      <c r="M765" s="3"/>
      <c r="N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3"/>
      <c r="D766" s="3"/>
      <c r="E766" s="3"/>
      <c r="F766" s="3"/>
      <c r="G766" s="3"/>
      <c r="H766" s="3"/>
      <c r="I766" s="3"/>
      <c r="J766" s="1"/>
      <c r="K766" s="1"/>
      <c r="L766" s="1"/>
      <c r="M766" s="3"/>
      <c r="N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3"/>
      <c r="D767" s="3"/>
      <c r="E767" s="3"/>
      <c r="F767" s="3"/>
      <c r="G767" s="3"/>
      <c r="H767" s="3"/>
      <c r="I767" s="3"/>
      <c r="J767" s="1"/>
      <c r="K767" s="1"/>
      <c r="L767" s="1"/>
      <c r="M767" s="3"/>
      <c r="N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3"/>
      <c r="D768" s="3"/>
      <c r="E768" s="3"/>
      <c r="F768" s="3"/>
      <c r="G768" s="3"/>
      <c r="H768" s="3"/>
      <c r="I768" s="3"/>
      <c r="J768" s="1"/>
      <c r="K768" s="1"/>
      <c r="L768" s="1"/>
      <c r="M768" s="3"/>
      <c r="N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3"/>
      <c r="D769" s="3"/>
      <c r="E769" s="3"/>
      <c r="F769" s="3"/>
      <c r="G769" s="3"/>
      <c r="H769" s="3"/>
      <c r="I769" s="3"/>
      <c r="J769" s="1"/>
      <c r="K769" s="1"/>
      <c r="L769" s="1"/>
      <c r="M769" s="3"/>
      <c r="N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3"/>
      <c r="D770" s="3"/>
      <c r="E770" s="3"/>
      <c r="F770" s="3"/>
      <c r="G770" s="3"/>
      <c r="H770" s="3"/>
      <c r="I770" s="3"/>
      <c r="J770" s="1"/>
      <c r="K770" s="1"/>
      <c r="L770" s="1"/>
      <c r="M770" s="3"/>
      <c r="N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3"/>
      <c r="D771" s="3"/>
      <c r="E771" s="3"/>
      <c r="F771" s="3"/>
      <c r="G771" s="3"/>
      <c r="H771" s="3"/>
      <c r="I771" s="3"/>
      <c r="J771" s="1"/>
      <c r="K771" s="1"/>
      <c r="L771" s="1"/>
      <c r="M771" s="3"/>
      <c r="N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3"/>
      <c r="D772" s="3"/>
      <c r="E772" s="3"/>
      <c r="F772" s="3"/>
      <c r="G772" s="3"/>
      <c r="H772" s="3"/>
      <c r="I772" s="3"/>
      <c r="J772" s="1"/>
      <c r="K772" s="1"/>
      <c r="L772" s="1"/>
      <c r="M772" s="3"/>
      <c r="N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3"/>
      <c r="D773" s="3"/>
      <c r="E773" s="3"/>
      <c r="F773" s="3"/>
      <c r="G773" s="3"/>
      <c r="H773" s="3"/>
      <c r="I773" s="3"/>
      <c r="J773" s="1"/>
      <c r="K773" s="1"/>
      <c r="L773" s="1"/>
      <c r="M773" s="3"/>
      <c r="N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3"/>
      <c r="D774" s="3"/>
      <c r="E774" s="3"/>
      <c r="F774" s="3"/>
      <c r="G774" s="3"/>
      <c r="H774" s="3"/>
      <c r="I774" s="3"/>
      <c r="J774" s="1"/>
      <c r="K774" s="1"/>
      <c r="L774" s="1"/>
      <c r="M774" s="3"/>
      <c r="N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3"/>
      <c r="D775" s="3"/>
      <c r="E775" s="3"/>
      <c r="F775" s="3"/>
      <c r="G775" s="3"/>
      <c r="H775" s="3"/>
      <c r="I775" s="3"/>
      <c r="J775" s="1"/>
      <c r="K775" s="1"/>
      <c r="L775" s="1"/>
      <c r="M775" s="3"/>
      <c r="N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3"/>
      <c r="D776" s="3"/>
      <c r="E776" s="3"/>
      <c r="F776" s="3"/>
      <c r="G776" s="3"/>
      <c r="H776" s="3"/>
      <c r="I776" s="3"/>
      <c r="J776" s="1"/>
      <c r="K776" s="1"/>
      <c r="L776" s="1"/>
      <c r="M776" s="3"/>
      <c r="N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3"/>
      <c r="D777" s="3"/>
      <c r="E777" s="3"/>
      <c r="F777" s="3"/>
      <c r="G777" s="3"/>
      <c r="H777" s="3"/>
      <c r="I777" s="3"/>
      <c r="J777" s="1"/>
      <c r="K777" s="1"/>
      <c r="L777" s="1"/>
      <c r="M777" s="3"/>
      <c r="N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3"/>
      <c r="D778" s="3"/>
      <c r="E778" s="3"/>
      <c r="F778" s="3"/>
      <c r="G778" s="3"/>
      <c r="H778" s="3"/>
      <c r="I778" s="3"/>
      <c r="J778" s="1"/>
      <c r="K778" s="1"/>
      <c r="L778" s="1"/>
      <c r="M778" s="3"/>
      <c r="N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3"/>
      <c r="D779" s="3"/>
      <c r="E779" s="3"/>
      <c r="F779" s="3"/>
      <c r="G779" s="3"/>
      <c r="H779" s="3"/>
      <c r="I779" s="3"/>
      <c r="J779" s="1"/>
      <c r="K779" s="1"/>
      <c r="L779" s="1"/>
      <c r="M779" s="3"/>
      <c r="N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3"/>
      <c r="D780" s="3"/>
      <c r="E780" s="3"/>
      <c r="F780" s="3"/>
      <c r="G780" s="3"/>
      <c r="H780" s="3"/>
      <c r="I780" s="3"/>
      <c r="J780" s="1"/>
      <c r="K780" s="1"/>
      <c r="L780" s="1"/>
      <c r="M780" s="3"/>
      <c r="N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3"/>
      <c r="D781" s="3"/>
      <c r="E781" s="3"/>
      <c r="F781" s="3"/>
      <c r="G781" s="3"/>
      <c r="H781" s="3"/>
      <c r="I781" s="3"/>
      <c r="J781" s="1"/>
      <c r="K781" s="1"/>
      <c r="L781" s="1"/>
      <c r="M781" s="3"/>
      <c r="N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3"/>
      <c r="D782" s="3"/>
      <c r="E782" s="3"/>
      <c r="F782" s="3"/>
      <c r="G782" s="3"/>
      <c r="H782" s="3"/>
      <c r="I782" s="3"/>
      <c r="J782" s="1"/>
      <c r="K782" s="1"/>
      <c r="L782" s="1"/>
      <c r="M782" s="3"/>
      <c r="N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3"/>
      <c r="D783" s="3"/>
      <c r="E783" s="3"/>
      <c r="F783" s="3"/>
      <c r="G783" s="3"/>
      <c r="H783" s="3"/>
      <c r="I783" s="3"/>
      <c r="J783" s="1"/>
      <c r="K783" s="1"/>
      <c r="L783" s="1"/>
      <c r="M783" s="3"/>
      <c r="N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3"/>
      <c r="D784" s="3"/>
      <c r="E784" s="3"/>
      <c r="F784" s="3"/>
      <c r="G784" s="3"/>
      <c r="H784" s="3"/>
      <c r="I784" s="3"/>
      <c r="J784" s="1"/>
      <c r="K784" s="1"/>
      <c r="L784" s="1"/>
      <c r="M784" s="3"/>
      <c r="N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3"/>
      <c r="D785" s="3"/>
      <c r="E785" s="3"/>
      <c r="F785" s="3"/>
      <c r="G785" s="3"/>
      <c r="H785" s="3"/>
      <c r="I785" s="3"/>
      <c r="J785" s="1"/>
      <c r="K785" s="1"/>
      <c r="L785" s="1"/>
      <c r="M785" s="3"/>
      <c r="N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3"/>
      <c r="D786" s="3"/>
      <c r="E786" s="3"/>
      <c r="F786" s="3"/>
      <c r="G786" s="3"/>
      <c r="H786" s="3"/>
      <c r="I786" s="3"/>
      <c r="J786" s="1"/>
      <c r="K786" s="1"/>
      <c r="L786" s="1"/>
      <c r="M786" s="3"/>
      <c r="N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3"/>
      <c r="D787" s="3"/>
      <c r="E787" s="3"/>
      <c r="F787" s="3"/>
      <c r="G787" s="3"/>
      <c r="H787" s="3"/>
      <c r="I787" s="3"/>
      <c r="J787" s="1"/>
      <c r="K787" s="1"/>
      <c r="L787" s="1"/>
      <c r="M787" s="3"/>
      <c r="N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3"/>
      <c r="D788" s="3"/>
      <c r="E788" s="3"/>
      <c r="F788" s="3"/>
      <c r="G788" s="3"/>
      <c r="H788" s="3"/>
      <c r="I788" s="3"/>
      <c r="J788" s="1"/>
      <c r="K788" s="1"/>
      <c r="L788" s="1"/>
      <c r="M788" s="3"/>
      <c r="N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3"/>
      <c r="D789" s="3"/>
      <c r="E789" s="3"/>
      <c r="F789" s="3"/>
      <c r="G789" s="3"/>
      <c r="H789" s="3"/>
      <c r="I789" s="3"/>
      <c r="J789" s="1"/>
      <c r="K789" s="1"/>
      <c r="L789" s="1"/>
      <c r="M789" s="3"/>
      <c r="N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3"/>
      <c r="D790" s="3"/>
      <c r="E790" s="3"/>
      <c r="F790" s="3"/>
      <c r="G790" s="3"/>
      <c r="H790" s="3"/>
      <c r="I790" s="3"/>
      <c r="J790" s="1"/>
      <c r="K790" s="1"/>
      <c r="L790" s="1"/>
      <c r="M790" s="3"/>
      <c r="N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3"/>
      <c r="D791" s="3"/>
      <c r="E791" s="3"/>
      <c r="F791" s="3"/>
      <c r="G791" s="3"/>
      <c r="H791" s="3"/>
      <c r="I791" s="3"/>
      <c r="J791" s="1"/>
      <c r="K791" s="1"/>
      <c r="L791" s="1"/>
      <c r="M791" s="3"/>
      <c r="N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3"/>
      <c r="D792" s="3"/>
      <c r="E792" s="3"/>
      <c r="F792" s="3"/>
      <c r="G792" s="3"/>
      <c r="H792" s="3"/>
      <c r="I792" s="3"/>
      <c r="J792" s="1"/>
      <c r="K792" s="1"/>
      <c r="L792" s="1"/>
      <c r="M792" s="3"/>
      <c r="N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3"/>
      <c r="D793" s="3"/>
      <c r="E793" s="3"/>
      <c r="F793" s="3"/>
      <c r="G793" s="3"/>
      <c r="H793" s="3"/>
      <c r="I793" s="3"/>
      <c r="J793" s="1"/>
      <c r="K793" s="1"/>
      <c r="L793" s="1"/>
      <c r="M793" s="3"/>
      <c r="N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3"/>
      <c r="D794" s="3"/>
      <c r="E794" s="3"/>
      <c r="F794" s="3"/>
      <c r="G794" s="3"/>
      <c r="H794" s="3"/>
      <c r="I794" s="3"/>
      <c r="J794" s="1"/>
      <c r="K794" s="1"/>
      <c r="L794" s="1"/>
      <c r="M794" s="3"/>
      <c r="N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3"/>
      <c r="D795" s="3"/>
      <c r="E795" s="3"/>
      <c r="F795" s="3"/>
      <c r="G795" s="3"/>
      <c r="H795" s="3"/>
      <c r="I795" s="3"/>
      <c r="J795" s="1"/>
      <c r="K795" s="1"/>
      <c r="L795" s="1"/>
      <c r="M795" s="3"/>
      <c r="N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3"/>
      <c r="D796" s="3"/>
      <c r="E796" s="3"/>
      <c r="F796" s="3"/>
      <c r="G796" s="3"/>
      <c r="H796" s="3"/>
      <c r="I796" s="3"/>
      <c r="J796" s="1"/>
      <c r="K796" s="1"/>
      <c r="L796" s="1"/>
      <c r="M796" s="3"/>
      <c r="N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3"/>
      <c r="D797" s="3"/>
      <c r="E797" s="3"/>
      <c r="F797" s="3"/>
      <c r="G797" s="3"/>
      <c r="H797" s="3"/>
      <c r="I797" s="3"/>
      <c r="J797" s="1"/>
      <c r="K797" s="1"/>
      <c r="L797" s="1"/>
      <c r="M797" s="3"/>
      <c r="N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3"/>
      <c r="D798" s="3"/>
      <c r="E798" s="3"/>
      <c r="F798" s="3"/>
      <c r="G798" s="3"/>
      <c r="H798" s="3"/>
      <c r="I798" s="3"/>
      <c r="J798" s="1"/>
      <c r="K798" s="1"/>
      <c r="L798" s="1"/>
      <c r="M798" s="3"/>
      <c r="N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3"/>
      <c r="D799" s="3"/>
      <c r="E799" s="3"/>
      <c r="F799" s="3"/>
      <c r="G799" s="3"/>
      <c r="H799" s="3"/>
      <c r="I799" s="3"/>
      <c r="J799" s="1"/>
      <c r="K799" s="1"/>
      <c r="L799" s="1"/>
      <c r="M799" s="3"/>
      <c r="N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3"/>
      <c r="D800" s="3"/>
      <c r="E800" s="3"/>
      <c r="F800" s="3"/>
      <c r="G800" s="3"/>
      <c r="H800" s="3"/>
      <c r="I800" s="3"/>
      <c r="J800" s="1"/>
      <c r="K800" s="1"/>
      <c r="L800" s="1"/>
      <c r="M800" s="3"/>
      <c r="N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3"/>
      <c r="D801" s="3"/>
      <c r="E801" s="3"/>
      <c r="F801" s="3"/>
      <c r="G801" s="3"/>
      <c r="H801" s="3"/>
      <c r="I801" s="3"/>
      <c r="J801" s="1"/>
      <c r="K801" s="1"/>
      <c r="L801" s="1"/>
      <c r="M801" s="3"/>
      <c r="N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3"/>
      <c r="D802" s="3"/>
      <c r="E802" s="3"/>
      <c r="F802" s="3"/>
      <c r="G802" s="3"/>
      <c r="H802" s="3"/>
      <c r="I802" s="3"/>
      <c r="J802" s="1"/>
      <c r="K802" s="1"/>
      <c r="L802" s="1"/>
      <c r="M802" s="3"/>
      <c r="N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3"/>
      <c r="D803" s="3"/>
      <c r="E803" s="3"/>
      <c r="F803" s="3"/>
      <c r="G803" s="3"/>
      <c r="H803" s="3"/>
      <c r="I803" s="3"/>
      <c r="J803" s="1"/>
      <c r="K803" s="1"/>
      <c r="L803" s="1"/>
      <c r="M803" s="3"/>
      <c r="N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3"/>
      <c r="D804" s="3"/>
      <c r="E804" s="3"/>
      <c r="F804" s="3"/>
      <c r="G804" s="3"/>
      <c r="H804" s="3"/>
      <c r="I804" s="3"/>
      <c r="J804" s="1"/>
      <c r="K804" s="1"/>
      <c r="L804" s="1"/>
      <c r="M804" s="3"/>
      <c r="N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3"/>
      <c r="D805" s="3"/>
      <c r="E805" s="3"/>
      <c r="F805" s="3"/>
      <c r="G805" s="3"/>
      <c r="H805" s="3"/>
      <c r="I805" s="3"/>
      <c r="J805" s="1"/>
      <c r="K805" s="1"/>
      <c r="L805" s="1"/>
      <c r="M805" s="3"/>
      <c r="N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3"/>
      <c r="D806" s="3"/>
      <c r="E806" s="3"/>
      <c r="F806" s="3"/>
      <c r="G806" s="3"/>
      <c r="H806" s="3"/>
      <c r="I806" s="3"/>
      <c r="J806" s="1"/>
      <c r="K806" s="1"/>
      <c r="L806" s="1"/>
      <c r="M806" s="3"/>
      <c r="N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3"/>
      <c r="D807" s="3"/>
      <c r="E807" s="3"/>
      <c r="F807" s="3"/>
      <c r="G807" s="3"/>
      <c r="H807" s="3"/>
      <c r="I807" s="3"/>
      <c r="J807" s="1"/>
      <c r="K807" s="1"/>
      <c r="L807" s="1"/>
      <c r="M807" s="3"/>
      <c r="N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3"/>
      <c r="D808" s="3"/>
      <c r="E808" s="3"/>
      <c r="F808" s="3"/>
      <c r="G808" s="3"/>
      <c r="H808" s="3"/>
      <c r="I808" s="3"/>
      <c r="J808" s="1"/>
      <c r="K808" s="1"/>
      <c r="L808" s="1"/>
      <c r="M808" s="3"/>
      <c r="N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3"/>
      <c r="D809" s="3"/>
      <c r="E809" s="3"/>
      <c r="F809" s="3"/>
      <c r="G809" s="3"/>
      <c r="H809" s="3"/>
      <c r="I809" s="3"/>
      <c r="J809" s="1"/>
      <c r="K809" s="1"/>
      <c r="L809" s="1"/>
      <c r="M809" s="3"/>
      <c r="N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3"/>
      <c r="D810" s="3"/>
      <c r="E810" s="3"/>
      <c r="F810" s="3"/>
      <c r="G810" s="3"/>
      <c r="H810" s="3"/>
      <c r="I810" s="3"/>
      <c r="J810" s="1"/>
      <c r="K810" s="1"/>
      <c r="L810" s="1"/>
      <c r="M810" s="3"/>
      <c r="N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3"/>
      <c r="D811" s="3"/>
      <c r="E811" s="3"/>
      <c r="F811" s="3"/>
      <c r="G811" s="3"/>
      <c r="H811" s="3"/>
      <c r="I811" s="3"/>
      <c r="J811" s="1"/>
      <c r="K811" s="1"/>
      <c r="L811" s="1"/>
      <c r="M811" s="3"/>
      <c r="N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3"/>
      <c r="D812" s="3"/>
      <c r="E812" s="3"/>
      <c r="F812" s="3"/>
      <c r="G812" s="3"/>
      <c r="H812" s="3"/>
      <c r="I812" s="3"/>
      <c r="J812" s="1"/>
      <c r="K812" s="1"/>
      <c r="L812" s="1"/>
      <c r="M812" s="3"/>
      <c r="N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3"/>
      <c r="D813" s="3"/>
      <c r="E813" s="3"/>
      <c r="F813" s="3"/>
      <c r="G813" s="3"/>
      <c r="H813" s="3"/>
      <c r="I813" s="3"/>
      <c r="J813" s="1"/>
      <c r="K813" s="1"/>
      <c r="L813" s="1"/>
      <c r="M813" s="3"/>
      <c r="N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3"/>
      <c r="D814" s="3"/>
      <c r="E814" s="3"/>
      <c r="F814" s="3"/>
      <c r="G814" s="3"/>
      <c r="H814" s="3"/>
      <c r="I814" s="3"/>
      <c r="J814" s="1"/>
      <c r="K814" s="1"/>
      <c r="L814" s="1"/>
      <c r="M814" s="3"/>
      <c r="N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3"/>
      <c r="D815" s="3"/>
      <c r="E815" s="3"/>
      <c r="F815" s="3"/>
      <c r="G815" s="3"/>
      <c r="H815" s="3"/>
      <c r="I815" s="3"/>
      <c r="J815" s="1"/>
      <c r="K815" s="1"/>
      <c r="L815" s="1"/>
      <c r="M815" s="3"/>
      <c r="N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3"/>
      <c r="D816" s="3"/>
      <c r="E816" s="3"/>
      <c r="F816" s="3"/>
      <c r="G816" s="3"/>
      <c r="H816" s="3"/>
      <c r="I816" s="3"/>
      <c r="J816" s="1"/>
      <c r="K816" s="1"/>
      <c r="L816" s="1"/>
      <c r="M816" s="3"/>
      <c r="N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3"/>
      <c r="D817" s="3"/>
      <c r="E817" s="3"/>
      <c r="F817" s="3"/>
      <c r="G817" s="3"/>
      <c r="H817" s="3"/>
      <c r="I817" s="3"/>
      <c r="J817" s="1"/>
      <c r="K817" s="1"/>
      <c r="L817" s="1"/>
      <c r="M817" s="3"/>
      <c r="N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3"/>
      <c r="D818" s="3"/>
      <c r="E818" s="3"/>
      <c r="F818" s="3"/>
      <c r="G818" s="3"/>
      <c r="H818" s="3"/>
      <c r="I818" s="3"/>
      <c r="J818" s="1"/>
      <c r="K818" s="1"/>
      <c r="L818" s="1"/>
      <c r="M818" s="3"/>
      <c r="N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3"/>
      <c r="D819" s="3"/>
      <c r="E819" s="3"/>
      <c r="F819" s="3"/>
      <c r="G819" s="3"/>
      <c r="H819" s="3"/>
      <c r="I819" s="3"/>
      <c r="J819" s="1"/>
      <c r="K819" s="1"/>
      <c r="L819" s="1"/>
      <c r="M819" s="3"/>
      <c r="N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3"/>
      <c r="D820" s="3"/>
      <c r="E820" s="3"/>
      <c r="F820" s="3"/>
      <c r="G820" s="3"/>
      <c r="H820" s="3"/>
      <c r="I820" s="3"/>
      <c r="J820" s="1"/>
      <c r="K820" s="1"/>
      <c r="L820" s="1"/>
      <c r="M820" s="3"/>
      <c r="N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3"/>
      <c r="D821" s="3"/>
      <c r="E821" s="3"/>
      <c r="F821" s="3"/>
      <c r="G821" s="3"/>
      <c r="H821" s="3"/>
      <c r="I821" s="3"/>
      <c r="J821" s="1"/>
      <c r="K821" s="1"/>
      <c r="L821" s="1"/>
      <c r="M821" s="3"/>
      <c r="N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3"/>
      <c r="D822" s="3"/>
      <c r="E822" s="3"/>
      <c r="F822" s="3"/>
      <c r="G822" s="3"/>
      <c r="H822" s="3"/>
      <c r="I822" s="3"/>
      <c r="J822" s="1"/>
      <c r="K822" s="1"/>
      <c r="L822" s="1"/>
      <c r="M822" s="3"/>
      <c r="N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3"/>
      <c r="D823" s="3"/>
      <c r="E823" s="3"/>
      <c r="F823" s="3"/>
      <c r="G823" s="3"/>
      <c r="H823" s="3"/>
      <c r="I823" s="3"/>
      <c r="J823" s="1"/>
      <c r="K823" s="1"/>
      <c r="L823" s="1"/>
      <c r="M823" s="3"/>
      <c r="N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3"/>
      <c r="D824" s="3"/>
      <c r="E824" s="3"/>
      <c r="F824" s="3"/>
      <c r="G824" s="3"/>
      <c r="H824" s="3"/>
      <c r="I824" s="3"/>
      <c r="J824" s="1"/>
      <c r="K824" s="1"/>
      <c r="L824" s="1"/>
      <c r="M824" s="3"/>
      <c r="N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3"/>
      <c r="D825" s="3"/>
      <c r="E825" s="3"/>
      <c r="F825" s="3"/>
      <c r="G825" s="3"/>
      <c r="H825" s="3"/>
      <c r="I825" s="3"/>
      <c r="J825" s="1"/>
      <c r="K825" s="1"/>
      <c r="L825" s="1"/>
      <c r="M825" s="3"/>
      <c r="N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3"/>
      <c r="D826" s="3"/>
      <c r="E826" s="3"/>
      <c r="F826" s="3"/>
      <c r="G826" s="3"/>
      <c r="H826" s="3"/>
      <c r="I826" s="3"/>
      <c r="J826" s="1"/>
      <c r="K826" s="1"/>
      <c r="L826" s="1"/>
      <c r="M826" s="3"/>
      <c r="N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3"/>
      <c r="D827" s="3"/>
      <c r="E827" s="3"/>
      <c r="F827" s="3"/>
      <c r="G827" s="3"/>
      <c r="H827" s="3"/>
      <c r="I827" s="3"/>
      <c r="J827" s="1"/>
      <c r="K827" s="1"/>
      <c r="L827" s="1"/>
      <c r="M827" s="3"/>
      <c r="N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3"/>
      <c r="D828" s="3"/>
      <c r="E828" s="3"/>
      <c r="F828" s="3"/>
      <c r="G828" s="3"/>
      <c r="H828" s="3"/>
      <c r="I828" s="3"/>
      <c r="J828" s="1"/>
      <c r="K828" s="1"/>
      <c r="L828" s="1"/>
      <c r="M828" s="3"/>
      <c r="N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3"/>
      <c r="D829" s="3"/>
      <c r="E829" s="3"/>
      <c r="F829" s="3"/>
      <c r="G829" s="3"/>
      <c r="H829" s="3"/>
      <c r="I829" s="3"/>
      <c r="J829" s="1"/>
      <c r="K829" s="1"/>
      <c r="L829" s="1"/>
      <c r="M829" s="3"/>
      <c r="N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3"/>
      <c r="D830" s="3"/>
      <c r="E830" s="3"/>
      <c r="F830" s="3"/>
      <c r="G830" s="3"/>
      <c r="H830" s="3"/>
      <c r="I830" s="3"/>
      <c r="J830" s="1"/>
      <c r="K830" s="1"/>
      <c r="L830" s="1"/>
      <c r="M830" s="3"/>
      <c r="N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3"/>
      <c r="D831" s="3"/>
      <c r="E831" s="3"/>
      <c r="F831" s="3"/>
      <c r="G831" s="3"/>
      <c r="H831" s="3"/>
      <c r="I831" s="3"/>
      <c r="J831" s="1"/>
      <c r="K831" s="1"/>
      <c r="L831" s="1"/>
      <c r="M831" s="3"/>
      <c r="N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3"/>
      <c r="D832" s="3"/>
      <c r="E832" s="3"/>
      <c r="F832" s="3"/>
      <c r="G832" s="3"/>
      <c r="H832" s="3"/>
      <c r="I832" s="3"/>
      <c r="J832" s="1"/>
      <c r="K832" s="1"/>
      <c r="L832" s="1"/>
      <c r="M832" s="3"/>
      <c r="N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3"/>
      <c r="D833" s="3"/>
      <c r="E833" s="3"/>
      <c r="F833" s="3"/>
      <c r="G833" s="3"/>
      <c r="H833" s="3"/>
      <c r="I833" s="3"/>
      <c r="J833" s="1"/>
      <c r="K833" s="1"/>
      <c r="L833" s="1"/>
      <c r="M833" s="3"/>
      <c r="N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3"/>
      <c r="D834" s="3"/>
      <c r="E834" s="3"/>
      <c r="F834" s="3"/>
      <c r="G834" s="3"/>
      <c r="H834" s="3"/>
      <c r="I834" s="3"/>
      <c r="J834" s="1"/>
      <c r="K834" s="1"/>
      <c r="L834" s="1"/>
      <c r="M834" s="3"/>
      <c r="N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3"/>
      <c r="D835" s="3"/>
      <c r="E835" s="3"/>
      <c r="F835" s="3"/>
      <c r="G835" s="3"/>
      <c r="H835" s="3"/>
      <c r="I835" s="3"/>
      <c r="J835" s="1"/>
      <c r="K835" s="1"/>
      <c r="L835" s="1"/>
      <c r="M835" s="3"/>
      <c r="N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3"/>
      <c r="D836" s="3"/>
      <c r="E836" s="3"/>
      <c r="F836" s="3"/>
      <c r="G836" s="3"/>
      <c r="H836" s="3"/>
      <c r="I836" s="3"/>
      <c r="J836" s="1"/>
      <c r="K836" s="1"/>
      <c r="L836" s="1"/>
      <c r="M836" s="3"/>
      <c r="N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3"/>
      <c r="D837" s="3"/>
      <c r="E837" s="3"/>
      <c r="F837" s="3"/>
      <c r="G837" s="3"/>
      <c r="H837" s="3"/>
      <c r="I837" s="3"/>
      <c r="J837" s="1"/>
      <c r="K837" s="1"/>
      <c r="L837" s="1"/>
      <c r="M837" s="3"/>
      <c r="N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3"/>
      <c r="D838" s="3"/>
      <c r="E838" s="3"/>
      <c r="F838" s="3"/>
      <c r="G838" s="3"/>
      <c r="H838" s="3"/>
      <c r="I838" s="3"/>
      <c r="J838" s="1"/>
      <c r="K838" s="1"/>
      <c r="L838" s="1"/>
      <c r="M838" s="3"/>
      <c r="N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3"/>
      <c r="D839" s="3"/>
      <c r="E839" s="3"/>
      <c r="F839" s="3"/>
      <c r="G839" s="3"/>
      <c r="H839" s="3"/>
      <c r="I839" s="3"/>
      <c r="J839" s="1"/>
      <c r="K839" s="1"/>
      <c r="L839" s="1"/>
      <c r="M839" s="3"/>
      <c r="N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3"/>
      <c r="D840" s="3"/>
      <c r="E840" s="3"/>
      <c r="F840" s="3"/>
      <c r="G840" s="3"/>
      <c r="H840" s="3"/>
      <c r="I840" s="3"/>
      <c r="J840" s="1"/>
      <c r="K840" s="1"/>
      <c r="L840" s="1"/>
      <c r="M840" s="3"/>
      <c r="N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3"/>
      <c r="D841" s="3"/>
      <c r="E841" s="3"/>
      <c r="F841" s="3"/>
      <c r="G841" s="3"/>
      <c r="H841" s="3"/>
      <c r="I841" s="3"/>
      <c r="J841" s="1"/>
      <c r="K841" s="1"/>
      <c r="L841" s="1"/>
      <c r="M841" s="3"/>
      <c r="N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3"/>
      <c r="D842" s="3"/>
      <c r="E842" s="3"/>
      <c r="F842" s="3"/>
      <c r="G842" s="3"/>
      <c r="H842" s="3"/>
      <c r="I842" s="3"/>
      <c r="J842" s="1"/>
      <c r="K842" s="1"/>
      <c r="L842" s="1"/>
      <c r="M842" s="3"/>
      <c r="N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3"/>
      <c r="D843" s="3"/>
      <c r="E843" s="3"/>
      <c r="F843" s="3"/>
      <c r="G843" s="3"/>
      <c r="H843" s="3"/>
      <c r="I843" s="3"/>
      <c r="J843" s="1"/>
      <c r="K843" s="1"/>
      <c r="L843" s="1"/>
      <c r="M843" s="3"/>
      <c r="N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3"/>
      <c r="D844" s="3"/>
      <c r="E844" s="3"/>
      <c r="F844" s="3"/>
      <c r="G844" s="3"/>
      <c r="H844" s="3"/>
      <c r="I844" s="3"/>
      <c r="J844" s="1"/>
      <c r="K844" s="1"/>
      <c r="L844" s="1"/>
      <c r="M844" s="3"/>
      <c r="N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3"/>
      <c r="D845" s="3"/>
      <c r="E845" s="3"/>
      <c r="F845" s="3"/>
      <c r="G845" s="3"/>
      <c r="H845" s="3"/>
      <c r="I845" s="3"/>
      <c r="J845" s="1"/>
      <c r="K845" s="1"/>
      <c r="L845" s="1"/>
      <c r="M845" s="3"/>
      <c r="N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3"/>
      <c r="D846" s="3"/>
      <c r="E846" s="3"/>
      <c r="F846" s="3"/>
      <c r="G846" s="3"/>
      <c r="H846" s="3"/>
      <c r="I846" s="3"/>
      <c r="J846" s="1"/>
      <c r="K846" s="1"/>
      <c r="L846" s="1"/>
      <c r="M846" s="3"/>
      <c r="N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3"/>
      <c r="D847" s="3"/>
      <c r="E847" s="3"/>
      <c r="F847" s="3"/>
      <c r="G847" s="3"/>
      <c r="H847" s="3"/>
      <c r="I847" s="3"/>
      <c r="J847" s="1"/>
      <c r="K847" s="1"/>
      <c r="L847" s="1"/>
      <c r="M847" s="3"/>
      <c r="N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3"/>
      <c r="D848" s="3"/>
      <c r="E848" s="3"/>
      <c r="F848" s="3"/>
      <c r="G848" s="3"/>
      <c r="H848" s="3"/>
      <c r="I848" s="3"/>
      <c r="J848" s="1"/>
      <c r="K848" s="1"/>
      <c r="L848" s="1"/>
      <c r="M848" s="3"/>
      <c r="N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3"/>
      <c r="D849" s="3"/>
      <c r="E849" s="3"/>
      <c r="F849" s="3"/>
      <c r="G849" s="3"/>
      <c r="H849" s="3"/>
      <c r="I849" s="3"/>
      <c r="J849" s="1"/>
      <c r="K849" s="1"/>
      <c r="L849" s="1"/>
      <c r="M849" s="3"/>
      <c r="N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3"/>
      <c r="D850" s="3"/>
      <c r="E850" s="3"/>
      <c r="F850" s="3"/>
      <c r="G850" s="3"/>
      <c r="H850" s="3"/>
      <c r="I850" s="3"/>
      <c r="J850" s="1"/>
      <c r="K850" s="1"/>
      <c r="L850" s="1"/>
      <c r="M850" s="3"/>
      <c r="N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3"/>
      <c r="D851" s="3"/>
      <c r="E851" s="3"/>
      <c r="F851" s="3"/>
      <c r="G851" s="3"/>
      <c r="H851" s="3"/>
      <c r="I851" s="3"/>
      <c r="J851" s="1"/>
      <c r="K851" s="1"/>
      <c r="L851" s="1"/>
      <c r="M851" s="3"/>
      <c r="N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3"/>
      <c r="D852" s="3"/>
      <c r="E852" s="3"/>
      <c r="F852" s="3"/>
      <c r="G852" s="3"/>
      <c r="H852" s="3"/>
      <c r="I852" s="3"/>
      <c r="J852" s="1"/>
      <c r="K852" s="1"/>
      <c r="L852" s="1"/>
      <c r="M852" s="3"/>
      <c r="N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3"/>
      <c r="D853" s="3"/>
      <c r="E853" s="3"/>
      <c r="F853" s="3"/>
      <c r="G853" s="3"/>
      <c r="H853" s="3"/>
      <c r="I853" s="3"/>
      <c r="J853" s="1"/>
      <c r="K853" s="1"/>
      <c r="L853" s="1"/>
      <c r="M853" s="3"/>
      <c r="N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3"/>
      <c r="D854" s="3"/>
      <c r="E854" s="3"/>
      <c r="F854" s="3"/>
      <c r="G854" s="3"/>
      <c r="H854" s="3"/>
      <c r="I854" s="3"/>
      <c r="J854" s="1"/>
      <c r="K854" s="1"/>
      <c r="L854" s="1"/>
      <c r="M854" s="3"/>
      <c r="N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3"/>
      <c r="D855" s="3"/>
      <c r="E855" s="3"/>
      <c r="F855" s="3"/>
      <c r="G855" s="3"/>
      <c r="H855" s="3"/>
      <c r="I855" s="3"/>
      <c r="J855" s="1"/>
      <c r="K855" s="1"/>
      <c r="L855" s="1"/>
      <c r="M855" s="3"/>
      <c r="N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3"/>
      <c r="D856" s="3"/>
      <c r="E856" s="3"/>
      <c r="F856" s="3"/>
      <c r="G856" s="3"/>
      <c r="H856" s="3"/>
      <c r="I856" s="3"/>
      <c r="J856" s="1"/>
      <c r="K856" s="1"/>
      <c r="L856" s="1"/>
      <c r="M856" s="3"/>
      <c r="N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3"/>
      <c r="D857" s="3"/>
      <c r="E857" s="3"/>
      <c r="F857" s="3"/>
      <c r="G857" s="3"/>
      <c r="H857" s="3"/>
      <c r="I857" s="3"/>
      <c r="J857" s="1"/>
      <c r="K857" s="1"/>
      <c r="L857" s="1"/>
      <c r="M857" s="3"/>
      <c r="N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3"/>
      <c r="D858" s="3"/>
      <c r="E858" s="3"/>
      <c r="F858" s="3"/>
      <c r="G858" s="3"/>
      <c r="H858" s="3"/>
      <c r="I858" s="3"/>
      <c r="J858" s="1"/>
      <c r="K858" s="1"/>
      <c r="L858" s="1"/>
      <c r="M858" s="3"/>
      <c r="N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3"/>
      <c r="D859" s="3"/>
      <c r="E859" s="3"/>
      <c r="F859" s="3"/>
      <c r="G859" s="3"/>
      <c r="H859" s="3"/>
      <c r="I859" s="3"/>
      <c r="J859" s="1"/>
      <c r="K859" s="1"/>
      <c r="L859" s="1"/>
      <c r="M859" s="3"/>
      <c r="N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3"/>
      <c r="D860" s="3"/>
      <c r="E860" s="3"/>
      <c r="F860" s="3"/>
      <c r="G860" s="3"/>
      <c r="H860" s="3"/>
      <c r="I860" s="3"/>
      <c r="J860" s="1"/>
      <c r="K860" s="1"/>
      <c r="L860" s="1"/>
      <c r="M860" s="3"/>
      <c r="N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3"/>
      <c r="D861" s="3"/>
      <c r="E861" s="3"/>
      <c r="F861" s="3"/>
      <c r="G861" s="3"/>
      <c r="H861" s="3"/>
      <c r="I861" s="3"/>
      <c r="J861" s="1"/>
      <c r="K861" s="1"/>
      <c r="L861" s="1"/>
      <c r="M861" s="3"/>
      <c r="N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3"/>
      <c r="D862" s="3"/>
      <c r="E862" s="3"/>
      <c r="F862" s="3"/>
      <c r="G862" s="3"/>
      <c r="H862" s="3"/>
      <c r="I862" s="3"/>
      <c r="J862" s="1"/>
      <c r="K862" s="1"/>
      <c r="L862" s="1"/>
      <c r="M862" s="3"/>
      <c r="N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3"/>
      <c r="D863" s="3"/>
      <c r="E863" s="3"/>
      <c r="F863" s="3"/>
      <c r="G863" s="3"/>
      <c r="H863" s="3"/>
      <c r="I863" s="3"/>
      <c r="J863" s="1"/>
      <c r="K863" s="1"/>
      <c r="L863" s="1"/>
      <c r="M863" s="3"/>
      <c r="N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3"/>
      <c r="D864" s="3"/>
      <c r="E864" s="3"/>
      <c r="F864" s="3"/>
      <c r="G864" s="3"/>
      <c r="H864" s="3"/>
      <c r="I864" s="3"/>
      <c r="J864" s="1"/>
      <c r="K864" s="1"/>
      <c r="L864" s="1"/>
      <c r="M864" s="3"/>
      <c r="N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3"/>
      <c r="D865" s="3"/>
      <c r="E865" s="3"/>
      <c r="F865" s="3"/>
      <c r="G865" s="3"/>
      <c r="H865" s="3"/>
      <c r="I865" s="3"/>
      <c r="J865" s="1"/>
      <c r="K865" s="1"/>
      <c r="L865" s="1"/>
      <c r="M865" s="3"/>
      <c r="N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3"/>
      <c r="D866" s="3"/>
      <c r="E866" s="3"/>
      <c r="F866" s="3"/>
      <c r="G866" s="3"/>
      <c r="H866" s="3"/>
      <c r="I866" s="3"/>
      <c r="J866" s="1"/>
      <c r="K866" s="1"/>
      <c r="L866" s="1"/>
      <c r="M866" s="3"/>
      <c r="N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3"/>
      <c r="D867" s="3"/>
      <c r="E867" s="3"/>
      <c r="F867" s="3"/>
      <c r="G867" s="3"/>
      <c r="H867" s="3"/>
      <c r="I867" s="3"/>
      <c r="J867" s="1"/>
      <c r="K867" s="1"/>
      <c r="L867" s="1"/>
      <c r="M867" s="3"/>
      <c r="N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3"/>
      <c r="D868" s="3"/>
      <c r="E868" s="3"/>
      <c r="F868" s="3"/>
      <c r="G868" s="3"/>
      <c r="H868" s="3"/>
      <c r="I868" s="3"/>
      <c r="J868" s="1"/>
      <c r="K868" s="1"/>
      <c r="L868" s="1"/>
      <c r="M868" s="3"/>
      <c r="N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3"/>
      <c r="D869" s="3"/>
      <c r="E869" s="3"/>
      <c r="F869" s="3"/>
      <c r="G869" s="3"/>
      <c r="H869" s="3"/>
      <c r="I869" s="3"/>
      <c r="J869" s="1"/>
      <c r="K869" s="1"/>
      <c r="L869" s="1"/>
      <c r="M869" s="3"/>
      <c r="N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3"/>
      <c r="D870" s="3"/>
      <c r="E870" s="3"/>
      <c r="F870" s="3"/>
      <c r="G870" s="3"/>
      <c r="H870" s="3"/>
      <c r="I870" s="3"/>
      <c r="J870" s="1"/>
      <c r="K870" s="1"/>
      <c r="L870" s="1"/>
      <c r="M870" s="3"/>
      <c r="N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3"/>
      <c r="D871" s="3"/>
      <c r="E871" s="3"/>
      <c r="F871" s="3"/>
      <c r="G871" s="3"/>
      <c r="H871" s="3"/>
      <c r="I871" s="3"/>
      <c r="J871" s="1"/>
      <c r="K871" s="1"/>
      <c r="L871" s="1"/>
      <c r="M871" s="3"/>
      <c r="N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3"/>
      <c r="D872" s="3"/>
      <c r="E872" s="3"/>
      <c r="F872" s="3"/>
      <c r="G872" s="3"/>
      <c r="H872" s="3"/>
      <c r="I872" s="3"/>
      <c r="J872" s="1"/>
      <c r="K872" s="1"/>
      <c r="L872" s="1"/>
      <c r="M872" s="3"/>
      <c r="N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3"/>
      <c r="D873" s="3"/>
      <c r="E873" s="3"/>
      <c r="F873" s="3"/>
      <c r="G873" s="3"/>
      <c r="H873" s="3"/>
      <c r="I873" s="3"/>
      <c r="J873" s="1"/>
      <c r="K873" s="1"/>
      <c r="L873" s="1"/>
      <c r="M873" s="3"/>
      <c r="N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3"/>
      <c r="D874" s="3"/>
      <c r="E874" s="3"/>
      <c r="F874" s="3"/>
      <c r="G874" s="3"/>
      <c r="H874" s="3"/>
      <c r="I874" s="3"/>
      <c r="J874" s="1"/>
      <c r="K874" s="1"/>
      <c r="L874" s="1"/>
      <c r="M874" s="3"/>
      <c r="N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3"/>
      <c r="D875" s="3"/>
      <c r="E875" s="3"/>
      <c r="F875" s="3"/>
      <c r="G875" s="3"/>
      <c r="H875" s="3"/>
      <c r="I875" s="3"/>
      <c r="J875" s="1"/>
      <c r="K875" s="1"/>
      <c r="L875" s="1"/>
      <c r="M875" s="3"/>
      <c r="N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3"/>
      <c r="D876" s="3"/>
      <c r="E876" s="3"/>
      <c r="F876" s="3"/>
      <c r="G876" s="3"/>
      <c r="H876" s="3"/>
      <c r="I876" s="3"/>
      <c r="J876" s="1"/>
      <c r="K876" s="1"/>
      <c r="L876" s="1"/>
      <c r="M876" s="3"/>
      <c r="N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3"/>
      <c r="D877" s="3"/>
      <c r="E877" s="3"/>
      <c r="F877" s="3"/>
      <c r="G877" s="3"/>
      <c r="H877" s="3"/>
      <c r="I877" s="3"/>
      <c r="J877" s="1"/>
      <c r="K877" s="1"/>
      <c r="L877" s="1"/>
      <c r="M877" s="3"/>
      <c r="N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3"/>
      <c r="D878" s="3"/>
      <c r="E878" s="3"/>
      <c r="F878" s="3"/>
      <c r="G878" s="3"/>
      <c r="H878" s="3"/>
      <c r="I878" s="3"/>
      <c r="J878" s="1"/>
      <c r="K878" s="1"/>
      <c r="L878" s="1"/>
      <c r="M878" s="3"/>
      <c r="N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3"/>
      <c r="D879" s="3"/>
      <c r="E879" s="3"/>
      <c r="F879" s="3"/>
      <c r="G879" s="3"/>
      <c r="H879" s="3"/>
      <c r="I879" s="3"/>
      <c r="J879" s="1"/>
      <c r="K879" s="1"/>
      <c r="L879" s="1"/>
      <c r="M879" s="3"/>
      <c r="N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3"/>
      <c r="D880" s="3"/>
      <c r="E880" s="3"/>
      <c r="F880" s="3"/>
      <c r="G880" s="3"/>
      <c r="H880" s="3"/>
      <c r="I880" s="3"/>
      <c r="J880" s="1"/>
      <c r="K880" s="1"/>
      <c r="L880" s="1"/>
      <c r="M880" s="3"/>
      <c r="N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3"/>
      <c r="D881" s="3"/>
      <c r="E881" s="3"/>
      <c r="F881" s="3"/>
      <c r="G881" s="3"/>
      <c r="H881" s="3"/>
      <c r="I881" s="3"/>
      <c r="J881" s="1"/>
      <c r="K881" s="1"/>
      <c r="L881" s="1"/>
      <c r="M881" s="3"/>
      <c r="N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3"/>
      <c r="D882" s="3"/>
      <c r="E882" s="3"/>
      <c r="F882" s="3"/>
      <c r="G882" s="3"/>
      <c r="H882" s="3"/>
      <c r="I882" s="3"/>
      <c r="J882" s="1"/>
      <c r="K882" s="1"/>
      <c r="L882" s="1"/>
      <c r="M882" s="3"/>
      <c r="N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3"/>
      <c r="D883" s="3"/>
      <c r="E883" s="3"/>
      <c r="F883" s="3"/>
      <c r="G883" s="3"/>
      <c r="H883" s="3"/>
      <c r="I883" s="3"/>
      <c r="J883" s="1"/>
      <c r="K883" s="1"/>
      <c r="L883" s="1"/>
      <c r="M883" s="3"/>
      <c r="N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3"/>
      <c r="D884" s="3"/>
      <c r="E884" s="3"/>
      <c r="F884" s="3"/>
      <c r="G884" s="3"/>
      <c r="H884" s="3"/>
      <c r="I884" s="3"/>
      <c r="J884" s="1"/>
      <c r="K884" s="1"/>
      <c r="L884" s="1"/>
      <c r="M884" s="3"/>
      <c r="N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3"/>
      <c r="D885" s="3"/>
      <c r="E885" s="3"/>
      <c r="F885" s="3"/>
      <c r="G885" s="3"/>
      <c r="H885" s="3"/>
      <c r="I885" s="3"/>
      <c r="J885" s="1"/>
      <c r="K885" s="1"/>
      <c r="L885" s="1"/>
      <c r="M885" s="3"/>
      <c r="N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3"/>
      <c r="D886" s="3"/>
      <c r="E886" s="3"/>
      <c r="F886" s="3"/>
      <c r="G886" s="3"/>
      <c r="H886" s="3"/>
      <c r="I886" s="3"/>
      <c r="J886" s="1"/>
      <c r="K886" s="1"/>
      <c r="L886" s="1"/>
      <c r="M886" s="3"/>
      <c r="N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3"/>
      <c r="D887" s="3"/>
      <c r="E887" s="3"/>
      <c r="F887" s="3"/>
      <c r="G887" s="3"/>
      <c r="H887" s="3"/>
      <c r="I887" s="3"/>
      <c r="J887" s="1"/>
      <c r="K887" s="1"/>
      <c r="L887" s="1"/>
      <c r="M887" s="3"/>
      <c r="N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3"/>
      <c r="D888" s="3"/>
      <c r="E888" s="3"/>
      <c r="F888" s="3"/>
      <c r="G888" s="3"/>
      <c r="H888" s="3"/>
      <c r="I888" s="3"/>
      <c r="J888" s="1"/>
      <c r="K888" s="1"/>
      <c r="L888" s="1"/>
      <c r="M888" s="3"/>
      <c r="N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3"/>
      <c r="D889" s="3"/>
      <c r="E889" s="3"/>
      <c r="F889" s="3"/>
      <c r="G889" s="3"/>
      <c r="H889" s="3"/>
      <c r="I889" s="3"/>
      <c r="J889" s="1"/>
      <c r="K889" s="1"/>
      <c r="L889" s="1"/>
      <c r="M889" s="3"/>
      <c r="N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3"/>
      <c r="D890" s="3"/>
      <c r="E890" s="3"/>
      <c r="F890" s="3"/>
      <c r="G890" s="3"/>
      <c r="H890" s="3"/>
      <c r="I890" s="3"/>
      <c r="J890" s="1"/>
      <c r="K890" s="1"/>
      <c r="L890" s="1"/>
      <c r="M890" s="3"/>
      <c r="N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3"/>
      <c r="D891" s="3"/>
      <c r="E891" s="3"/>
      <c r="F891" s="3"/>
      <c r="G891" s="3"/>
      <c r="H891" s="3"/>
      <c r="I891" s="3"/>
      <c r="J891" s="1"/>
      <c r="K891" s="1"/>
      <c r="L891" s="1"/>
      <c r="M891" s="3"/>
      <c r="N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3"/>
      <c r="D892" s="3"/>
      <c r="E892" s="3"/>
      <c r="F892" s="3"/>
      <c r="G892" s="3"/>
      <c r="H892" s="3"/>
      <c r="I892" s="3"/>
      <c r="J892" s="1"/>
      <c r="K892" s="1"/>
      <c r="L892" s="1"/>
      <c r="M892" s="3"/>
      <c r="N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3"/>
      <c r="D893" s="3"/>
      <c r="E893" s="3"/>
      <c r="F893" s="3"/>
      <c r="G893" s="3"/>
      <c r="H893" s="3"/>
      <c r="I893" s="3"/>
      <c r="J893" s="1"/>
      <c r="K893" s="1"/>
      <c r="L893" s="1"/>
      <c r="M893" s="3"/>
      <c r="N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3"/>
      <c r="D894" s="3"/>
      <c r="E894" s="3"/>
      <c r="F894" s="3"/>
      <c r="G894" s="3"/>
      <c r="H894" s="3"/>
      <c r="I894" s="3"/>
      <c r="J894" s="1"/>
      <c r="K894" s="1"/>
      <c r="L894" s="1"/>
      <c r="M894" s="3"/>
      <c r="N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3"/>
      <c r="D895" s="3"/>
      <c r="E895" s="3"/>
      <c r="F895" s="3"/>
      <c r="G895" s="3"/>
      <c r="H895" s="3"/>
      <c r="I895" s="3"/>
      <c r="J895" s="1"/>
      <c r="K895" s="1"/>
      <c r="L895" s="1"/>
      <c r="M895" s="3"/>
      <c r="N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3"/>
      <c r="D896" s="3"/>
      <c r="E896" s="3"/>
      <c r="F896" s="3"/>
      <c r="G896" s="3"/>
      <c r="H896" s="3"/>
      <c r="I896" s="3"/>
      <c r="J896" s="1"/>
      <c r="K896" s="1"/>
      <c r="L896" s="1"/>
      <c r="M896" s="3"/>
      <c r="N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3"/>
      <c r="D897" s="3"/>
      <c r="E897" s="3"/>
      <c r="F897" s="3"/>
      <c r="G897" s="3"/>
      <c r="H897" s="3"/>
      <c r="I897" s="3"/>
      <c r="J897" s="1"/>
      <c r="K897" s="1"/>
      <c r="L897" s="1"/>
      <c r="M897" s="3"/>
      <c r="N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3"/>
      <c r="D898" s="3"/>
      <c r="E898" s="3"/>
      <c r="F898" s="3"/>
      <c r="G898" s="3"/>
      <c r="H898" s="3"/>
      <c r="I898" s="3"/>
      <c r="J898" s="1"/>
      <c r="K898" s="1"/>
      <c r="L898" s="1"/>
      <c r="M898" s="3"/>
      <c r="N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3"/>
      <c r="D899" s="3"/>
      <c r="E899" s="3"/>
      <c r="F899" s="3"/>
      <c r="G899" s="3"/>
      <c r="H899" s="3"/>
      <c r="I899" s="3"/>
      <c r="J899" s="1"/>
      <c r="K899" s="1"/>
      <c r="L899" s="1"/>
      <c r="M899" s="3"/>
      <c r="N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3"/>
      <c r="D900" s="3"/>
      <c r="E900" s="3"/>
      <c r="F900" s="3"/>
      <c r="G900" s="3"/>
      <c r="H900" s="3"/>
      <c r="I900" s="3"/>
      <c r="J900" s="1"/>
      <c r="K900" s="1"/>
      <c r="L900" s="1"/>
      <c r="M900" s="3"/>
      <c r="N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3"/>
      <c r="D901" s="3"/>
      <c r="E901" s="3"/>
      <c r="F901" s="3"/>
      <c r="G901" s="3"/>
      <c r="H901" s="3"/>
      <c r="I901" s="3"/>
      <c r="J901" s="1"/>
      <c r="K901" s="1"/>
      <c r="L901" s="1"/>
      <c r="M901" s="3"/>
      <c r="N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3"/>
      <c r="D902" s="3"/>
      <c r="E902" s="3"/>
      <c r="F902" s="3"/>
      <c r="G902" s="3"/>
      <c r="H902" s="3"/>
      <c r="I902" s="3"/>
      <c r="J902" s="1"/>
      <c r="K902" s="1"/>
      <c r="L902" s="1"/>
      <c r="M902" s="3"/>
      <c r="N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3"/>
      <c r="D903" s="3"/>
      <c r="E903" s="3"/>
      <c r="F903" s="3"/>
      <c r="G903" s="3"/>
      <c r="H903" s="3"/>
      <c r="I903" s="3"/>
      <c r="J903" s="1"/>
      <c r="K903" s="1"/>
      <c r="L903" s="1"/>
      <c r="M903" s="3"/>
      <c r="N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3"/>
      <c r="D904" s="3"/>
      <c r="E904" s="3"/>
      <c r="F904" s="3"/>
      <c r="G904" s="3"/>
      <c r="H904" s="3"/>
      <c r="I904" s="3"/>
      <c r="J904" s="1"/>
      <c r="K904" s="1"/>
      <c r="L904" s="1"/>
      <c r="M904" s="3"/>
      <c r="N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3"/>
      <c r="D905" s="3"/>
      <c r="E905" s="3"/>
      <c r="F905" s="3"/>
      <c r="G905" s="3"/>
      <c r="H905" s="3"/>
      <c r="I905" s="3"/>
      <c r="J905" s="1"/>
      <c r="K905" s="1"/>
      <c r="L905" s="1"/>
      <c r="M905" s="3"/>
      <c r="N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3"/>
      <c r="D906" s="3"/>
      <c r="E906" s="3"/>
      <c r="F906" s="3"/>
      <c r="G906" s="3"/>
      <c r="H906" s="3"/>
      <c r="I906" s="3"/>
      <c r="J906" s="1"/>
      <c r="K906" s="1"/>
      <c r="L906" s="1"/>
      <c r="M906" s="3"/>
      <c r="N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3"/>
      <c r="D907" s="3"/>
      <c r="E907" s="3"/>
      <c r="F907" s="3"/>
      <c r="G907" s="3"/>
      <c r="H907" s="3"/>
      <c r="I907" s="3"/>
      <c r="J907" s="1"/>
      <c r="K907" s="1"/>
      <c r="L907" s="1"/>
      <c r="M907" s="3"/>
      <c r="N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3"/>
      <c r="D908" s="3"/>
      <c r="E908" s="3"/>
      <c r="F908" s="3"/>
      <c r="G908" s="3"/>
      <c r="H908" s="3"/>
      <c r="I908" s="3"/>
      <c r="J908" s="1"/>
      <c r="K908" s="1"/>
      <c r="L908" s="1"/>
      <c r="M908" s="3"/>
      <c r="N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3"/>
      <c r="D909" s="3"/>
      <c r="E909" s="3"/>
      <c r="F909" s="3"/>
      <c r="G909" s="3"/>
      <c r="H909" s="3"/>
      <c r="I909" s="3"/>
      <c r="J909" s="1"/>
      <c r="K909" s="1"/>
      <c r="L909" s="1"/>
      <c r="M909" s="3"/>
      <c r="N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3"/>
      <c r="D910" s="3"/>
      <c r="E910" s="3"/>
      <c r="F910" s="3"/>
      <c r="G910" s="3"/>
      <c r="H910" s="3"/>
      <c r="I910" s="3"/>
      <c r="J910" s="1"/>
      <c r="K910" s="1"/>
      <c r="L910" s="1"/>
      <c r="M910" s="3"/>
      <c r="N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3"/>
      <c r="D911" s="3"/>
      <c r="E911" s="3"/>
      <c r="F911" s="3"/>
      <c r="G911" s="3"/>
      <c r="H911" s="3"/>
      <c r="I911" s="3"/>
      <c r="J911" s="1"/>
      <c r="K911" s="1"/>
      <c r="L911" s="1"/>
      <c r="M911" s="3"/>
      <c r="N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3"/>
      <c r="D912" s="3"/>
      <c r="E912" s="3"/>
      <c r="F912" s="3"/>
      <c r="G912" s="3"/>
      <c r="H912" s="3"/>
      <c r="I912" s="3"/>
      <c r="J912" s="1"/>
      <c r="K912" s="1"/>
      <c r="L912" s="1"/>
      <c r="M912" s="3"/>
      <c r="N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3"/>
      <c r="D913" s="3"/>
      <c r="E913" s="3"/>
      <c r="F913" s="3"/>
      <c r="G913" s="3"/>
      <c r="H913" s="3"/>
      <c r="I913" s="3"/>
      <c r="J913" s="1"/>
      <c r="K913" s="1"/>
      <c r="L913" s="1"/>
      <c r="M913" s="3"/>
      <c r="N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3"/>
      <c r="D914" s="3"/>
      <c r="E914" s="3"/>
      <c r="F914" s="3"/>
      <c r="G914" s="3"/>
      <c r="H914" s="3"/>
      <c r="I914" s="3"/>
      <c r="J914" s="1"/>
      <c r="K914" s="1"/>
      <c r="L914" s="1"/>
      <c r="M914" s="3"/>
      <c r="N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3"/>
      <c r="D915" s="3"/>
      <c r="E915" s="3"/>
      <c r="F915" s="3"/>
      <c r="G915" s="3"/>
      <c r="H915" s="3"/>
      <c r="I915" s="3"/>
      <c r="J915" s="1"/>
      <c r="K915" s="1"/>
      <c r="L915" s="1"/>
      <c r="M915" s="3"/>
      <c r="N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3"/>
      <c r="D916" s="3"/>
      <c r="E916" s="3"/>
      <c r="F916" s="3"/>
      <c r="G916" s="3"/>
      <c r="H916" s="3"/>
      <c r="I916" s="3"/>
      <c r="J916" s="1"/>
      <c r="K916" s="1"/>
      <c r="L916" s="1"/>
      <c r="M916" s="3"/>
      <c r="N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3"/>
      <c r="D917" s="3"/>
      <c r="E917" s="3"/>
      <c r="F917" s="3"/>
      <c r="G917" s="3"/>
      <c r="H917" s="3"/>
      <c r="I917" s="3"/>
      <c r="J917" s="1"/>
      <c r="K917" s="1"/>
      <c r="L917" s="1"/>
      <c r="M917" s="3"/>
      <c r="N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3"/>
      <c r="D918" s="3"/>
      <c r="E918" s="3"/>
      <c r="F918" s="3"/>
      <c r="G918" s="3"/>
      <c r="H918" s="3"/>
      <c r="I918" s="3"/>
      <c r="J918" s="1"/>
      <c r="K918" s="1"/>
      <c r="L918" s="1"/>
      <c r="M918" s="3"/>
      <c r="N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3"/>
      <c r="D919" s="3"/>
      <c r="E919" s="3"/>
      <c r="F919" s="3"/>
      <c r="G919" s="3"/>
      <c r="H919" s="3"/>
      <c r="I919" s="3"/>
      <c r="J919" s="1"/>
      <c r="K919" s="1"/>
      <c r="L919" s="1"/>
      <c r="M919" s="3"/>
      <c r="N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3"/>
      <c r="D920" s="3"/>
      <c r="E920" s="3"/>
      <c r="F920" s="3"/>
      <c r="G920" s="3"/>
      <c r="H920" s="3"/>
      <c r="I920" s="3"/>
      <c r="J920" s="1"/>
      <c r="K920" s="1"/>
      <c r="L920" s="1"/>
      <c r="M920" s="3"/>
      <c r="N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3"/>
      <c r="D921" s="3"/>
      <c r="E921" s="3"/>
      <c r="F921" s="3"/>
      <c r="G921" s="3"/>
      <c r="H921" s="3"/>
      <c r="I921" s="3"/>
      <c r="J921" s="1"/>
      <c r="K921" s="1"/>
      <c r="L921" s="1"/>
      <c r="M921" s="3"/>
      <c r="N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3"/>
      <c r="D922" s="3"/>
      <c r="E922" s="3"/>
      <c r="F922" s="3"/>
      <c r="G922" s="3"/>
      <c r="H922" s="3"/>
      <c r="I922" s="3"/>
      <c r="J922" s="1"/>
      <c r="K922" s="1"/>
      <c r="L922" s="1"/>
      <c r="M922" s="3"/>
      <c r="N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3"/>
      <c r="D923" s="3"/>
      <c r="E923" s="3"/>
      <c r="F923" s="3"/>
      <c r="G923" s="3"/>
      <c r="H923" s="3"/>
      <c r="I923" s="3"/>
      <c r="J923" s="1"/>
      <c r="K923" s="1"/>
      <c r="L923" s="1"/>
      <c r="M923" s="3"/>
      <c r="N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3"/>
      <c r="D924" s="3"/>
      <c r="E924" s="3"/>
      <c r="F924" s="3"/>
      <c r="G924" s="3"/>
      <c r="H924" s="3"/>
      <c r="I924" s="3"/>
      <c r="J924" s="1"/>
      <c r="K924" s="1"/>
      <c r="L924" s="1"/>
      <c r="M924" s="3"/>
      <c r="N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3"/>
      <c r="D925" s="3"/>
      <c r="E925" s="3"/>
      <c r="F925" s="3"/>
      <c r="G925" s="3"/>
      <c r="H925" s="3"/>
      <c r="I925" s="3"/>
      <c r="J925" s="1"/>
      <c r="K925" s="1"/>
      <c r="L925" s="1"/>
      <c r="M925" s="3"/>
      <c r="N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3"/>
      <c r="D926" s="3"/>
      <c r="E926" s="3"/>
      <c r="F926" s="3"/>
      <c r="G926" s="3"/>
      <c r="H926" s="3"/>
      <c r="I926" s="3"/>
      <c r="J926" s="1"/>
      <c r="K926" s="1"/>
      <c r="L926" s="1"/>
      <c r="M926" s="3"/>
      <c r="N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3"/>
      <c r="D927" s="3"/>
      <c r="E927" s="3"/>
      <c r="F927" s="3"/>
      <c r="G927" s="3"/>
      <c r="H927" s="3"/>
      <c r="I927" s="3"/>
      <c r="J927" s="1"/>
      <c r="K927" s="1"/>
      <c r="L927" s="1"/>
      <c r="M927" s="3"/>
      <c r="N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3"/>
      <c r="D928" s="3"/>
      <c r="E928" s="3"/>
      <c r="F928" s="3"/>
      <c r="G928" s="3"/>
      <c r="H928" s="3"/>
      <c r="I928" s="3"/>
      <c r="J928" s="1"/>
      <c r="K928" s="1"/>
      <c r="L928" s="1"/>
      <c r="M928" s="3"/>
      <c r="N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3"/>
      <c r="D929" s="3"/>
      <c r="E929" s="3"/>
      <c r="F929" s="3"/>
      <c r="G929" s="3"/>
      <c r="H929" s="3"/>
      <c r="I929" s="3"/>
      <c r="J929" s="1"/>
      <c r="K929" s="1"/>
      <c r="L929" s="1"/>
      <c r="M929" s="3"/>
      <c r="N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3"/>
      <c r="D930" s="3"/>
      <c r="E930" s="3"/>
      <c r="F930" s="3"/>
      <c r="G930" s="3"/>
      <c r="H930" s="3"/>
      <c r="I930" s="3"/>
      <c r="J930" s="1"/>
      <c r="K930" s="1"/>
      <c r="L930" s="1"/>
      <c r="M930" s="3"/>
      <c r="N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3"/>
      <c r="D931" s="3"/>
      <c r="E931" s="3"/>
      <c r="F931" s="3"/>
      <c r="G931" s="3"/>
      <c r="H931" s="3"/>
      <c r="I931" s="3"/>
      <c r="J931" s="1"/>
      <c r="K931" s="1"/>
      <c r="L931" s="1"/>
      <c r="M931" s="3"/>
      <c r="N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3"/>
      <c r="D932" s="3"/>
      <c r="E932" s="3"/>
      <c r="F932" s="3"/>
      <c r="G932" s="3"/>
      <c r="H932" s="3"/>
      <c r="I932" s="3"/>
      <c r="J932" s="1"/>
      <c r="K932" s="1"/>
      <c r="L932" s="1"/>
      <c r="M932" s="3"/>
      <c r="N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3"/>
      <c r="D933" s="3"/>
      <c r="E933" s="3"/>
      <c r="F933" s="3"/>
      <c r="G933" s="3"/>
      <c r="H933" s="3"/>
      <c r="I933" s="3"/>
      <c r="J933" s="1"/>
      <c r="K933" s="1"/>
      <c r="L933" s="1"/>
      <c r="M933" s="3"/>
      <c r="N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3"/>
      <c r="D934" s="3"/>
      <c r="E934" s="3"/>
      <c r="F934" s="3"/>
      <c r="G934" s="3"/>
      <c r="H934" s="3"/>
      <c r="I934" s="3"/>
      <c r="J934" s="1"/>
      <c r="K934" s="1"/>
      <c r="L934" s="1"/>
      <c r="M934" s="3"/>
      <c r="N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3"/>
      <c r="D935" s="3"/>
      <c r="E935" s="3"/>
      <c r="F935" s="3"/>
      <c r="G935" s="3"/>
      <c r="H935" s="3"/>
      <c r="I935" s="3"/>
      <c r="J935" s="1"/>
      <c r="K935" s="1"/>
      <c r="L935" s="1"/>
      <c r="M935" s="3"/>
      <c r="N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3"/>
      <c r="D936" s="3"/>
      <c r="E936" s="3"/>
      <c r="F936" s="3"/>
      <c r="G936" s="3"/>
      <c r="H936" s="3"/>
      <c r="I936" s="3"/>
      <c r="J936" s="1"/>
      <c r="K936" s="1"/>
      <c r="L936" s="1"/>
      <c r="M936" s="3"/>
      <c r="N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3"/>
      <c r="D937" s="3"/>
      <c r="E937" s="3"/>
      <c r="F937" s="3"/>
      <c r="G937" s="3"/>
      <c r="H937" s="3"/>
      <c r="I937" s="3"/>
      <c r="J937" s="1"/>
      <c r="K937" s="1"/>
      <c r="L937" s="1"/>
      <c r="M937" s="3"/>
      <c r="N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3"/>
      <c r="D938" s="3"/>
      <c r="E938" s="3"/>
      <c r="F938" s="3"/>
      <c r="G938" s="3"/>
      <c r="H938" s="3"/>
      <c r="I938" s="3"/>
      <c r="J938" s="1"/>
      <c r="K938" s="1"/>
      <c r="L938" s="1"/>
      <c r="M938" s="3"/>
      <c r="N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3"/>
      <c r="D939" s="3"/>
      <c r="E939" s="3"/>
      <c r="F939" s="3"/>
      <c r="G939" s="3"/>
      <c r="H939" s="3"/>
      <c r="I939" s="3"/>
      <c r="J939" s="1"/>
      <c r="K939" s="1"/>
      <c r="L939" s="1"/>
      <c r="M939" s="3"/>
      <c r="N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3"/>
      <c r="D940" s="3"/>
      <c r="E940" s="3"/>
      <c r="F940" s="3"/>
      <c r="G940" s="3"/>
      <c r="H940" s="3"/>
      <c r="I940" s="3"/>
      <c r="J940" s="1"/>
      <c r="K940" s="1"/>
      <c r="L940" s="1"/>
      <c r="M940" s="3"/>
      <c r="N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3"/>
      <c r="D941" s="3"/>
      <c r="E941" s="3"/>
      <c r="F941" s="3"/>
      <c r="G941" s="3"/>
      <c r="H941" s="3"/>
      <c r="I941" s="3"/>
      <c r="J941" s="1"/>
      <c r="K941" s="1"/>
      <c r="L941" s="1"/>
      <c r="M941" s="3"/>
      <c r="N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3"/>
      <c r="D942" s="3"/>
      <c r="E942" s="3"/>
      <c r="F942" s="3"/>
      <c r="G942" s="3"/>
      <c r="H942" s="3"/>
      <c r="I942" s="3"/>
      <c r="J942" s="1"/>
      <c r="K942" s="1"/>
      <c r="L942" s="1"/>
      <c r="M942" s="3"/>
      <c r="N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3"/>
      <c r="D943" s="3"/>
      <c r="E943" s="3"/>
      <c r="F943" s="3"/>
      <c r="G943" s="3"/>
      <c r="H943" s="3"/>
      <c r="I943" s="3"/>
      <c r="J943" s="1"/>
      <c r="K943" s="1"/>
      <c r="L943" s="1"/>
      <c r="M943" s="3"/>
      <c r="N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3"/>
      <c r="D944" s="3"/>
      <c r="E944" s="3"/>
      <c r="F944" s="3"/>
      <c r="G944" s="3"/>
      <c r="H944" s="3"/>
      <c r="I944" s="3"/>
      <c r="J944" s="1"/>
      <c r="K944" s="1"/>
      <c r="L944" s="1"/>
      <c r="M944" s="3"/>
      <c r="N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3"/>
      <c r="D945" s="3"/>
      <c r="E945" s="3"/>
      <c r="F945" s="3"/>
      <c r="G945" s="3"/>
      <c r="H945" s="3"/>
      <c r="I945" s="3"/>
      <c r="J945" s="1"/>
      <c r="K945" s="1"/>
      <c r="L945" s="1"/>
      <c r="M945" s="3"/>
      <c r="N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3"/>
      <c r="D946" s="3"/>
      <c r="E946" s="3"/>
      <c r="F946" s="3"/>
      <c r="G946" s="3"/>
      <c r="H946" s="3"/>
      <c r="I946" s="3"/>
      <c r="J946" s="1"/>
      <c r="K946" s="1"/>
      <c r="L946" s="1"/>
      <c r="M946" s="3"/>
      <c r="N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3"/>
      <c r="D947" s="3"/>
      <c r="E947" s="3"/>
      <c r="F947" s="3"/>
      <c r="G947" s="3"/>
      <c r="H947" s="3"/>
      <c r="I947" s="3"/>
      <c r="J947" s="1"/>
      <c r="K947" s="1"/>
      <c r="L947" s="1"/>
      <c r="M947" s="3"/>
      <c r="N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3"/>
      <c r="D948" s="3"/>
      <c r="E948" s="3"/>
      <c r="F948" s="3"/>
      <c r="G948" s="3"/>
      <c r="H948" s="3"/>
      <c r="I948" s="3"/>
      <c r="J948" s="1"/>
      <c r="K948" s="1"/>
      <c r="L948" s="1"/>
      <c r="M948" s="3"/>
      <c r="N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3"/>
      <c r="D949" s="3"/>
      <c r="E949" s="3"/>
      <c r="F949" s="3"/>
      <c r="G949" s="3"/>
      <c r="H949" s="3"/>
      <c r="I949" s="3"/>
      <c r="J949" s="1"/>
      <c r="K949" s="1"/>
      <c r="L949" s="1"/>
      <c r="M949" s="3"/>
      <c r="N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3"/>
      <c r="D950" s="3"/>
      <c r="E950" s="3"/>
      <c r="F950" s="3"/>
      <c r="G950" s="3"/>
      <c r="H950" s="3"/>
      <c r="I950" s="3"/>
      <c r="J950" s="1"/>
      <c r="K950" s="1"/>
      <c r="L950" s="1"/>
      <c r="M950" s="3"/>
      <c r="N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3"/>
      <c r="D951" s="3"/>
      <c r="E951" s="3"/>
      <c r="F951" s="3"/>
      <c r="G951" s="3"/>
      <c r="H951" s="3"/>
      <c r="I951" s="3"/>
      <c r="J951" s="1"/>
      <c r="K951" s="1"/>
      <c r="L951" s="1"/>
      <c r="M951" s="3"/>
      <c r="N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3"/>
      <c r="D952" s="3"/>
      <c r="E952" s="3"/>
      <c r="F952" s="3"/>
      <c r="G952" s="3"/>
      <c r="H952" s="3"/>
      <c r="I952" s="3"/>
      <c r="J952" s="1"/>
      <c r="K952" s="1"/>
      <c r="L952" s="1"/>
      <c r="M952" s="3"/>
      <c r="N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3"/>
      <c r="D953" s="3"/>
      <c r="E953" s="3"/>
      <c r="F953" s="3"/>
      <c r="G953" s="3"/>
      <c r="H953" s="3"/>
      <c r="I953" s="3"/>
      <c r="J953" s="1"/>
      <c r="K953" s="1"/>
      <c r="L953" s="1"/>
      <c r="M953" s="3"/>
      <c r="N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3"/>
      <c r="D954" s="3"/>
      <c r="E954" s="3"/>
      <c r="F954" s="3"/>
      <c r="G954" s="3"/>
      <c r="H954" s="3"/>
      <c r="I954" s="3"/>
      <c r="J954" s="1"/>
      <c r="K954" s="1"/>
      <c r="L954" s="1"/>
      <c r="M954" s="3"/>
      <c r="N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3"/>
      <c r="D955" s="3"/>
      <c r="E955" s="3"/>
      <c r="F955" s="3"/>
      <c r="G955" s="3"/>
      <c r="H955" s="3"/>
      <c r="I955" s="3"/>
      <c r="J955" s="1"/>
      <c r="K955" s="1"/>
      <c r="L955" s="1"/>
      <c r="M955" s="3"/>
      <c r="N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3"/>
      <c r="D956" s="3"/>
      <c r="E956" s="3"/>
      <c r="F956" s="3"/>
      <c r="G956" s="3"/>
      <c r="H956" s="3"/>
      <c r="I956" s="3"/>
      <c r="J956" s="1"/>
      <c r="K956" s="1"/>
      <c r="L956" s="1"/>
      <c r="M956" s="3"/>
      <c r="N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3"/>
      <c r="D957" s="3"/>
      <c r="E957" s="3"/>
      <c r="F957" s="3"/>
      <c r="G957" s="3"/>
      <c r="H957" s="3"/>
      <c r="I957" s="3"/>
      <c r="J957" s="1"/>
      <c r="K957" s="1"/>
      <c r="L957" s="1"/>
      <c r="M957" s="3"/>
      <c r="N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3"/>
      <c r="D958" s="3"/>
      <c r="E958" s="3"/>
      <c r="F958" s="3"/>
      <c r="G958" s="3"/>
      <c r="H958" s="3"/>
      <c r="I958" s="3"/>
      <c r="J958" s="1"/>
      <c r="K958" s="1"/>
      <c r="L958" s="1"/>
      <c r="M958" s="3"/>
      <c r="N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3"/>
      <c r="D959" s="3"/>
      <c r="E959" s="3"/>
      <c r="F959" s="3"/>
      <c r="G959" s="3"/>
      <c r="H959" s="3"/>
      <c r="I959" s="3"/>
      <c r="J959" s="1"/>
      <c r="K959" s="1"/>
      <c r="L959" s="1"/>
      <c r="M959" s="3"/>
      <c r="N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3"/>
      <c r="D960" s="3"/>
      <c r="E960" s="3"/>
      <c r="F960" s="3"/>
      <c r="G960" s="3"/>
      <c r="H960" s="3"/>
      <c r="I960" s="3"/>
      <c r="J960" s="1"/>
      <c r="K960" s="1"/>
      <c r="L960" s="1"/>
      <c r="M960" s="3"/>
      <c r="N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3"/>
      <c r="D961" s="3"/>
      <c r="E961" s="3"/>
      <c r="F961" s="3"/>
      <c r="G961" s="3"/>
      <c r="H961" s="3"/>
      <c r="I961" s="3"/>
      <c r="J961" s="1"/>
      <c r="K961" s="1"/>
      <c r="L961" s="1"/>
      <c r="M961" s="3"/>
      <c r="N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3"/>
      <c r="D962" s="3"/>
      <c r="E962" s="3"/>
      <c r="F962" s="3"/>
      <c r="G962" s="3"/>
      <c r="H962" s="3"/>
      <c r="I962" s="3"/>
      <c r="J962" s="1"/>
      <c r="K962" s="1"/>
      <c r="L962" s="1"/>
      <c r="M962" s="3"/>
      <c r="N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3"/>
      <c r="D963" s="3"/>
      <c r="E963" s="3"/>
      <c r="F963" s="3"/>
      <c r="G963" s="3"/>
      <c r="H963" s="3"/>
      <c r="I963" s="3"/>
      <c r="J963" s="1"/>
      <c r="K963" s="1"/>
      <c r="L963" s="1"/>
      <c r="M963" s="3"/>
      <c r="N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3"/>
      <c r="D964" s="3"/>
      <c r="E964" s="3"/>
      <c r="F964" s="3"/>
      <c r="G964" s="3"/>
      <c r="H964" s="3"/>
      <c r="I964" s="3"/>
      <c r="J964" s="1"/>
      <c r="K964" s="1"/>
      <c r="L964" s="1"/>
      <c r="M964" s="3"/>
      <c r="N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</sheetData>
  <mergeCells count="12">
    <mergeCell ref="C29:G29"/>
    <mergeCell ref="H29:L29"/>
    <mergeCell ref="H49:J49"/>
    <mergeCell ref="B53:E53"/>
    <mergeCell ref="B2:Q2"/>
    <mergeCell ref="B3:B4"/>
    <mergeCell ref="C3:G3"/>
    <mergeCell ref="H3:L3"/>
    <mergeCell ref="M3:Q3"/>
    <mergeCell ref="B27:Q27"/>
    <mergeCell ref="B29:B30"/>
    <mergeCell ref="M29:Q2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6.0"/>
    <col customWidth="1" min="3" max="5" width="11.29"/>
    <col customWidth="1" min="6" max="7" width="13.29"/>
    <col customWidth="1" min="8" max="10" width="11.29"/>
    <col customWidth="1" min="11" max="12" width="13.29"/>
    <col customWidth="1" min="13" max="14" width="11.29"/>
    <col customWidth="1" min="15" max="15" width="12.29"/>
    <col customWidth="1" min="16" max="16" width="14.0"/>
    <col customWidth="1" min="17" max="17" width="13.86"/>
    <col customWidth="1" min="18" max="26" width="9.14"/>
  </cols>
  <sheetData>
    <row r="1">
      <c r="A1" s="1"/>
      <c r="B1" s="1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6" t="s">
        <v>6</v>
      </c>
      <c r="C3" s="25" t="s">
        <v>9</v>
      </c>
      <c r="D3" s="27"/>
      <c r="E3" s="27"/>
      <c r="F3" s="27"/>
      <c r="G3" s="28"/>
      <c r="H3" s="25" t="s">
        <v>15</v>
      </c>
      <c r="I3" s="27"/>
      <c r="J3" s="27"/>
      <c r="K3" s="27"/>
      <c r="L3" s="28"/>
      <c r="M3" s="32" t="s">
        <v>3</v>
      </c>
      <c r="N3" s="27"/>
      <c r="O3" s="27"/>
      <c r="P3" s="27"/>
      <c r="Q3" s="28"/>
      <c r="R3" s="1"/>
      <c r="S3" s="35"/>
      <c r="T3" s="35"/>
      <c r="U3" s="35"/>
      <c r="V3" s="35"/>
      <c r="W3" s="35"/>
      <c r="X3" s="35"/>
      <c r="Y3" s="35"/>
      <c r="Z3" s="35"/>
    </row>
    <row r="4" ht="33.0" customHeight="1">
      <c r="A4" s="1"/>
      <c r="B4" s="38"/>
      <c r="C4" s="39" t="s">
        <v>27</v>
      </c>
      <c r="D4" s="41" t="s">
        <v>30</v>
      </c>
      <c r="E4" s="41" t="s">
        <v>31</v>
      </c>
      <c r="F4" s="41" t="s">
        <v>32</v>
      </c>
      <c r="G4" s="43" t="s">
        <v>34</v>
      </c>
      <c r="H4" s="39" t="s">
        <v>27</v>
      </c>
      <c r="I4" s="41" t="s">
        <v>30</v>
      </c>
      <c r="J4" s="41" t="s">
        <v>31</v>
      </c>
      <c r="K4" s="41" t="s">
        <v>32</v>
      </c>
      <c r="L4" s="43" t="s">
        <v>34</v>
      </c>
      <c r="M4" s="39" t="s">
        <v>27</v>
      </c>
      <c r="N4" s="41" t="s">
        <v>30</v>
      </c>
      <c r="O4" s="41" t="s">
        <v>36</v>
      </c>
      <c r="P4" s="41" t="s">
        <v>38</v>
      </c>
      <c r="Q4" s="43" t="s">
        <v>39</v>
      </c>
      <c r="R4" s="1"/>
      <c r="S4" s="35"/>
      <c r="T4" s="35"/>
      <c r="U4" s="35"/>
      <c r="V4" s="35"/>
      <c r="W4" s="35"/>
      <c r="X4" s="35"/>
      <c r="Y4" s="35"/>
      <c r="Z4" s="35"/>
    </row>
    <row r="5" ht="15.0" customHeight="1">
      <c r="A5" s="1"/>
      <c r="B5" s="48" t="s">
        <v>40</v>
      </c>
      <c r="C5" s="52">
        <f>'Matriz senha_capital OK'!B104/1000</f>
        <v>5430.43292</v>
      </c>
      <c r="D5" s="57">
        <f>'Matriz senha_capital OK'!C104/1000</f>
        <v>5715.35098</v>
      </c>
      <c r="E5" s="57">
        <f>'Matriz senha_capital OK'!D104/1000</f>
        <v>6126.79</v>
      </c>
      <c r="F5" s="60">
        <f t="shared" ref="F5:F7" si="1">IFERROR(E5/D5-1," ")</f>
        <v>0.07198840831</v>
      </c>
      <c r="G5" s="62">
        <f t="shared" ref="G5:G19" si="2">IFERROR(E5/C5-1," ")</f>
        <v>0.1282323325</v>
      </c>
      <c r="H5" s="52">
        <f>'Matriz senha_capital OK'!F104/1000</f>
        <v>35942.30937</v>
      </c>
      <c r="I5" s="57">
        <f>'Matriz senha_capital OK'!G104/1000</f>
        <v>39082.61778</v>
      </c>
      <c r="J5" s="57">
        <f>'Matriz senha_capital OK'!H104/1000</f>
        <v>39924.89497</v>
      </c>
      <c r="K5" s="60">
        <f t="shared" ref="K5:K19" si="3">IFERROR(J5/I5-1," ")</f>
        <v>0.02155119687</v>
      </c>
      <c r="L5" s="62">
        <f t="shared" ref="L5:L19" si="4">IFERROR(J5/H5-1," ")</f>
        <v>0.1108049446</v>
      </c>
      <c r="M5" s="80">
        <f>'Matriz senha_capital OK'!J104/1000</f>
        <v>63033.15652</v>
      </c>
      <c r="N5" s="57">
        <f>'Matriz senha_capital OK'!K104/1000</f>
        <v>68326.4373</v>
      </c>
      <c r="O5" s="87">
        <f>'Matriz senha_capital OK'!L104/1000</f>
        <v>69704.86779</v>
      </c>
      <c r="P5" s="60">
        <f t="shared" ref="P5:P7" si="5">IFERROR(O5/N5-1," ")</f>
        <v>0.02017418944</v>
      </c>
      <c r="Q5" s="62">
        <f t="shared" ref="Q5:Q19" si="6">IFERROR(O5/M5-1," ")</f>
        <v>0.1058444736</v>
      </c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48" t="s">
        <v>71</v>
      </c>
      <c r="C6" s="52">
        <f>'Matriz senha_capital OK'!B105/1000</f>
        <v>-198.2108</v>
      </c>
      <c r="D6" s="57">
        <f>'Matriz senha_capital OK'!C105/1000</f>
        <v>-208.61031</v>
      </c>
      <c r="E6" s="57">
        <f>'Matriz senha_capital OK'!D105/1000</f>
        <v>-223.62784</v>
      </c>
      <c r="F6" s="60">
        <f t="shared" si="1"/>
        <v>0.07198843624</v>
      </c>
      <c r="G6" s="62">
        <f t="shared" si="2"/>
        <v>0.1282323668</v>
      </c>
      <c r="H6" s="52">
        <f>'Matriz senha_capital OK'!F105/1000</f>
        <v>-1465.18557</v>
      </c>
      <c r="I6" s="57">
        <f>'Matriz senha_capital OK'!G105/1000</f>
        <v>-1426.51555</v>
      </c>
      <c r="J6" s="57">
        <f>'Matriz senha_capital OK'!H105/1000</f>
        <v>-1457.25864</v>
      </c>
      <c r="K6" s="60">
        <f t="shared" si="3"/>
        <v>0.02155117762</v>
      </c>
      <c r="L6" s="62">
        <f t="shared" si="4"/>
        <v>-0.005410188417</v>
      </c>
      <c r="M6" s="80">
        <f>'Matriz senha_capital OK'!J105/1000</f>
        <v>-2455.084</v>
      </c>
      <c r="N6" s="57">
        <f>'Matriz senha_capital OK'!K105/1000</f>
        <v>-2493.91496</v>
      </c>
      <c r="O6" s="87">
        <f>'Matriz senha_capital OK'!L105/1000</f>
        <v>-2544.22765</v>
      </c>
      <c r="P6" s="60">
        <f t="shared" si="5"/>
        <v>0.02017418028</v>
      </c>
      <c r="Q6" s="62">
        <f t="shared" si="6"/>
        <v>0.03630981669</v>
      </c>
      <c r="R6" s="1"/>
      <c r="S6" s="111"/>
      <c r="T6" s="1"/>
      <c r="U6" s="1"/>
      <c r="V6" s="1"/>
      <c r="W6" s="1"/>
      <c r="X6" s="1"/>
      <c r="Y6" s="1"/>
      <c r="Z6" s="1"/>
    </row>
    <row r="7" ht="15.0" customHeight="1">
      <c r="A7" s="1"/>
      <c r="B7" s="113" t="s">
        <v>85</v>
      </c>
      <c r="C7" s="52">
        <f>'Matriz senha_capital OK'!B106/1000</f>
        <v>5232.22212</v>
      </c>
      <c r="D7" s="120">
        <f t="shared" ref="D7:E7" si="7">D5+D6</f>
        <v>5506.74067</v>
      </c>
      <c r="E7" s="120">
        <f t="shared" si="7"/>
        <v>5903.16216</v>
      </c>
      <c r="F7" s="60">
        <f t="shared" si="1"/>
        <v>0.07198840726</v>
      </c>
      <c r="G7" s="62">
        <f t="shared" si="2"/>
        <v>0.1282323312</v>
      </c>
      <c r="H7" s="52">
        <f>'Matriz senha_capital OK'!F106/1000</f>
        <v>34477.1238</v>
      </c>
      <c r="I7" s="120">
        <f>I5+I6</f>
        <v>37656.10223</v>
      </c>
      <c r="J7" s="57">
        <f>'Matriz senha_capital OK'!H106/1000</f>
        <v>38467.63633</v>
      </c>
      <c r="K7" s="60">
        <f t="shared" si="3"/>
        <v>0.0215511976</v>
      </c>
      <c r="L7" s="62">
        <f t="shared" si="4"/>
        <v>0.115743777</v>
      </c>
      <c r="M7" s="80">
        <f>'Matriz senha_capital OK'!J106/1000</f>
        <v>60578.07252</v>
      </c>
      <c r="N7" s="57">
        <f>'Matriz senha_capital OK'!K106/1000</f>
        <v>65832.52234</v>
      </c>
      <c r="O7" s="87">
        <f>'Matriz senha_capital OK'!L106/1000</f>
        <v>67160.64014</v>
      </c>
      <c r="P7" s="60">
        <f t="shared" si="5"/>
        <v>0.02017418979</v>
      </c>
      <c r="Q7" s="62">
        <f t="shared" si="6"/>
        <v>0.1086625465</v>
      </c>
      <c r="R7" s="1"/>
      <c r="S7" s="111"/>
      <c r="T7" s="1"/>
      <c r="U7" s="1"/>
      <c r="V7" s="1"/>
      <c r="W7" s="1"/>
      <c r="X7" s="1"/>
      <c r="Y7" s="1"/>
      <c r="Z7" s="1"/>
    </row>
    <row r="8" ht="15.0" customHeight="1">
      <c r="A8" s="1"/>
      <c r="B8" s="48" t="s">
        <v>73</v>
      </c>
      <c r="C8" s="146">
        <f>'Matriz senha_capital OK'!B107/1000</f>
        <v>0</v>
      </c>
      <c r="D8" s="146">
        <f>'Matriz senha_capital OK'!C107/1000</f>
        <v>0</v>
      </c>
      <c r="E8" s="146">
        <f>'Matriz senha_capital OK'!D107/1000</f>
        <v>0</v>
      </c>
      <c r="F8" s="146">
        <v>0.0</v>
      </c>
      <c r="G8" s="62" t="str">
        <f t="shared" si="2"/>
        <v> </v>
      </c>
      <c r="H8" s="52">
        <f>'Matriz senha_capital OK'!F107/1000</f>
        <v>-75.10715</v>
      </c>
      <c r="I8" s="146">
        <f>'Matriz senha_capital OK'!G107/1000</f>
        <v>0</v>
      </c>
      <c r="J8" s="146">
        <f>'Matriz senha_capital OK'!H107/1000</f>
        <v>0</v>
      </c>
      <c r="K8" s="146" t="str">
        <f t="shared" si="3"/>
        <v> </v>
      </c>
      <c r="L8" s="62">
        <f t="shared" si="4"/>
        <v>-1</v>
      </c>
      <c r="M8" s="80">
        <v>-75.0</v>
      </c>
      <c r="N8" s="146">
        <f>'Matriz senha_capital OK'!M107/1000</f>
        <v>0</v>
      </c>
      <c r="O8" s="146">
        <f>'Matriz senha_capital OK'!N107/1000</f>
        <v>0</v>
      </c>
      <c r="P8" s="146">
        <v>0.0</v>
      </c>
      <c r="Q8" s="62">
        <f t="shared" si="6"/>
        <v>-1</v>
      </c>
      <c r="R8" s="1"/>
      <c r="S8" s="111"/>
      <c r="T8" s="1"/>
      <c r="U8" s="1"/>
      <c r="V8" s="1"/>
      <c r="W8" s="1"/>
      <c r="X8" s="1"/>
      <c r="Y8" s="1"/>
      <c r="Z8" s="1"/>
    </row>
    <row r="9" ht="15.0" customHeight="1">
      <c r="A9" s="1"/>
      <c r="B9" s="48" t="s">
        <v>75</v>
      </c>
      <c r="C9" s="157">
        <f t="shared" ref="C9:E9" si="8">C7+C8</f>
        <v>5232.22212</v>
      </c>
      <c r="D9" s="120">
        <f t="shared" si="8"/>
        <v>5506.74067</v>
      </c>
      <c r="E9" s="57">
        <f t="shared" si="8"/>
        <v>5903.16216</v>
      </c>
      <c r="F9" s="60">
        <f t="shared" ref="F9:F19" si="11">IFERROR(E9/D9-1," ")</f>
        <v>0.07198840726</v>
      </c>
      <c r="G9" s="62">
        <f t="shared" si="2"/>
        <v>0.1282323312</v>
      </c>
      <c r="H9" s="157">
        <f t="shared" ref="H9:I9" si="9">H7+H8</f>
        <v>34402.01665</v>
      </c>
      <c r="I9" s="120">
        <f t="shared" si="9"/>
        <v>37656.10223</v>
      </c>
      <c r="J9" s="57">
        <f>'Matriz senha_capital OK'!H108/1000</f>
        <v>38467.63633</v>
      </c>
      <c r="K9" s="60">
        <f t="shared" si="3"/>
        <v>0.0215511976</v>
      </c>
      <c r="L9" s="62">
        <f t="shared" si="4"/>
        <v>0.1181796905</v>
      </c>
      <c r="M9" s="157">
        <f t="shared" ref="M9:O9" si="10">M7+M8</f>
        <v>60503.07252</v>
      </c>
      <c r="N9" s="57">
        <f t="shared" si="10"/>
        <v>65832.52234</v>
      </c>
      <c r="O9" s="120">
        <f t="shared" si="10"/>
        <v>67160.64014</v>
      </c>
      <c r="P9" s="60">
        <f t="shared" ref="P9:P19" si="12">IFERROR(O9/N9-1," ")</f>
        <v>0.02017418979</v>
      </c>
      <c r="Q9" s="62">
        <f t="shared" si="6"/>
        <v>0.1100368517</v>
      </c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48" t="s">
        <v>77</v>
      </c>
      <c r="C10" s="52">
        <f>'Matriz senha_capital OK'!B109/1000</f>
        <v>-1147.16672</v>
      </c>
      <c r="D10" s="57">
        <f>'Matriz senha_capital OK'!C109/1000</f>
        <v>-1033.65495</v>
      </c>
      <c r="E10" s="57">
        <f>'Matriz senha_capital OK'!D109/1000</f>
        <v>-928.21331</v>
      </c>
      <c r="F10" s="60">
        <f t="shared" si="11"/>
        <v>-0.1020085474</v>
      </c>
      <c r="G10" s="62">
        <f t="shared" si="2"/>
        <v>-0.1908645066</v>
      </c>
      <c r="H10" s="57">
        <f>'Matriz senha_capital OK'!F109/1000</f>
        <v>-5926.34962</v>
      </c>
      <c r="I10" s="57">
        <f>'Matriz senha_capital OK'!G109/1000</f>
        <v>-6878.18158</v>
      </c>
      <c r="J10" s="57">
        <f>'Matriz senha_capital OK'!H109/1000</f>
        <v>-6069.5643</v>
      </c>
      <c r="K10" s="60">
        <f t="shared" si="3"/>
        <v>-0.1175626538</v>
      </c>
      <c r="L10" s="62">
        <f t="shared" si="4"/>
        <v>0.02416574944</v>
      </c>
      <c r="M10" s="80">
        <f>'Matriz senha_capital OK'!J109/1000</f>
        <v>-11415.79819</v>
      </c>
      <c r="N10" s="87">
        <f>'Matriz senha_capital OK'!K109/1000</f>
        <v>-11439.17423</v>
      </c>
      <c r="O10" s="87">
        <f>'Matriz senha_capital OK'!L109/1000</f>
        <v>-11448.49256</v>
      </c>
      <c r="P10" s="60">
        <f t="shared" si="12"/>
        <v>0.0008145981356</v>
      </c>
      <c r="Q10" s="62">
        <f t="shared" si="6"/>
        <v>0.002863958302</v>
      </c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65"/>
      <c r="B11" s="166" t="s">
        <v>80</v>
      </c>
      <c r="C11" s="168">
        <f t="shared" ref="C11:E11" si="13">C9+C10</f>
        <v>4085.0554</v>
      </c>
      <c r="D11" s="169">
        <f t="shared" si="13"/>
        <v>4473.08572</v>
      </c>
      <c r="E11" s="169">
        <f t="shared" si="13"/>
        <v>4974.94885</v>
      </c>
      <c r="F11" s="170">
        <f t="shared" si="11"/>
        <v>0.1121961799</v>
      </c>
      <c r="G11" s="172">
        <f t="shared" si="2"/>
        <v>0.2178412195</v>
      </c>
      <c r="H11" s="168">
        <f t="shared" ref="H11:J11" si="14">H9+H10</f>
        <v>28475.66703</v>
      </c>
      <c r="I11" s="169">
        <f t="shared" si="14"/>
        <v>30777.92065</v>
      </c>
      <c r="J11" s="169">
        <f t="shared" si="14"/>
        <v>32398.07203</v>
      </c>
      <c r="K11" s="170">
        <f t="shared" si="3"/>
        <v>0.05264005319</v>
      </c>
      <c r="L11" s="172">
        <f t="shared" si="4"/>
        <v>0.1377458514</v>
      </c>
      <c r="M11" s="168">
        <f t="shared" ref="M11:O11" si="15">M9+M10</f>
        <v>49087.27433</v>
      </c>
      <c r="N11" s="169">
        <f t="shared" si="15"/>
        <v>54393.34811</v>
      </c>
      <c r="O11" s="169">
        <f t="shared" si="15"/>
        <v>55712.14758</v>
      </c>
      <c r="P11" s="170">
        <f t="shared" si="12"/>
        <v>0.02424560201</v>
      </c>
      <c r="Q11" s="172">
        <f t="shared" si="6"/>
        <v>0.1349611145</v>
      </c>
      <c r="R11" s="165"/>
      <c r="S11" s="173"/>
      <c r="T11" s="173"/>
      <c r="U11" s="173"/>
      <c r="V11" s="173"/>
      <c r="W11" s="173"/>
      <c r="X11" s="173"/>
      <c r="Y11" s="173"/>
      <c r="Z11" s="173"/>
    </row>
    <row r="12" ht="15.0" customHeight="1">
      <c r="A12" s="1"/>
      <c r="B12" s="48" t="s">
        <v>82</v>
      </c>
      <c r="C12" s="80">
        <f>'Matriz senha_capital OK'!B111/1000</f>
        <v>-418.15369</v>
      </c>
      <c r="D12" s="57">
        <f>'Matriz senha_capital OK'!C111/1000</f>
        <v>-468.14301</v>
      </c>
      <c r="E12" s="57">
        <f>'Matriz senha_capital OK'!D111/1000</f>
        <v>-436.85704</v>
      </c>
      <c r="F12" s="60">
        <f t="shared" si="11"/>
        <v>-0.06682994156</v>
      </c>
      <c r="G12" s="62">
        <f t="shared" si="2"/>
        <v>0.04472841074</v>
      </c>
      <c r="H12" s="57">
        <f>'Matriz senha_capital OK'!F111/1000</f>
        <v>-2118.73955</v>
      </c>
      <c r="I12" s="57">
        <f>'Matriz senha_capital OK'!G111/1000</f>
        <v>-3160.5392</v>
      </c>
      <c r="J12" s="57">
        <f>'Matriz senha_capital OK'!H111/1000</f>
        <v>-2996.90214</v>
      </c>
      <c r="K12" s="60">
        <f t="shared" si="3"/>
        <v>-0.05177504522</v>
      </c>
      <c r="L12" s="62">
        <f t="shared" si="4"/>
        <v>0.4144740631</v>
      </c>
      <c r="M12" s="80">
        <f>'Matriz senha_capital OK'!J111/1000</f>
        <v>-4218.93553</v>
      </c>
      <c r="N12" s="87">
        <f>'Matriz senha_capital OK'!K111/1000</f>
        <v>-5667.34627</v>
      </c>
      <c r="O12" s="87">
        <f>'Matriz senha_capital OK'!L111/1000</f>
        <v>-5410.21666</v>
      </c>
      <c r="P12" s="60">
        <f t="shared" si="12"/>
        <v>-0.04537037226</v>
      </c>
      <c r="Q12" s="62">
        <f t="shared" si="6"/>
        <v>0.2823653316</v>
      </c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8" t="s">
        <v>83</v>
      </c>
      <c r="C13" s="157">
        <f t="shared" ref="C13:E13" si="16">C11+C12</f>
        <v>3666.90171</v>
      </c>
      <c r="D13" s="120">
        <f t="shared" si="16"/>
        <v>4004.94271</v>
      </c>
      <c r="E13" s="120">
        <f t="shared" si="16"/>
        <v>4538.09181</v>
      </c>
      <c r="F13" s="60">
        <f t="shared" si="11"/>
        <v>0.1331227782</v>
      </c>
      <c r="G13" s="62">
        <f t="shared" si="2"/>
        <v>0.2375820703</v>
      </c>
      <c r="H13" s="80">
        <f t="shared" ref="H13:J13" si="17">H11+H12</f>
        <v>26356.92748</v>
      </c>
      <c r="I13" s="87">
        <f t="shared" si="17"/>
        <v>27617.38145</v>
      </c>
      <c r="J13" s="87">
        <f t="shared" si="17"/>
        <v>29401.16989</v>
      </c>
      <c r="K13" s="60">
        <f t="shared" si="3"/>
        <v>0.06458933999</v>
      </c>
      <c r="L13" s="62">
        <f t="shared" si="4"/>
        <v>0.1155006558</v>
      </c>
      <c r="M13" s="157">
        <f t="shared" ref="M13:O13" si="18">M11+M12</f>
        <v>44868.3388</v>
      </c>
      <c r="N13" s="120">
        <f t="shared" si="18"/>
        <v>48726.00184</v>
      </c>
      <c r="O13" s="120">
        <f t="shared" si="18"/>
        <v>50301.93092</v>
      </c>
      <c r="P13" s="60">
        <f t="shared" si="12"/>
        <v>0.03234267168</v>
      </c>
      <c r="Q13" s="62">
        <f t="shared" si="6"/>
        <v>0.1211008088</v>
      </c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8" t="s">
        <v>84</v>
      </c>
      <c r="C14" s="52">
        <f>C15+C16</f>
        <v>261.44248</v>
      </c>
      <c r="D14" s="57">
        <f>'Matriz senha_capital OK'!C113/1000</f>
        <v>46.67786</v>
      </c>
      <c r="E14" s="57">
        <f>'Matriz senha_capital OK'!D113/1000</f>
        <v>148.46575</v>
      </c>
      <c r="F14" s="60">
        <f t="shared" si="11"/>
        <v>2.180646028</v>
      </c>
      <c r="G14" s="62">
        <f t="shared" si="2"/>
        <v>-0.4321284361</v>
      </c>
      <c r="H14" s="57">
        <f t="shared" ref="H14:J14" si="19">H15+H16</f>
        <v>1823.13871</v>
      </c>
      <c r="I14" s="57">
        <f t="shared" si="19"/>
        <v>325.64952</v>
      </c>
      <c r="J14" s="57">
        <f t="shared" si="19"/>
        <v>766.17974</v>
      </c>
      <c r="K14" s="60">
        <f t="shared" si="3"/>
        <v>1.35277405</v>
      </c>
      <c r="L14" s="62">
        <f t="shared" si="4"/>
        <v>-0.5797468751</v>
      </c>
      <c r="M14" s="80">
        <f t="shared" ref="M14:O14" si="20">M16+M15</f>
        <v>2687.77221</v>
      </c>
      <c r="N14" s="87">
        <f t="shared" si="20"/>
        <v>598.75397</v>
      </c>
      <c r="O14" s="87">
        <f t="shared" si="20"/>
        <v>932.25843</v>
      </c>
      <c r="P14" s="60">
        <f t="shared" si="12"/>
        <v>0.5569974926</v>
      </c>
      <c r="Q14" s="62">
        <f t="shared" si="6"/>
        <v>-0.653148274</v>
      </c>
      <c r="R14" s="1"/>
      <c r="S14" s="192">
        <v>37222.00711</v>
      </c>
      <c r="T14" s="1"/>
      <c r="U14" s="1"/>
      <c r="V14" s="1"/>
      <c r="W14" s="1"/>
      <c r="X14" s="1"/>
      <c r="Y14" s="1"/>
      <c r="Z14" s="1"/>
    </row>
    <row r="15" ht="15.0" customHeight="1">
      <c r="A15" s="1"/>
      <c r="B15" s="48" t="s">
        <v>118</v>
      </c>
      <c r="C15" s="57">
        <f>'Matriz senha_capital OK'!B114/1000</f>
        <v>290.21771</v>
      </c>
      <c r="D15" s="57">
        <f>'Matriz senha_capital OK'!C114/1000</f>
        <v>65.4437</v>
      </c>
      <c r="E15" s="57">
        <f>'Matriz senha_capital OK'!D114/1000</f>
        <v>166.96791</v>
      </c>
      <c r="F15" s="60">
        <f t="shared" si="11"/>
        <v>1.551321365</v>
      </c>
      <c r="G15" s="62">
        <f t="shared" si="2"/>
        <v>-0.4246804924</v>
      </c>
      <c r="H15" s="57">
        <f>'Matriz senha_capital OK'!F114/1000</f>
        <v>2156.35306</v>
      </c>
      <c r="I15" s="57">
        <f>'Matriz senha_capital OK'!G114/1000</f>
        <v>465.44533</v>
      </c>
      <c r="J15" s="57">
        <f>'Matriz senha_capital OK'!H114/1000</f>
        <v>908.45988</v>
      </c>
      <c r="K15" s="60">
        <f t="shared" si="3"/>
        <v>0.9518079169</v>
      </c>
      <c r="L15" s="62">
        <f t="shared" si="4"/>
        <v>-0.5787054092</v>
      </c>
      <c r="M15" s="157">
        <f>'Matriz senha_capital OK'!J114/1000</f>
        <v>3135.24332</v>
      </c>
      <c r="N15" s="120">
        <f>'Matriz senha_capital OK'!K114/1000</f>
        <v>825.71263</v>
      </c>
      <c r="O15" s="120">
        <f>'Matriz senha_capital OK'!L114/1000</f>
        <v>1161.70142</v>
      </c>
      <c r="P15" s="60">
        <f t="shared" si="12"/>
        <v>0.406907655</v>
      </c>
      <c r="Q15" s="62">
        <f t="shared" si="6"/>
        <v>-0.6294700917</v>
      </c>
      <c r="R15" s="1"/>
      <c r="S15" s="64">
        <v>382.0</v>
      </c>
      <c r="T15" s="1"/>
      <c r="U15" s="1"/>
      <c r="V15" s="1"/>
      <c r="W15" s="1"/>
      <c r="X15" s="1"/>
      <c r="Y15" s="1"/>
      <c r="Z15" s="1"/>
    </row>
    <row r="16" ht="15.0" customHeight="1">
      <c r="A16" s="1"/>
      <c r="B16" s="48" t="s">
        <v>121</v>
      </c>
      <c r="C16" s="57">
        <f>'Matriz senha_capital OK'!B115/1000</f>
        <v>-28.77523</v>
      </c>
      <c r="D16" s="57">
        <f>'Matriz senha_capital OK'!C115/1000</f>
        <v>-18.76584</v>
      </c>
      <c r="E16" s="57">
        <f>'Matriz senha_capital OK'!D115/1000</f>
        <v>-18.50216</v>
      </c>
      <c r="F16" s="60">
        <f t="shared" si="11"/>
        <v>-0.014051063</v>
      </c>
      <c r="G16" s="62">
        <f t="shared" si="2"/>
        <v>-0.3570108736</v>
      </c>
      <c r="H16" s="57">
        <f>'Matriz senha_capital OK'!F115/1000</f>
        <v>-333.21435</v>
      </c>
      <c r="I16" s="57">
        <f>'Matriz senha_capital OK'!G115/1000</f>
        <v>-139.79581</v>
      </c>
      <c r="J16" s="57">
        <f>'Matriz senha_capital OK'!H115/1000</f>
        <v>-142.28014</v>
      </c>
      <c r="K16" s="60">
        <f t="shared" si="3"/>
        <v>0.01777113348</v>
      </c>
      <c r="L16" s="62">
        <f t="shared" si="4"/>
        <v>-0.5730071649</v>
      </c>
      <c r="M16" s="80">
        <f>'Matriz senha_capital OK'!J115/1000</f>
        <v>-447.47111</v>
      </c>
      <c r="N16" s="87">
        <f>'Matriz senha_capital OK'!K115/1000</f>
        <v>-226.95866</v>
      </c>
      <c r="O16" s="87">
        <f>'Matriz senha_capital OK'!L115/1000</f>
        <v>-229.44299</v>
      </c>
      <c r="P16" s="60">
        <f t="shared" si="12"/>
        <v>0.01094617848</v>
      </c>
      <c r="Q16" s="62">
        <f t="shared" si="6"/>
        <v>-0.4872451319</v>
      </c>
      <c r="R16" s="1"/>
      <c r="S16" s="64">
        <v>-168.0</v>
      </c>
      <c r="T16" s="1"/>
      <c r="U16" s="1"/>
      <c r="V16" s="1"/>
      <c r="W16" s="1"/>
      <c r="X16" s="1"/>
      <c r="Y16" s="1"/>
      <c r="Z16" s="1"/>
    </row>
    <row r="17" ht="15.0" customHeight="1">
      <c r="A17" s="1"/>
      <c r="B17" s="48" t="s">
        <v>86</v>
      </c>
      <c r="C17" s="157">
        <f t="shared" ref="C17:E17" si="21">C13+C14</f>
        <v>3928.34419</v>
      </c>
      <c r="D17" s="120">
        <f t="shared" si="21"/>
        <v>4051.62057</v>
      </c>
      <c r="E17" s="120">
        <f t="shared" si="21"/>
        <v>4686.55756</v>
      </c>
      <c r="F17" s="60">
        <f t="shared" si="11"/>
        <v>0.1567118586</v>
      </c>
      <c r="G17" s="62">
        <f t="shared" si="2"/>
        <v>0.1930109312</v>
      </c>
      <c r="H17" s="157">
        <f t="shared" ref="H17:J17" si="22">H13+H14</f>
        <v>28180.06619</v>
      </c>
      <c r="I17" s="120">
        <f t="shared" si="22"/>
        <v>27943.03097</v>
      </c>
      <c r="J17" s="120">
        <f t="shared" si="22"/>
        <v>30167.34963</v>
      </c>
      <c r="K17" s="60">
        <f t="shared" si="3"/>
        <v>0.07960191084</v>
      </c>
      <c r="L17" s="62">
        <f t="shared" si="4"/>
        <v>0.07052089327</v>
      </c>
      <c r="M17" s="157">
        <f t="shared" ref="M17:O17" si="23">M13+M14</f>
        <v>47556.11101</v>
      </c>
      <c r="N17" s="120">
        <f t="shared" si="23"/>
        <v>49324.75581</v>
      </c>
      <c r="O17" s="120">
        <f t="shared" si="23"/>
        <v>51234.18935</v>
      </c>
      <c r="P17" s="60">
        <f t="shared" si="12"/>
        <v>0.03871146463</v>
      </c>
      <c r="Q17" s="62">
        <f t="shared" si="6"/>
        <v>0.07734186547</v>
      </c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8" t="s">
        <v>87</v>
      </c>
      <c r="C18" s="80">
        <f>'Matriz senha_capital OK'!B117/1000</f>
        <v>-687.93352</v>
      </c>
      <c r="D18" s="57">
        <f>'Matriz senha_capital OK'!C117/1000</f>
        <v>-705.80683</v>
      </c>
      <c r="E18" s="57">
        <f>'Matriz senha_capital OK'!D117/1000</f>
        <v>-774.85172</v>
      </c>
      <c r="F18" s="60">
        <f t="shared" si="11"/>
        <v>0.09782406044</v>
      </c>
      <c r="G18" s="62">
        <f t="shared" si="2"/>
        <v>0.1263468017</v>
      </c>
      <c r="H18" s="57">
        <f>'Matriz senha_capital OK'!F117/1000</f>
        <v>-4593.47362</v>
      </c>
      <c r="I18" s="57">
        <f>'Matriz senha_capital OK'!G117/1000</f>
        <v>-4832.53251</v>
      </c>
      <c r="J18" s="57">
        <f>'Matriz senha_capital OK'!H117/1000</f>
        <v>-5025.13165</v>
      </c>
      <c r="K18" s="60">
        <f t="shared" si="3"/>
        <v>0.03985470136</v>
      </c>
      <c r="L18" s="62">
        <f t="shared" si="4"/>
        <v>0.09397202764</v>
      </c>
      <c r="M18" s="80">
        <f>'Matriz senha_capital OK'!J117/1000</f>
        <v>-7868.48052</v>
      </c>
      <c r="N18" s="87">
        <f>'Matriz senha_capital OK'!K117/1000</f>
        <v>-8452.58422</v>
      </c>
      <c r="O18" s="87">
        <f>'Matriz senha_capital OK'!L117/1000</f>
        <v>-8672.91854</v>
      </c>
      <c r="P18" s="60">
        <f t="shared" si="12"/>
        <v>0.02606709549</v>
      </c>
      <c r="Q18" s="62">
        <f t="shared" si="6"/>
        <v>0.1022354974</v>
      </c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13" t="s">
        <v>125</v>
      </c>
      <c r="C19" s="157">
        <f t="shared" ref="C19:E19" si="24">C17+C18</f>
        <v>3240.41067</v>
      </c>
      <c r="D19" s="120">
        <f t="shared" si="24"/>
        <v>3345.81374</v>
      </c>
      <c r="E19" s="120">
        <f t="shared" si="24"/>
        <v>3911.70584</v>
      </c>
      <c r="F19" s="60">
        <f t="shared" si="11"/>
        <v>0.1691343703</v>
      </c>
      <c r="G19" s="62">
        <f t="shared" si="2"/>
        <v>0.2071636093</v>
      </c>
      <c r="H19" s="157">
        <f t="shared" ref="H19:J19" si="25">H17+H18</f>
        <v>23586.59257</v>
      </c>
      <c r="I19" s="120">
        <f t="shared" si="25"/>
        <v>23110.49846</v>
      </c>
      <c r="J19" s="87">
        <f t="shared" si="25"/>
        <v>25142.21798</v>
      </c>
      <c r="K19" s="60">
        <f t="shared" si="3"/>
        <v>0.08791327126</v>
      </c>
      <c r="L19" s="62">
        <f t="shared" si="4"/>
        <v>0.06595380004</v>
      </c>
      <c r="M19" s="157">
        <f t="shared" ref="M19:O19" si="26">M17+M18</f>
        <v>39687.63049</v>
      </c>
      <c r="N19" s="120">
        <f t="shared" si="26"/>
        <v>40872.17159</v>
      </c>
      <c r="O19" s="120">
        <f t="shared" si="26"/>
        <v>42561.27081</v>
      </c>
      <c r="P19" s="60">
        <f t="shared" si="12"/>
        <v>0.04132638796</v>
      </c>
      <c r="Q19" s="62">
        <f t="shared" si="6"/>
        <v>0.07240644716</v>
      </c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215" t="s">
        <v>100</v>
      </c>
      <c r="C20" s="217">
        <f t="shared" ref="C20:E20" si="27">C11/C7</f>
        <v>0.7807496139</v>
      </c>
      <c r="D20" s="218">
        <f t="shared" si="27"/>
        <v>0.8122927859</v>
      </c>
      <c r="E20" s="218">
        <f t="shared" si="27"/>
        <v>0.8427599844</v>
      </c>
      <c r="F20" s="219"/>
      <c r="G20" s="220"/>
      <c r="H20" s="217">
        <f t="shared" ref="H20:J20" si="28">H11/H7</f>
        <v>0.8259293088</v>
      </c>
      <c r="I20" s="218">
        <f t="shared" si="28"/>
        <v>0.817342179</v>
      </c>
      <c r="J20" s="218">
        <f t="shared" si="28"/>
        <v>0.8422163439</v>
      </c>
      <c r="K20" s="219"/>
      <c r="L20" s="220"/>
      <c r="M20" s="217">
        <f t="shared" ref="M20:O20" si="29">M11/M7</f>
        <v>0.8103142323</v>
      </c>
      <c r="N20" s="218">
        <f t="shared" si="29"/>
        <v>0.8262382509</v>
      </c>
      <c r="O20" s="218">
        <f t="shared" si="29"/>
        <v>0.8295356844</v>
      </c>
      <c r="P20" s="219"/>
      <c r="Q20" s="220"/>
      <c r="R20" s="1"/>
      <c r="S20" s="35"/>
      <c r="T20" s="35"/>
      <c r="U20" s="35"/>
      <c r="V20" s="35"/>
      <c r="W20" s="35"/>
      <c r="X20" s="35"/>
      <c r="Y20" s="35"/>
      <c r="Z20" s="35"/>
    </row>
    <row r="21">
      <c r="A21" s="1"/>
      <c r="B21" s="1"/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3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26" t="s">
        <v>127</v>
      </c>
      <c r="C23" s="227" t="str">
        <f>C3</f>
        <v>JULHO</v>
      </c>
      <c r="D23" s="228"/>
      <c r="E23" s="228"/>
      <c r="F23" s="228"/>
      <c r="G23" s="229"/>
      <c r="H23" s="227" t="str">
        <f>H3</f>
        <v>ACUMULADO JANEIRO A JULHO</v>
      </c>
      <c r="I23" s="228"/>
      <c r="J23" s="228"/>
      <c r="K23" s="228"/>
      <c r="L23" s="229"/>
      <c r="M23" s="230" t="str">
        <f>M3</f>
        <v>RITMO</v>
      </c>
      <c r="N23" s="231"/>
      <c r="O23" s="231"/>
      <c r="P23" s="231"/>
      <c r="Q23" s="232"/>
      <c r="R23" s="1"/>
      <c r="S23" s="35"/>
      <c r="T23" s="35"/>
      <c r="U23" s="35"/>
      <c r="V23" s="35"/>
      <c r="W23" s="35"/>
      <c r="X23" s="35"/>
      <c r="Y23" s="35"/>
      <c r="Z23" s="35"/>
    </row>
    <row r="24" ht="33.75" customHeight="1">
      <c r="A24" s="1"/>
      <c r="B24" s="233"/>
      <c r="C24" s="234" t="s">
        <v>27</v>
      </c>
      <c r="D24" s="235" t="s">
        <v>30</v>
      </c>
      <c r="E24" s="236" t="s">
        <v>31</v>
      </c>
      <c r="F24" s="237" t="s">
        <v>32</v>
      </c>
      <c r="G24" s="238" t="s">
        <v>34</v>
      </c>
      <c r="H24" s="239" t="s">
        <v>27</v>
      </c>
      <c r="I24" s="240" t="s">
        <v>30</v>
      </c>
      <c r="J24" s="237" t="s">
        <v>31</v>
      </c>
      <c r="K24" s="237" t="s">
        <v>32</v>
      </c>
      <c r="L24" s="241" t="s">
        <v>34</v>
      </c>
      <c r="M24" s="234" t="s">
        <v>27</v>
      </c>
      <c r="N24" s="235" t="s">
        <v>30</v>
      </c>
      <c r="O24" s="236" t="s">
        <v>36</v>
      </c>
      <c r="P24" s="237" t="s">
        <v>38</v>
      </c>
      <c r="Q24" s="238" t="s">
        <v>39</v>
      </c>
      <c r="R24" s="1"/>
      <c r="S24" s="35"/>
      <c r="T24" s="35"/>
      <c r="U24" s="35"/>
      <c r="V24" s="35"/>
      <c r="W24" s="35"/>
      <c r="X24" s="35"/>
      <c r="Y24" s="35"/>
      <c r="Z24" s="35"/>
    </row>
    <row r="25" ht="15.0" customHeight="1">
      <c r="A25" s="1"/>
      <c r="B25" s="242" t="s">
        <v>40</v>
      </c>
      <c r="C25" s="52">
        <f>'Demercado_senha capital OK'!B110/1000</f>
        <v>2564.23984</v>
      </c>
      <c r="D25" s="57">
        <f>'Demercado_senha capital OK'!C110/1000</f>
        <v>3102.94764</v>
      </c>
      <c r="E25" s="57">
        <f>'Demercado_senha capital OK'!D110/1000</f>
        <v>3145.03032</v>
      </c>
      <c r="F25" s="244">
        <f t="shared" ref="F25:F27" si="30">IFERROR(E25/D25-1," ")</f>
        <v>0.01356216246</v>
      </c>
      <c r="G25" s="245">
        <f t="shared" ref="G25:G27" si="31">IFERROR(E25/C25-1," ")</f>
        <v>0.2264961611</v>
      </c>
      <c r="H25" s="52">
        <f>'Demercado_senha capital OK'!F110/1000</f>
        <v>15234.41118</v>
      </c>
      <c r="I25" s="57">
        <f>'Demercado_senha capital OK'!G110/1000</f>
        <v>17868.53911</v>
      </c>
      <c r="J25" s="57">
        <f>'Demercado_senha capital OK'!H110/1000</f>
        <v>18096.70716</v>
      </c>
      <c r="K25" s="60">
        <f t="shared" ref="K25:K27" si="32">IFERROR(J25/I25-1," ")</f>
        <v>0.01276926158</v>
      </c>
      <c r="L25" s="62">
        <f t="shared" ref="L25:L27" si="33">IFERROR(J25/H25-1," ")</f>
        <v>0.1878835976</v>
      </c>
      <c r="M25" s="247">
        <f>'Demercado_senha capital OK'!J110/1000</f>
        <v>31012.39454</v>
      </c>
      <c r="N25" s="248">
        <f>'Demercado_senha capital OK'!K110/1000</f>
        <v>36865.6712</v>
      </c>
      <c r="O25" s="248">
        <f>'Demercado_senha capital OK'!L110/1000</f>
        <v>37487.177</v>
      </c>
      <c r="P25" s="244">
        <f t="shared" ref="P25:P27" si="34">IFERROR(O25/N25-1," ")</f>
        <v>0.01685865955</v>
      </c>
      <c r="Q25" s="245">
        <f t="shared" ref="Q25:Q27" si="35">IFERROR(O25/M25-1," ")</f>
        <v>0.2087804749</v>
      </c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42" t="s">
        <v>71</v>
      </c>
      <c r="C26" s="52">
        <f>'Demercado_senha capital OK'!B111/1000</f>
        <v>-93.59476</v>
      </c>
      <c r="D26" s="57">
        <f>'Demercado_senha capital OK'!C111/1000</f>
        <v>-113.25759</v>
      </c>
      <c r="E26" s="57">
        <f>'Demercado_senha capital OK'!D111/1000</f>
        <v>-114.79361</v>
      </c>
      <c r="F26" s="244">
        <f t="shared" si="30"/>
        <v>0.01356218157</v>
      </c>
      <c r="G26" s="245">
        <f t="shared" si="31"/>
        <v>0.2264961201</v>
      </c>
      <c r="H26" s="52">
        <f>'Demercado_senha capital OK'!F111/1000</f>
        <v>-576.54486</v>
      </c>
      <c r="I26" s="57">
        <f>'Demercado_senha capital OK'!G111/1000</f>
        <v>-652.20168</v>
      </c>
      <c r="J26" s="57">
        <f>'Demercado_senha capital OK'!H111/1000</f>
        <v>-660.52983</v>
      </c>
      <c r="K26" s="60">
        <f t="shared" si="32"/>
        <v>0.01276928633</v>
      </c>
      <c r="L26" s="62">
        <f t="shared" si="33"/>
        <v>0.1456694454</v>
      </c>
      <c r="M26" s="247">
        <f>'Demercado_senha capital OK'!J111/1000</f>
        <v>-1152.44129</v>
      </c>
      <c r="N26" s="248">
        <f>'Demercado_senha capital OK'!K111/1000</f>
        <v>-1345.597</v>
      </c>
      <c r="O26" s="248">
        <f>'Demercado_senha capital OK'!L111/1000</f>
        <v>-1368.28198</v>
      </c>
      <c r="P26" s="244">
        <f t="shared" si="34"/>
        <v>0.01685867314</v>
      </c>
      <c r="Q26" s="245">
        <f t="shared" si="35"/>
        <v>0.187289966</v>
      </c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51" t="s">
        <v>85</v>
      </c>
      <c r="C27" s="52">
        <f t="shared" ref="C27:E27" si="36">C25+C26</f>
        <v>2470.64508</v>
      </c>
      <c r="D27" s="57">
        <f t="shared" si="36"/>
        <v>2989.69005</v>
      </c>
      <c r="E27" s="57">
        <f t="shared" si="36"/>
        <v>3030.23671</v>
      </c>
      <c r="F27" s="244">
        <f t="shared" si="30"/>
        <v>0.01356216174</v>
      </c>
      <c r="G27" s="245">
        <f t="shared" si="31"/>
        <v>0.2264961627</v>
      </c>
      <c r="H27" s="247">
        <f t="shared" ref="H27:J27" si="37">H25+H26</f>
        <v>14657.86632</v>
      </c>
      <c r="I27" s="248">
        <f t="shared" si="37"/>
        <v>17216.33743</v>
      </c>
      <c r="J27" s="57">
        <f t="shared" si="37"/>
        <v>17436.17733</v>
      </c>
      <c r="K27" s="60">
        <f t="shared" si="32"/>
        <v>0.01276926065</v>
      </c>
      <c r="L27" s="62">
        <f t="shared" si="33"/>
        <v>0.189544027</v>
      </c>
      <c r="M27" s="247">
        <f>'Demercado_senha capital OK'!J112/1000</f>
        <v>29859.95325</v>
      </c>
      <c r="N27" s="248">
        <f>'Demercado_senha capital OK'!K112/1000+1</f>
        <v>35521.0742</v>
      </c>
      <c r="O27" s="248">
        <f>'Demercado_senha capital OK'!L112/1000</f>
        <v>36118.89502</v>
      </c>
      <c r="P27" s="244">
        <f t="shared" si="34"/>
        <v>0.01683003213</v>
      </c>
      <c r="Q27" s="245">
        <f t="shared" si="35"/>
        <v>0.2096098985</v>
      </c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42" t="s">
        <v>73</v>
      </c>
      <c r="C28" s="257">
        <v>0.0</v>
      </c>
      <c r="D28" s="146">
        <v>0.0</v>
      </c>
      <c r="E28" s="146">
        <v>0.0</v>
      </c>
      <c r="F28" s="146">
        <v>0.0</v>
      </c>
      <c r="G28" s="258">
        <v>0.0</v>
      </c>
      <c r="H28" s="146">
        <v>0.0</v>
      </c>
      <c r="I28" s="146">
        <v>0.0</v>
      </c>
      <c r="J28" s="146">
        <v>0.0</v>
      </c>
      <c r="K28" s="146">
        <v>0.0</v>
      </c>
      <c r="L28" s="259">
        <v>0.0</v>
      </c>
      <c r="M28" s="146">
        <v>0.0</v>
      </c>
      <c r="N28" s="146">
        <v>0.0</v>
      </c>
      <c r="O28" s="146">
        <v>0.0</v>
      </c>
      <c r="P28" s="146">
        <v>0.0</v>
      </c>
      <c r="Q28" s="146">
        <v>0.0</v>
      </c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42" t="s">
        <v>75</v>
      </c>
      <c r="C29" s="247">
        <f t="shared" ref="C29:E29" si="38">C27+C28</f>
        <v>2470.64508</v>
      </c>
      <c r="D29" s="248">
        <f t="shared" si="38"/>
        <v>2989.69005</v>
      </c>
      <c r="E29" s="248">
        <f t="shared" si="38"/>
        <v>3030.23671</v>
      </c>
      <c r="F29" s="244">
        <f t="shared" ref="F29:F39" si="41">IFERROR(E29/D29-1," ")</f>
        <v>0.01356216174</v>
      </c>
      <c r="G29" s="245">
        <f t="shared" ref="G29:G39" si="42">IFERROR(E29/C29-1," ")</f>
        <v>0.2264961627</v>
      </c>
      <c r="H29" s="247">
        <f t="shared" ref="H29:J29" si="39">H27+H28</f>
        <v>14657.86632</v>
      </c>
      <c r="I29" s="248">
        <f t="shared" si="39"/>
        <v>17216.33743</v>
      </c>
      <c r="J29" s="248">
        <f t="shared" si="39"/>
        <v>17436.17733</v>
      </c>
      <c r="K29" s="60">
        <f t="shared" ref="K29:K39" si="43">IFERROR(J29/I29-1," ")</f>
        <v>0.01276926065</v>
      </c>
      <c r="L29" s="62">
        <f t="shared" ref="L29:L39" si="44">IFERROR(J29/H29-1," ")</f>
        <v>0.189544027</v>
      </c>
      <c r="M29" s="247">
        <f t="shared" ref="M29:O29" si="40">M27+M28</f>
        <v>29859.95325</v>
      </c>
      <c r="N29" s="248">
        <f t="shared" si="40"/>
        <v>35521.0742</v>
      </c>
      <c r="O29" s="248">
        <f t="shared" si="40"/>
        <v>36118.89502</v>
      </c>
      <c r="P29" s="244">
        <f t="shared" ref="P29:P39" si="45">IFERROR(O29/N29-1," ")</f>
        <v>0.01683003213</v>
      </c>
      <c r="Q29" s="245">
        <f t="shared" ref="Q29:Q39" si="46">IFERROR(O29/M29-1," ")</f>
        <v>0.2096098985</v>
      </c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42" t="s">
        <v>77</v>
      </c>
      <c r="C30" s="52">
        <f>'Demercado_senha capital OK'!B114/1000</f>
        <v>-467.70558</v>
      </c>
      <c r="D30" s="57">
        <f>'Demercado_senha capital OK'!C114/1000</f>
        <v>-666.56918</v>
      </c>
      <c r="E30" s="57">
        <f>'Demercado_senha capital OK'!D114/1000</f>
        <v>-819.70469</v>
      </c>
      <c r="F30" s="244">
        <f t="shared" si="41"/>
        <v>0.2297368594</v>
      </c>
      <c r="G30" s="245">
        <f t="shared" si="42"/>
        <v>0.7526083183</v>
      </c>
      <c r="H30" s="52">
        <f>'Demercado_senha capital OK'!F114/1000</f>
        <v>-2511.11535</v>
      </c>
      <c r="I30" s="57">
        <f>'Demercado_senha capital OK'!G114/1000</f>
        <v>-3561.66442</v>
      </c>
      <c r="J30" s="57">
        <f>'Demercado_senha capital OK'!H114/1000</f>
        <v>-3437.98454</v>
      </c>
      <c r="K30" s="60">
        <f t="shared" si="43"/>
        <v>-0.03472530408</v>
      </c>
      <c r="L30" s="62">
        <f t="shared" si="44"/>
        <v>0.3691065765</v>
      </c>
      <c r="M30" s="247">
        <f>'Demercado_senha capital OK'!J114/1000</f>
        <v>-5005.49225</v>
      </c>
      <c r="N30" s="248">
        <f>'Demercado_senha capital OK'!K114/1000</f>
        <v>-6812.12064</v>
      </c>
      <c r="O30" s="248">
        <f>'Demercado_senha capital OK'!L114/1000</f>
        <v>-7019.49135</v>
      </c>
      <c r="P30" s="244">
        <f t="shared" si="45"/>
        <v>0.03044143241</v>
      </c>
      <c r="Q30" s="245">
        <f t="shared" si="46"/>
        <v>0.40235785</v>
      </c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273"/>
      <c r="B31" s="275" t="s">
        <v>80</v>
      </c>
      <c r="C31" s="276">
        <f>C29+C30</f>
        <v>2002.9395</v>
      </c>
      <c r="D31" s="277">
        <f>(D29+D30)</f>
        <v>2323.12087</v>
      </c>
      <c r="E31" s="278">
        <f>E29+E30</f>
        <v>2210.53202</v>
      </c>
      <c r="F31" s="280">
        <f t="shared" si="41"/>
        <v>-0.04846448218</v>
      </c>
      <c r="G31" s="281">
        <f t="shared" si="42"/>
        <v>0.1036439293</v>
      </c>
      <c r="H31" s="276">
        <f t="shared" ref="H31:J31" si="47">H29+H30</f>
        <v>12146.75097</v>
      </c>
      <c r="I31" s="278">
        <f t="shared" si="47"/>
        <v>13654.67301</v>
      </c>
      <c r="J31" s="278">
        <f t="shared" si="47"/>
        <v>13998.19279</v>
      </c>
      <c r="K31" s="170">
        <f t="shared" si="43"/>
        <v>0.02515767164</v>
      </c>
      <c r="L31" s="172">
        <f t="shared" si="44"/>
        <v>0.1524228022</v>
      </c>
      <c r="M31" s="276">
        <f>M29+M30</f>
        <v>24854.461</v>
      </c>
      <c r="N31" s="278">
        <f>N29+N30-1</f>
        <v>28707.95356</v>
      </c>
      <c r="O31" s="278">
        <f>O29+O30</f>
        <v>29099.40367</v>
      </c>
      <c r="P31" s="283">
        <f t="shared" si="45"/>
        <v>0.01363559786</v>
      </c>
      <c r="Q31" s="281">
        <f t="shared" si="46"/>
        <v>0.1707919826</v>
      </c>
      <c r="R31" s="273"/>
      <c r="S31" s="284"/>
      <c r="T31" s="284"/>
      <c r="U31" s="284"/>
      <c r="V31" s="284"/>
      <c r="W31" s="284"/>
      <c r="X31" s="284"/>
      <c r="Y31" s="284"/>
      <c r="Z31" s="284"/>
    </row>
    <row r="32" ht="15.0" customHeight="1">
      <c r="A32" s="1"/>
      <c r="B32" s="242" t="s">
        <v>82</v>
      </c>
      <c r="C32" s="52">
        <f>'Demercado_senha capital OK'!B116/1000</f>
        <v>-217.843</v>
      </c>
      <c r="D32" s="57">
        <f>'Demercado_senha capital OK'!C116/1000</f>
        <v>-212.08769</v>
      </c>
      <c r="E32" s="57">
        <f>'Demercado_senha capital OK'!D116/1000</f>
        <v>-203.12457</v>
      </c>
      <c r="F32" s="244">
        <f t="shared" si="41"/>
        <v>-0.04226138726</v>
      </c>
      <c r="G32" s="245">
        <f t="shared" si="42"/>
        <v>-0.0675643927</v>
      </c>
      <c r="H32" s="52">
        <f>'Demercado_senha capital OK'!F116/1000</f>
        <v>-1306.9351</v>
      </c>
      <c r="I32" s="57">
        <f>'Demercado_senha capital OK'!G116/1000</f>
        <v>-1267.02179</v>
      </c>
      <c r="J32" s="57">
        <f>'Demercado_senha capital OK'!H116/1000</f>
        <v>-1215.23104</v>
      </c>
      <c r="K32" s="60">
        <f t="shared" si="43"/>
        <v>-0.0408759742</v>
      </c>
      <c r="L32" s="62">
        <f t="shared" si="44"/>
        <v>-0.07016726385</v>
      </c>
      <c r="M32" s="247">
        <f>'Demercado_senha capital OK'!J116/1000</f>
        <v>-2617.56208</v>
      </c>
      <c r="N32" s="248">
        <f>'Demercado_senha capital OK'!K116/1000</f>
        <v>-2628.5893</v>
      </c>
      <c r="O32" s="248">
        <f>'Demercado_senha capital OK'!L116/1000</f>
        <v>-2566.03963</v>
      </c>
      <c r="P32" s="244">
        <f t="shared" si="45"/>
        <v>-0.02379590832</v>
      </c>
      <c r="Q32" s="245">
        <f t="shared" si="46"/>
        <v>-0.01968337271</v>
      </c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42" t="s">
        <v>83</v>
      </c>
      <c r="C33" s="248">
        <f t="shared" ref="C33:E33" si="48">C31+C32</f>
        <v>1785.0965</v>
      </c>
      <c r="D33" s="248">
        <f t="shared" si="48"/>
        <v>2111.03318</v>
      </c>
      <c r="E33" s="248">
        <f t="shared" si="48"/>
        <v>2007.40745</v>
      </c>
      <c r="F33" s="244">
        <f t="shared" si="41"/>
        <v>-0.04908768416</v>
      </c>
      <c r="G33" s="245">
        <f t="shared" si="42"/>
        <v>0.1245372169</v>
      </c>
      <c r="H33" s="247">
        <f t="shared" ref="H33:J33" si="49">H31+H32</f>
        <v>10839.81587</v>
      </c>
      <c r="I33" s="248">
        <f t="shared" si="49"/>
        <v>12387.65122</v>
      </c>
      <c r="J33" s="248">
        <f t="shared" si="49"/>
        <v>12782.96175</v>
      </c>
      <c r="K33" s="60">
        <f t="shared" si="43"/>
        <v>0.0319116613</v>
      </c>
      <c r="L33" s="62">
        <f t="shared" si="44"/>
        <v>0.1792600449</v>
      </c>
      <c r="M33" s="247">
        <f t="shared" ref="M33:O33" si="50">M31+M32</f>
        <v>22236.89892</v>
      </c>
      <c r="N33" s="248">
        <f t="shared" si="50"/>
        <v>26079.36426</v>
      </c>
      <c r="O33" s="248">
        <f t="shared" si="50"/>
        <v>26533.36404</v>
      </c>
      <c r="P33" s="244">
        <f t="shared" si="45"/>
        <v>0.01740839138</v>
      </c>
      <c r="Q33" s="245">
        <f t="shared" si="46"/>
        <v>0.1932133224</v>
      </c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292"/>
      <c r="B34" s="294" t="s">
        <v>84</v>
      </c>
      <c r="C34" s="295">
        <f t="shared" ref="C34:E34" si="51">C36+C35</f>
        <v>-546.65769</v>
      </c>
      <c r="D34" s="297">
        <f t="shared" si="51"/>
        <v>-717.49463</v>
      </c>
      <c r="E34" s="297">
        <f t="shared" si="51"/>
        <v>-709.34235</v>
      </c>
      <c r="F34" s="298">
        <f t="shared" si="41"/>
        <v>-0.01136214776</v>
      </c>
      <c r="G34" s="300">
        <f t="shared" si="42"/>
        <v>0.297598777</v>
      </c>
      <c r="H34" s="295">
        <f t="shared" ref="H34:J34" si="52">H36+H35</f>
        <v>-3350.10599</v>
      </c>
      <c r="I34" s="297">
        <f t="shared" si="52"/>
        <v>-4660.71916</v>
      </c>
      <c r="J34" s="297">
        <f t="shared" si="52"/>
        <v>-4402.21575</v>
      </c>
      <c r="K34" s="60">
        <f t="shared" si="43"/>
        <v>-0.05546427517</v>
      </c>
      <c r="L34" s="62">
        <f t="shared" si="44"/>
        <v>0.3140526787</v>
      </c>
      <c r="M34" s="247">
        <f t="shared" ref="M34:O34" si="53">M36+M35</f>
        <v>-5944.91787</v>
      </c>
      <c r="N34" s="248">
        <f t="shared" si="53"/>
        <v>-8763.72856</v>
      </c>
      <c r="O34" s="248">
        <f t="shared" si="53"/>
        <v>-8253.75322</v>
      </c>
      <c r="P34" s="298">
        <f t="shared" si="45"/>
        <v>-0.05819159465</v>
      </c>
      <c r="Q34" s="300">
        <f t="shared" si="46"/>
        <v>0.3883712779</v>
      </c>
      <c r="R34" s="292"/>
      <c r="S34" s="292"/>
      <c r="T34" s="292"/>
      <c r="U34" s="292"/>
      <c r="V34" s="292"/>
      <c r="W34" s="292"/>
      <c r="X34" s="292"/>
      <c r="Y34" s="292"/>
      <c r="Z34" s="292"/>
    </row>
    <row r="35" ht="15.0" customHeight="1">
      <c r="A35" s="292"/>
      <c r="B35" s="294" t="s">
        <v>118</v>
      </c>
      <c r="C35" s="295">
        <f>'Demercado_senha capital OK'!B119/1000</f>
        <v>123.79369</v>
      </c>
      <c r="D35" s="297">
        <f>'Demercado_senha capital OK'!C119/1000</f>
        <v>94.3265</v>
      </c>
      <c r="E35" s="297">
        <f>'Demercado_senha capital OK'!D119/1000</f>
        <v>105.35181</v>
      </c>
      <c r="F35" s="298">
        <f t="shared" si="41"/>
        <v>0.1168845446</v>
      </c>
      <c r="G35" s="300">
        <f t="shared" si="42"/>
        <v>-0.148972698</v>
      </c>
      <c r="H35" s="52">
        <f>'Demercado_senha capital OK'!F119/1000</f>
        <v>800.84841</v>
      </c>
      <c r="I35" s="57">
        <f>'Demercado_senha capital OK'!G119/1000</f>
        <v>525.6098</v>
      </c>
      <c r="J35" s="57">
        <f>'Demercado_senha capital OK'!H119/1000</f>
        <v>644.16808</v>
      </c>
      <c r="K35" s="60">
        <f t="shared" si="43"/>
        <v>0.2255632981</v>
      </c>
      <c r="L35" s="62">
        <f t="shared" si="44"/>
        <v>-0.1956429307</v>
      </c>
      <c r="M35" s="247">
        <f>'Demercado_senha capital OK'!J119/1000</f>
        <v>2150.29738</v>
      </c>
      <c r="N35" s="248">
        <f>'Demercado_senha capital OK'!K119/1000</f>
        <v>791.26861</v>
      </c>
      <c r="O35" s="248">
        <f>'Demercado_senha capital OK'!L119/1000</f>
        <v>1330.32116</v>
      </c>
      <c r="P35" s="298">
        <f t="shared" si="45"/>
        <v>0.681251023</v>
      </c>
      <c r="Q35" s="300">
        <f t="shared" si="46"/>
        <v>-0.381331544</v>
      </c>
      <c r="R35" s="292"/>
      <c r="S35" s="292"/>
      <c r="T35" s="292"/>
      <c r="U35" s="292"/>
      <c r="V35" s="292"/>
      <c r="W35" s="292"/>
      <c r="X35" s="292"/>
      <c r="Y35" s="292"/>
      <c r="Z35" s="292"/>
    </row>
    <row r="36" ht="15.0" customHeight="1">
      <c r="A36" s="292"/>
      <c r="B36" s="294" t="s">
        <v>121</v>
      </c>
      <c r="C36" s="295">
        <f>'Demercado_senha capital OK'!B120/1000</f>
        <v>-670.45138</v>
      </c>
      <c r="D36" s="297">
        <f>'Demercado_senha capital OK'!C120/1000</f>
        <v>-811.82113</v>
      </c>
      <c r="E36" s="297">
        <f>'Demercado_senha capital OK'!D120/1000</f>
        <v>-814.69416</v>
      </c>
      <c r="F36" s="298">
        <f t="shared" si="41"/>
        <v>0.003538993867</v>
      </c>
      <c r="G36" s="300">
        <f t="shared" si="42"/>
        <v>0.2151427893</v>
      </c>
      <c r="H36" s="52">
        <f>'Demercado_senha capital OK'!F120/1000</f>
        <v>-4150.9544</v>
      </c>
      <c r="I36" s="57">
        <f>'Demercado_senha capital OK'!G120/1000</f>
        <v>-5186.32896</v>
      </c>
      <c r="J36" s="57">
        <f>'Demercado_senha capital OK'!H120/1000</f>
        <v>-5046.38383</v>
      </c>
      <c r="K36" s="60">
        <f t="shared" si="43"/>
        <v>-0.02698346578</v>
      </c>
      <c r="L36" s="62">
        <f t="shared" si="44"/>
        <v>0.2157165181</v>
      </c>
      <c r="M36" s="247">
        <f>'Demercado_senha capital OK'!J120/1000</f>
        <v>-8095.21525</v>
      </c>
      <c r="N36" s="248">
        <f>'Demercado_senha capital OK'!K120/1000</f>
        <v>-9554.99717</v>
      </c>
      <c r="O36" s="248">
        <f>'Demercado_senha capital OK'!L120/1000</f>
        <v>-9584.07438</v>
      </c>
      <c r="P36" s="298">
        <f t="shared" si="45"/>
        <v>0.003043141665</v>
      </c>
      <c r="Q36" s="300">
        <f t="shared" si="46"/>
        <v>0.1839184116</v>
      </c>
      <c r="R36" s="64"/>
      <c r="S36" s="64"/>
      <c r="T36" s="292"/>
      <c r="U36" s="292"/>
      <c r="V36" s="292"/>
      <c r="W36" s="292"/>
      <c r="X36" s="292"/>
      <c r="Y36" s="292"/>
      <c r="Z36" s="292"/>
    </row>
    <row r="37" ht="15.0" customHeight="1">
      <c r="A37" s="1"/>
      <c r="B37" s="242" t="s">
        <v>86</v>
      </c>
      <c r="C37" s="52">
        <f t="shared" ref="C37:E37" si="54">C33+C34</f>
        <v>1238.43881</v>
      </c>
      <c r="D37" s="57">
        <f t="shared" si="54"/>
        <v>1393.53855</v>
      </c>
      <c r="E37" s="57">
        <f t="shared" si="54"/>
        <v>1298.0651</v>
      </c>
      <c r="F37" s="244">
        <f t="shared" si="41"/>
        <v>-0.06851152413</v>
      </c>
      <c r="G37" s="245">
        <f t="shared" si="42"/>
        <v>0.04814633514</v>
      </c>
      <c r="H37" s="52">
        <f t="shared" ref="H37:J37" si="55">H33+H34</f>
        <v>7489.70988</v>
      </c>
      <c r="I37" s="57">
        <f t="shared" si="55"/>
        <v>7726.93206</v>
      </c>
      <c r="J37" s="57">
        <f t="shared" si="55"/>
        <v>8380.746</v>
      </c>
      <c r="K37" s="60">
        <f t="shared" si="43"/>
        <v>0.08461494613</v>
      </c>
      <c r="L37" s="62">
        <f t="shared" si="44"/>
        <v>0.1189680421</v>
      </c>
      <c r="M37" s="247">
        <f t="shared" ref="M37:O37" si="56">M33+M34</f>
        <v>16291.98105</v>
      </c>
      <c r="N37" s="248">
        <f t="shared" si="56"/>
        <v>17315.6357</v>
      </c>
      <c r="O37" s="57">
        <f t="shared" si="56"/>
        <v>18279.61082</v>
      </c>
      <c r="P37" s="244">
        <f t="shared" si="45"/>
        <v>0.05567079007</v>
      </c>
      <c r="Q37" s="245">
        <f t="shared" si="46"/>
        <v>0.1220004961</v>
      </c>
      <c r="R37" s="64"/>
      <c r="S37" s="64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42" t="s">
        <v>87</v>
      </c>
      <c r="C38" s="52">
        <f>'Demercado_senha capital OK'!B122/1000</f>
        <v>-322.49868</v>
      </c>
      <c r="D38" s="57">
        <f>'Demercado_senha capital OK'!C122/1000</f>
        <v>-403.18356</v>
      </c>
      <c r="E38" s="57">
        <f>'Demercado_senha capital OK'!D122/1000</f>
        <v>-412.32707</v>
      </c>
      <c r="F38" s="244">
        <f t="shared" si="41"/>
        <v>0.02267828083</v>
      </c>
      <c r="G38" s="245">
        <f t="shared" si="42"/>
        <v>0.2785387835</v>
      </c>
      <c r="H38" s="52">
        <f>'Demercado_senha capital OK'!F122/1000</f>
        <v>-1964.56714</v>
      </c>
      <c r="I38" s="57">
        <f>'Demercado_senha capital OK'!G122/1000</f>
        <v>-2315.78463</v>
      </c>
      <c r="J38" s="57">
        <f>'Demercado_senha capital OK'!H122/1000</f>
        <v>-2340.98354</v>
      </c>
      <c r="K38" s="60">
        <f t="shared" si="43"/>
        <v>0.01088137026</v>
      </c>
      <c r="L38" s="62">
        <f t="shared" si="44"/>
        <v>0.1916027161</v>
      </c>
      <c r="M38" s="247">
        <f>'Demercado_senha capital OK'!J122/1000</f>
        <v>-4148.4654</v>
      </c>
      <c r="N38" s="248">
        <f>'Demercado_senha capital OK'!K122/1000</f>
        <v>-4678.16565</v>
      </c>
      <c r="O38" s="57">
        <f>'Demercado_senha capital OK'!L122/1000</f>
        <v>-4893.37578</v>
      </c>
      <c r="P38" s="244">
        <f t="shared" si="45"/>
        <v>0.04600310166</v>
      </c>
      <c r="Q38" s="245">
        <f t="shared" si="46"/>
        <v>0.1795628764</v>
      </c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51" t="s">
        <v>125</v>
      </c>
      <c r="C39" s="247">
        <f t="shared" ref="C39:E39" si="57">C37+C38</f>
        <v>915.94013</v>
      </c>
      <c r="D39" s="248">
        <f t="shared" si="57"/>
        <v>990.35499</v>
      </c>
      <c r="E39" s="248">
        <f t="shared" si="57"/>
        <v>885.73803</v>
      </c>
      <c r="F39" s="244">
        <f t="shared" si="41"/>
        <v>-0.1056358185</v>
      </c>
      <c r="G39" s="245">
        <f t="shared" si="42"/>
        <v>-0.03297388007</v>
      </c>
      <c r="H39" s="247">
        <f t="shared" ref="H39:J39" si="58">H37+H38</f>
        <v>5525.14274</v>
      </c>
      <c r="I39" s="248">
        <f t="shared" si="58"/>
        <v>5411.14743</v>
      </c>
      <c r="J39" s="248">
        <f t="shared" si="58"/>
        <v>6039.76246</v>
      </c>
      <c r="K39" s="60">
        <f t="shared" si="43"/>
        <v>0.1161703757</v>
      </c>
      <c r="L39" s="62">
        <f t="shared" si="44"/>
        <v>0.09314143439</v>
      </c>
      <c r="M39" s="247">
        <f t="shared" ref="M39:O39" si="59">M37+M38</f>
        <v>12143.51565</v>
      </c>
      <c r="N39" s="248">
        <f t="shared" si="59"/>
        <v>12637.47005</v>
      </c>
      <c r="O39" s="248">
        <f t="shared" si="59"/>
        <v>13386.23504</v>
      </c>
      <c r="P39" s="244">
        <f t="shared" si="45"/>
        <v>0.05924959561</v>
      </c>
      <c r="Q39" s="245">
        <f t="shared" si="46"/>
        <v>0.1023360471</v>
      </c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311" t="s">
        <v>100</v>
      </c>
      <c r="C40" s="312">
        <f t="shared" ref="C40:E40" si="60">C31/C27</f>
        <v>0.8106949542</v>
      </c>
      <c r="D40" s="313">
        <f t="shared" si="60"/>
        <v>0.7770440518</v>
      </c>
      <c r="E40" s="313">
        <f t="shared" si="60"/>
        <v>0.729491532</v>
      </c>
      <c r="F40" s="314"/>
      <c r="G40" s="315"/>
      <c r="H40" s="312">
        <f t="shared" ref="H40:J40" si="61">H31/H27</f>
        <v>0.8286847966</v>
      </c>
      <c r="I40" s="313">
        <f t="shared" si="61"/>
        <v>0.7931229895</v>
      </c>
      <c r="J40" s="313">
        <f t="shared" si="61"/>
        <v>0.8028246401</v>
      </c>
      <c r="K40" s="314"/>
      <c r="L40" s="315"/>
      <c r="M40" s="312">
        <f t="shared" ref="M40:O40" si="62">M31/M27</f>
        <v>0.8323677131</v>
      </c>
      <c r="N40" s="313">
        <f t="shared" si="62"/>
        <v>0.8081949718</v>
      </c>
      <c r="O40" s="313">
        <f t="shared" si="62"/>
        <v>0.8056559774</v>
      </c>
      <c r="P40" s="314" t="s">
        <v>48</v>
      </c>
      <c r="Q40" s="315"/>
      <c r="R40" s="1"/>
      <c r="S40" s="35"/>
      <c r="T40" s="35"/>
      <c r="U40" s="35"/>
      <c r="V40" s="35"/>
      <c r="W40" s="35"/>
      <c r="X40" s="35"/>
      <c r="Y40" s="35"/>
      <c r="Z40" s="35"/>
    </row>
    <row r="41" ht="13.5" customHeight="1">
      <c r="A41" s="1"/>
      <c r="B41" s="1" t="s">
        <v>145</v>
      </c>
      <c r="C41" s="3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3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316" t="s">
        <v>127</v>
      </c>
      <c r="C43" s="227" t="str">
        <f>C3</f>
        <v>JULHO</v>
      </c>
      <c r="D43" s="228"/>
      <c r="E43" s="228"/>
      <c r="F43" s="228"/>
      <c r="G43" s="229"/>
      <c r="H43" s="318" t="str">
        <f>H3</f>
        <v>ACUMULADO JANEIRO A JULHO</v>
      </c>
      <c r="I43" s="231"/>
      <c r="J43" s="231"/>
      <c r="K43" s="231"/>
      <c r="L43" s="232"/>
      <c r="M43" s="230" t="str">
        <f>M23</f>
        <v>RITMO</v>
      </c>
      <c r="N43" s="231"/>
      <c r="O43" s="231"/>
      <c r="P43" s="231"/>
      <c r="Q43" s="232"/>
      <c r="R43" s="1"/>
      <c r="S43" s="1"/>
      <c r="T43" s="1"/>
      <c r="U43" s="1"/>
      <c r="V43" s="1"/>
      <c r="W43" s="1"/>
      <c r="X43" s="1"/>
      <c r="Y43" s="1"/>
      <c r="Z43" s="1"/>
    </row>
    <row r="44" ht="33.75" customHeight="1">
      <c r="A44" s="1"/>
      <c r="B44" s="320"/>
      <c r="C44" s="234" t="s">
        <v>27</v>
      </c>
      <c r="D44" s="235" t="s">
        <v>30</v>
      </c>
      <c r="E44" s="236" t="s">
        <v>31</v>
      </c>
      <c r="F44" s="237" t="s">
        <v>32</v>
      </c>
      <c r="G44" s="238" t="s">
        <v>34</v>
      </c>
      <c r="H44" s="239" t="s">
        <v>27</v>
      </c>
      <c r="I44" s="240" t="s">
        <v>30</v>
      </c>
      <c r="J44" s="237" t="s">
        <v>31</v>
      </c>
      <c r="K44" s="237" t="s">
        <v>32</v>
      </c>
      <c r="L44" s="241" t="s">
        <v>34</v>
      </c>
      <c r="M44" s="234" t="s">
        <v>27</v>
      </c>
      <c r="N44" s="235" t="s">
        <v>30</v>
      </c>
      <c r="O44" s="237" t="s">
        <v>36</v>
      </c>
      <c r="P44" s="237" t="s">
        <v>38</v>
      </c>
      <c r="Q44" s="241" t="s">
        <v>39</v>
      </c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322" t="s">
        <v>40</v>
      </c>
      <c r="C45" s="323">
        <f t="shared" ref="C45:E45" si="63">C25</f>
        <v>2564.23984</v>
      </c>
      <c r="D45" s="248">
        <f t="shared" si="63"/>
        <v>3102.94764</v>
      </c>
      <c r="E45" s="248">
        <f t="shared" si="63"/>
        <v>3145.03032</v>
      </c>
      <c r="F45" s="244">
        <f t="shared" ref="F45:F47" si="67">IFERROR(E45/D45-1," ")</f>
        <v>0.01356216246</v>
      </c>
      <c r="G45" s="245">
        <f t="shared" ref="G45:G47" si="68">IFERROR(E45/C45-1," ")</f>
        <v>0.2264961611</v>
      </c>
      <c r="H45" s="248">
        <f t="shared" ref="H45:J45" si="64">H25</f>
        <v>15234.41118</v>
      </c>
      <c r="I45" s="248">
        <f t="shared" si="64"/>
        <v>17868.53911</v>
      </c>
      <c r="J45" s="248">
        <f t="shared" si="64"/>
        <v>18096.70716</v>
      </c>
      <c r="K45" s="60">
        <f t="shared" ref="K45:K47" si="70">IFERROR(J45/I45-1," ")</f>
        <v>0.01276926158</v>
      </c>
      <c r="L45" s="62">
        <f t="shared" ref="L45:L47" si="71">IFERROR(J45/H45-1," ")</f>
        <v>0.1878835976</v>
      </c>
      <c r="M45" s="323">
        <f t="shared" ref="M45:O45" si="65">M25</f>
        <v>31012.39454</v>
      </c>
      <c r="N45" s="248">
        <f t="shared" si="65"/>
        <v>36865.6712</v>
      </c>
      <c r="O45" s="248">
        <f t="shared" si="65"/>
        <v>37487.177</v>
      </c>
      <c r="P45" s="244">
        <f t="shared" ref="P45:P47" si="73">IFERROR(O45/N45-1," ")</f>
        <v>0.01685865955</v>
      </c>
      <c r="Q45" s="245">
        <f t="shared" ref="Q45:Q47" si="74">IFERROR(O45/M45-1," ")</f>
        <v>0.2087804749</v>
      </c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322" t="s">
        <v>71</v>
      </c>
      <c r="C46" s="323">
        <f t="shared" ref="C46:E46" si="66">C26</f>
        <v>-93.59476</v>
      </c>
      <c r="D46" s="248">
        <f t="shared" si="66"/>
        <v>-113.25759</v>
      </c>
      <c r="E46" s="248">
        <f t="shared" si="66"/>
        <v>-114.79361</v>
      </c>
      <c r="F46" s="244">
        <f t="shared" si="67"/>
        <v>0.01356218157</v>
      </c>
      <c r="G46" s="245">
        <f t="shared" si="68"/>
        <v>0.2264961201</v>
      </c>
      <c r="H46" s="248">
        <f t="shared" ref="H46:J46" si="69">H26</f>
        <v>-576.54486</v>
      </c>
      <c r="I46" s="248">
        <f t="shared" si="69"/>
        <v>-652.20168</v>
      </c>
      <c r="J46" s="248">
        <f t="shared" si="69"/>
        <v>-660.52983</v>
      </c>
      <c r="K46" s="60">
        <f t="shared" si="70"/>
        <v>0.01276928633</v>
      </c>
      <c r="L46" s="62">
        <f t="shared" si="71"/>
        <v>0.1456694454</v>
      </c>
      <c r="M46" s="323">
        <f t="shared" ref="M46:O46" si="72">M26</f>
        <v>-1152.44129</v>
      </c>
      <c r="N46" s="248">
        <f t="shared" si="72"/>
        <v>-1345.597</v>
      </c>
      <c r="O46" s="248">
        <f t="shared" si="72"/>
        <v>-1368.28198</v>
      </c>
      <c r="P46" s="244">
        <f t="shared" si="73"/>
        <v>0.01685867314</v>
      </c>
      <c r="Q46" s="245">
        <f t="shared" si="74"/>
        <v>0.187289966</v>
      </c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324" t="s">
        <v>85</v>
      </c>
      <c r="C47" s="323">
        <f t="shared" ref="C47:E47" si="75">C45+C46</f>
        <v>2470.64508</v>
      </c>
      <c r="D47" s="248">
        <f t="shared" si="75"/>
        <v>2989.69005</v>
      </c>
      <c r="E47" s="248">
        <f t="shared" si="75"/>
        <v>3030.23671</v>
      </c>
      <c r="F47" s="244">
        <f t="shared" si="67"/>
        <v>0.01356216174</v>
      </c>
      <c r="G47" s="245">
        <f t="shared" si="68"/>
        <v>0.2264961627</v>
      </c>
      <c r="H47" s="248">
        <f t="shared" ref="H47:J47" si="76">H27</f>
        <v>14657.86632</v>
      </c>
      <c r="I47" s="248">
        <f t="shared" si="76"/>
        <v>17216.33743</v>
      </c>
      <c r="J47" s="248">
        <f t="shared" si="76"/>
        <v>17436.17733</v>
      </c>
      <c r="K47" s="60">
        <f t="shared" si="70"/>
        <v>0.01276926065</v>
      </c>
      <c r="L47" s="62">
        <f t="shared" si="71"/>
        <v>0.189544027</v>
      </c>
      <c r="M47" s="323">
        <f t="shared" ref="M47:O47" si="77">M45+M46</f>
        <v>29859.95325</v>
      </c>
      <c r="N47" s="248">
        <f t="shared" si="77"/>
        <v>35520.0742</v>
      </c>
      <c r="O47" s="248">
        <f t="shared" si="77"/>
        <v>36118.89502</v>
      </c>
      <c r="P47" s="244">
        <f t="shared" si="73"/>
        <v>0.01685865904</v>
      </c>
      <c r="Q47" s="245">
        <f t="shared" si="74"/>
        <v>0.2096098985</v>
      </c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322" t="s">
        <v>73</v>
      </c>
      <c r="C48" s="257">
        <v>0.0</v>
      </c>
      <c r="D48" s="146">
        <v>0.0</v>
      </c>
      <c r="E48" s="146">
        <v>0.0</v>
      </c>
      <c r="F48" s="146">
        <v>0.0</v>
      </c>
      <c r="G48" s="258">
        <v>0.0</v>
      </c>
      <c r="H48" s="146">
        <v>0.0</v>
      </c>
      <c r="I48" s="146">
        <v>0.0</v>
      </c>
      <c r="J48" s="146">
        <v>0.0</v>
      </c>
      <c r="K48" s="146">
        <v>0.0</v>
      </c>
      <c r="L48" s="259">
        <v>0.0</v>
      </c>
      <c r="M48" s="146">
        <v>0.0</v>
      </c>
      <c r="N48" s="146">
        <v>0.0</v>
      </c>
      <c r="O48" s="146">
        <v>0.0</v>
      </c>
      <c r="P48" s="146">
        <v>0.0</v>
      </c>
      <c r="Q48" s="146">
        <v>0.0</v>
      </c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322" t="s">
        <v>75</v>
      </c>
      <c r="C49" s="323">
        <f t="shared" ref="C49:E49" si="78">C47+C48</f>
        <v>2470.64508</v>
      </c>
      <c r="D49" s="248">
        <f t="shared" si="78"/>
        <v>2989.69005</v>
      </c>
      <c r="E49" s="248">
        <f t="shared" si="78"/>
        <v>3030.23671</v>
      </c>
      <c r="F49" s="244">
        <f t="shared" ref="F49:F60" si="82">IFERROR(E49/D49-1," ")</f>
        <v>0.01356216174</v>
      </c>
      <c r="G49" s="245">
        <f t="shared" ref="G49:G60" si="83">IFERROR(E49/C49-1," ")</f>
        <v>0.2264961627</v>
      </c>
      <c r="H49" s="248">
        <f t="shared" ref="H49:J49" si="79">H29</f>
        <v>14657.86632</v>
      </c>
      <c r="I49" s="248">
        <f t="shared" si="79"/>
        <v>17216.33743</v>
      </c>
      <c r="J49" s="248">
        <f t="shared" si="79"/>
        <v>17436.17733</v>
      </c>
      <c r="K49" s="60">
        <f t="shared" ref="K49:K60" si="85">IFERROR(J49/I49-1," ")</f>
        <v>0.01276926065</v>
      </c>
      <c r="L49" s="62">
        <f t="shared" ref="L49:L60" si="86">IFERROR(J49/H49-1," ")</f>
        <v>0.189544027</v>
      </c>
      <c r="M49" s="323">
        <f t="shared" ref="M49:O49" si="80">M47+M48</f>
        <v>29859.95325</v>
      </c>
      <c r="N49" s="248">
        <f t="shared" si="80"/>
        <v>35520.0742</v>
      </c>
      <c r="O49" s="248">
        <f t="shared" si="80"/>
        <v>36118.89502</v>
      </c>
      <c r="P49" s="244">
        <f t="shared" ref="P49:P60" si="88">IFERROR(O49/N49-1," ")</f>
        <v>0.01685865904</v>
      </c>
      <c r="Q49" s="245">
        <f t="shared" ref="Q49:Q60" si="89">IFERROR(O49/M49-1," ")</f>
        <v>0.2096098985</v>
      </c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322" t="s">
        <v>77</v>
      </c>
      <c r="C50" s="323">
        <f t="shared" ref="C50:E50" si="81">C30</f>
        <v>-467.70558</v>
      </c>
      <c r="D50" s="248">
        <f t="shared" si="81"/>
        <v>-666.56918</v>
      </c>
      <c r="E50" s="248">
        <f t="shared" si="81"/>
        <v>-819.70469</v>
      </c>
      <c r="F50" s="244">
        <f t="shared" si="82"/>
        <v>0.2297368594</v>
      </c>
      <c r="G50" s="245">
        <f t="shared" si="83"/>
        <v>0.7526083183</v>
      </c>
      <c r="H50" s="248">
        <f t="shared" ref="H50:J50" si="84">H30</f>
        <v>-2511.11535</v>
      </c>
      <c r="I50" s="248">
        <f t="shared" si="84"/>
        <v>-3561.66442</v>
      </c>
      <c r="J50" s="248">
        <f t="shared" si="84"/>
        <v>-3437.98454</v>
      </c>
      <c r="K50" s="60">
        <f t="shared" si="85"/>
        <v>-0.03472530408</v>
      </c>
      <c r="L50" s="62">
        <f t="shared" si="86"/>
        <v>0.3691065765</v>
      </c>
      <c r="M50" s="323">
        <f t="shared" ref="M50:O50" si="87">M30</f>
        <v>-5005.49225</v>
      </c>
      <c r="N50" s="248">
        <f t="shared" si="87"/>
        <v>-6812.12064</v>
      </c>
      <c r="O50" s="248">
        <f t="shared" si="87"/>
        <v>-7019.49135</v>
      </c>
      <c r="P50" s="244">
        <f t="shared" si="88"/>
        <v>0.03044143241</v>
      </c>
      <c r="Q50" s="245">
        <f t="shared" si="89"/>
        <v>0.40235785</v>
      </c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325" t="s">
        <v>80</v>
      </c>
      <c r="C51" s="326">
        <f>C49+C50</f>
        <v>2002.9395</v>
      </c>
      <c r="D51" s="327">
        <f>(D49+D50)</f>
        <v>2323.12087</v>
      </c>
      <c r="E51" s="278">
        <f>E49+E50</f>
        <v>2210.53202</v>
      </c>
      <c r="F51" s="280">
        <f t="shared" si="82"/>
        <v>-0.04846448218</v>
      </c>
      <c r="G51" s="281">
        <f t="shared" si="83"/>
        <v>0.1036439293</v>
      </c>
      <c r="H51" s="326">
        <f t="shared" ref="H51:J51" si="90">H31</f>
        <v>12146.75097</v>
      </c>
      <c r="I51" s="327">
        <f t="shared" si="90"/>
        <v>13654.67301</v>
      </c>
      <c r="J51" s="278">
        <f t="shared" si="90"/>
        <v>13998.19279</v>
      </c>
      <c r="K51" s="170">
        <f t="shared" si="85"/>
        <v>0.02515767164</v>
      </c>
      <c r="L51" s="172">
        <f t="shared" si="86"/>
        <v>0.1524228022</v>
      </c>
      <c r="M51" s="326">
        <f t="shared" ref="M51:O51" si="91">M49+M50</f>
        <v>24854.461</v>
      </c>
      <c r="N51" s="327">
        <f t="shared" si="91"/>
        <v>28707.95356</v>
      </c>
      <c r="O51" s="327">
        <f t="shared" si="91"/>
        <v>29099.40367</v>
      </c>
      <c r="P51" s="283">
        <f t="shared" si="88"/>
        <v>0.01363559786</v>
      </c>
      <c r="Q51" s="281">
        <f t="shared" si="89"/>
        <v>0.1707919826</v>
      </c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322" t="s">
        <v>82</v>
      </c>
      <c r="C52" s="323">
        <f t="shared" ref="C52:E52" si="92">C32</f>
        <v>-217.843</v>
      </c>
      <c r="D52" s="248">
        <f t="shared" si="92"/>
        <v>-212.08769</v>
      </c>
      <c r="E52" s="248">
        <f t="shared" si="92"/>
        <v>-203.12457</v>
      </c>
      <c r="F52" s="244">
        <f t="shared" si="82"/>
        <v>-0.04226138726</v>
      </c>
      <c r="G52" s="328">
        <f t="shared" si="83"/>
        <v>-0.0675643927</v>
      </c>
      <c r="H52" s="248">
        <f t="shared" ref="H52:J52" si="93">H32</f>
        <v>-1306.9351</v>
      </c>
      <c r="I52" s="248">
        <f t="shared" si="93"/>
        <v>-1267.02179</v>
      </c>
      <c r="J52" s="248">
        <f t="shared" si="93"/>
        <v>-1215.23104</v>
      </c>
      <c r="K52" s="60">
        <f t="shared" si="85"/>
        <v>-0.0408759742</v>
      </c>
      <c r="L52" s="62">
        <f t="shared" si="86"/>
        <v>-0.07016726385</v>
      </c>
      <c r="M52" s="323">
        <f t="shared" ref="M52:O52" si="94">M32</f>
        <v>-2617.56208</v>
      </c>
      <c r="N52" s="248">
        <f t="shared" si="94"/>
        <v>-2628.5893</v>
      </c>
      <c r="O52" s="248">
        <f t="shared" si="94"/>
        <v>-2566.03963</v>
      </c>
      <c r="P52" s="244">
        <f t="shared" si="88"/>
        <v>-0.02379590832</v>
      </c>
      <c r="Q52" s="245">
        <f t="shared" si="89"/>
        <v>-0.01968337271</v>
      </c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322" t="s">
        <v>83</v>
      </c>
      <c r="C53" s="323">
        <f t="shared" ref="C53:E53" si="95">C51+C52</f>
        <v>1785.0965</v>
      </c>
      <c r="D53" s="248">
        <f t="shared" si="95"/>
        <v>2111.03318</v>
      </c>
      <c r="E53" s="248">
        <f t="shared" si="95"/>
        <v>2007.40745</v>
      </c>
      <c r="F53" s="244">
        <f t="shared" si="82"/>
        <v>-0.04908768416</v>
      </c>
      <c r="G53" s="328">
        <f t="shared" si="83"/>
        <v>0.1245372169</v>
      </c>
      <c r="H53" s="248">
        <f t="shared" ref="H53:J53" si="96">H33</f>
        <v>10839.81587</v>
      </c>
      <c r="I53" s="248">
        <f t="shared" si="96"/>
        <v>12387.65122</v>
      </c>
      <c r="J53" s="248">
        <f t="shared" si="96"/>
        <v>12782.96175</v>
      </c>
      <c r="K53" s="60">
        <f t="shared" si="85"/>
        <v>0.0319116613</v>
      </c>
      <c r="L53" s="62">
        <f t="shared" si="86"/>
        <v>0.1792600449</v>
      </c>
      <c r="M53" s="323">
        <f t="shared" ref="M53:O53" si="97">M51+M52</f>
        <v>22236.89892</v>
      </c>
      <c r="N53" s="248">
        <f t="shared" si="97"/>
        <v>26079.36426</v>
      </c>
      <c r="O53" s="248">
        <f t="shared" si="97"/>
        <v>26533.36404</v>
      </c>
      <c r="P53" s="244">
        <f t="shared" si="88"/>
        <v>0.01740839138</v>
      </c>
      <c r="Q53" s="245">
        <f t="shared" si="89"/>
        <v>0.1932133224</v>
      </c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322" t="s">
        <v>84</v>
      </c>
      <c r="C54" s="323">
        <f t="shared" ref="C54:E54" si="98">SUM(C55:C57)</f>
        <v>634.596184</v>
      </c>
      <c r="D54" s="248">
        <f t="shared" si="98"/>
        <v>381.5696543</v>
      </c>
      <c r="E54" s="248">
        <f t="shared" si="98"/>
        <v>623.5758893</v>
      </c>
      <c r="F54" s="244">
        <f t="shared" si="82"/>
        <v>0.634238683</v>
      </c>
      <c r="G54" s="328">
        <f t="shared" si="83"/>
        <v>-0.01736583835</v>
      </c>
      <c r="H54" s="248">
        <f t="shared" ref="H54:J54" si="99">H57+H56+H55</f>
        <v>4117.733562</v>
      </c>
      <c r="I54" s="248">
        <f t="shared" si="99"/>
        <v>2568.885775</v>
      </c>
      <c r="J54" s="248">
        <f t="shared" si="99"/>
        <v>3441.431543</v>
      </c>
      <c r="K54" s="60">
        <f t="shared" si="85"/>
        <v>0.3396592318</v>
      </c>
      <c r="L54" s="62">
        <f t="shared" si="86"/>
        <v>-0.1642413255</v>
      </c>
      <c r="M54" s="323">
        <f t="shared" ref="M54:O54" si="100">SUM(M55:M57)</f>
        <v>8107.08213</v>
      </c>
      <c r="N54" s="248">
        <f t="shared" si="100"/>
        <v>5274.27144</v>
      </c>
      <c r="O54" s="248">
        <f t="shared" si="100"/>
        <v>7258.424685</v>
      </c>
      <c r="P54" s="244">
        <f t="shared" si="88"/>
        <v>0.3761947537</v>
      </c>
      <c r="Q54" s="245">
        <f t="shared" si="89"/>
        <v>-0.1046809976</v>
      </c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322" t="s">
        <v>118</v>
      </c>
      <c r="C55" s="323">
        <f t="shared" ref="C55:E55" si="101">C35</f>
        <v>123.79369</v>
      </c>
      <c r="D55" s="248">
        <f t="shared" si="101"/>
        <v>94.3265</v>
      </c>
      <c r="E55" s="248">
        <f t="shared" si="101"/>
        <v>105.35181</v>
      </c>
      <c r="F55" s="244">
        <f t="shared" si="82"/>
        <v>0.1168845446</v>
      </c>
      <c r="G55" s="328">
        <f t="shared" si="83"/>
        <v>-0.148972698</v>
      </c>
      <c r="H55" s="248">
        <f t="shared" ref="H55:J55" si="102">H35</f>
        <v>800.84841</v>
      </c>
      <c r="I55" s="248">
        <f t="shared" si="102"/>
        <v>525.6098</v>
      </c>
      <c r="J55" s="248">
        <f t="shared" si="102"/>
        <v>644.16808</v>
      </c>
      <c r="K55" s="60">
        <f t="shared" si="85"/>
        <v>0.2255632981</v>
      </c>
      <c r="L55" s="62">
        <f t="shared" si="86"/>
        <v>-0.1956429307</v>
      </c>
      <c r="M55" s="323">
        <f t="shared" ref="M55:O55" si="103">M35</f>
        <v>2150.29738</v>
      </c>
      <c r="N55" s="248">
        <f t="shared" si="103"/>
        <v>791.26861</v>
      </c>
      <c r="O55" s="248">
        <f t="shared" si="103"/>
        <v>1330.32116</v>
      </c>
      <c r="P55" s="244">
        <f t="shared" si="88"/>
        <v>0.681251023</v>
      </c>
      <c r="Q55" s="245">
        <f t="shared" si="89"/>
        <v>-0.381331544</v>
      </c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322" t="s">
        <v>121</v>
      </c>
      <c r="C56" s="329">
        <f t="shared" ref="C56:E56" si="104">C36</f>
        <v>-670.45138</v>
      </c>
      <c r="D56" s="330">
        <f t="shared" si="104"/>
        <v>-811.82113</v>
      </c>
      <c r="E56" s="330">
        <f t="shared" si="104"/>
        <v>-814.69416</v>
      </c>
      <c r="F56" s="298">
        <f t="shared" si="82"/>
        <v>0.003538993867</v>
      </c>
      <c r="G56" s="331">
        <f t="shared" si="83"/>
        <v>0.2151427893</v>
      </c>
      <c r="H56" s="330">
        <f t="shared" ref="H56:J56" si="105">H36</f>
        <v>-4150.9544</v>
      </c>
      <c r="I56" s="330">
        <f t="shared" si="105"/>
        <v>-5186.32896</v>
      </c>
      <c r="J56" s="330">
        <f t="shared" si="105"/>
        <v>-5046.38383</v>
      </c>
      <c r="K56" s="332">
        <f t="shared" si="85"/>
        <v>-0.02698346578</v>
      </c>
      <c r="L56" s="333">
        <f t="shared" si="86"/>
        <v>0.2157165181</v>
      </c>
      <c r="M56" s="329">
        <f t="shared" ref="M56:O56" si="106">M36</f>
        <v>-8095.21525</v>
      </c>
      <c r="N56" s="330">
        <f t="shared" si="106"/>
        <v>-9554.99717</v>
      </c>
      <c r="O56" s="330">
        <f t="shared" si="106"/>
        <v>-9584.07438</v>
      </c>
      <c r="P56" s="298">
        <f t="shared" si="88"/>
        <v>0.003043141665</v>
      </c>
      <c r="Q56" s="300">
        <f t="shared" si="89"/>
        <v>0.1839184116</v>
      </c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322" t="s">
        <v>146</v>
      </c>
      <c r="C57" s="334">
        <f>(C208*42.5%)+('DCL_D-ESPAÇO '!C18*0.85%)</f>
        <v>1181.253874</v>
      </c>
      <c r="D57" s="335">
        <f>(D208*0.425)+('DCL_D-ESPAÇO '!D18*0.85%)</f>
        <v>1099.064284</v>
      </c>
      <c r="E57" s="335">
        <f>(E208*0.425)+('DCL_D-ESPAÇO '!E18*0.85%)</f>
        <v>1332.918239</v>
      </c>
      <c r="F57" s="298">
        <f t="shared" si="82"/>
        <v>0.2127755022</v>
      </c>
      <c r="G57" s="331">
        <f t="shared" si="83"/>
        <v>0.1283926924</v>
      </c>
      <c r="H57" s="297">
        <f>(H208*0.425)+('DCL_D-ESPAÇO '!H18*0.85%)</f>
        <v>7467.839552</v>
      </c>
      <c r="I57" s="330">
        <f>(I208*0.425)+('DCL_D-ESPAÇO '!I18*0.85%)</f>
        <v>7229.604935</v>
      </c>
      <c r="J57" s="297">
        <f>(J208*0.425)+('DCL_D-ESPAÇO '!J18*0.85%)</f>
        <v>7843.647293</v>
      </c>
      <c r="K57" s="332">
        <f t="shared" si="85"/>
        <v>0.08493442786</v>
      </c>
      <c r="L57" s="333">
        <f t="shared" si="86"/>
        <v>0.05032348903</v>
      </c>
      <c r="M57" s="334">
        <v>14052.0</v>
      </c>
      <c r="N57" s="336">
        <v>14038.0</v>
      </c>
      <c r="O57" s="335">
        <f>(O208*0.425)+('DCL_D-ESPAÇO '!O18*0.85%)</f>
        <v>15512.17791</v>
      </c>
      <c r="P57" s="298">
        <f t="shared" si="88"/>
        <v>0.1050133855</v>
      </c>
      <c r="Q57" s="300">
        <f t="shared" si="89"/>
        <v>0.1039124612</v>
      </c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322" t="s">
        <v>86</v>
      </c>
      <c r="C58" s="323">
        <f t="shared" ref="C58:E58" si="107">C53+C54</f>
        <v>2419.692684</v>
      </c>
      <c r="D58" s="248">
        <f t="shared" si="107"/>
        <v>2492.602834</v>
      </c>
      <c r="E58" s="248">
        <f t="shared" si="107"/>
        <v>2630.983339</v>
      </c>
      <c r="F58" s="244">
        <f t="shared" si="82"/>
        <v>0.05551646781</v>
      </c>
      <c r="G58" s="328">
        <f t="shared" si="83"/>
        <v>0.08732127706</v>
      </c>
      <c r="H58" s="248">
        <f t="shared" ref="H58:J58" si="108">H54+H53</f>
        <v>14957.54943</v>
      </c>
      <c r="I58" s="248">
        <f t="shared" si="108"/>
        <v>14956.53699</v>
      </c>
      <c r="J58" s="248">
        <f t="shared" si="108"/>
        <v>16224.39329</v>
      </c>
      <c r="K58" s="60">
        <f t="shared" si="85"/>
        <v>0.08476937537</v>
      </c>
      <c r="L58" s="62">
        <f t="shared" si="86"/>
        <v>0.0846959502</v>
      </c>
      <c r="M58" s="323">
        <f t="shared" ref="M58:O58" si="109">M53+M54</f>
        <v>30343.98105</v>
      </c>
      <c r="N58" s="248">
        <f t="shared" si="109"/>
        <v>31353.6357</v>
      </c>
      <c r="O58" s="248">
        <f t="shared" si="109"/>
        <v>33791.78873</v>
      </c>
      <c r="P58" s="244">
        <f t="shared" si="88"/>
        <v>0.07776300805</v>
      </c>
      <c r="Q58" s="245">
        <f t="shared" si="89"/>
        <v>0.1136241045</v>
      </c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322" t="s">
        <v>87</v>
      </c>
      <c r="C59" s="323">
        <f t="shared" ref="C59:E59" si="110">C38</f>
        <v>-322.49868</v>
      </c>
      <c r="D59" s="248">
        <f t="shared" si="110"/>
        <v>-403.18356</v>
      </c>
      <c r="E59" s="248">
        <f t="shared" si="110"/>
        <v>-412.32707</v>
      </c>
      <c r="F59" s="244">
        <f t="shared" si="82"/>
        <v>0.02267828083</v>
      </c>
      <c r="G59" s="328">
        <f t="shared" si="83"/>
        <v>0.2785387835</v>
      </c>
      <c r="H59" s="248">
        <f t="shared" ref="H59:J59" si="111">H38</f>
        <v>-1964.56714</v>
      </c>
      <c r="I59" s="248">
        <f t="shared" si="111"/>
        <v>-2315.78463</v>
      </c>
      <c r="J59" s="248">
        <f t="shared" si="111"/>
        <v>-2340.98354</v>
      </c>
      <c r="K59" s="60">
        <f t="shared" si="85"/>
        <v>0.01088137026</v>
      </c>
      <c r="L59" s="62">
        <f t="shared" si="86"/>
        <v>0.1916027161</v>
      </c>
      <c r="M59" s="323">
        <f t="shared" ref="M59:O59" si="112">M38</f>
        <v>-4148.4654</v>
      </c>
      <c r="N59" s="248">
        <f t="shared" si="112"/>
        <v>-4678.16565</v>
      </c>
      <c r="O59" s="248">
        <f t="shared" si="112"/>
        <v>-4893.37578</v>
      </c>
      <c r="P59" s="244">
        <f t="shared" si="88"/>
        <v>0.04600310166</v>
      </c>
      <c r="Q59" s="245">
        <f t="shared" si="89"/>
        <v>0.1795628764</v>
      </c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24" t="s">
        <v>125</v>
      </c>
      <c r="C60" s="323">
        <f t="shared" ref="C60:E60" si="113">C58+C59</f>
        <v>2097.194004</v>
      </c>
      <c r="D60" s="248">
        <f t="shared" si="113"/>
        <v>2089.419274</v>
      </c>
      <c r="E60" s="248">
        <f t="shared" si="113"/>
        <v>2218.656269</v>
      </c>
      <c r="F60" s="244">
        <f t="shared" si="82"/>
        <v>0.06185306922</v>
      </c>
      <c r="G60" s="328">
        <f t="shared" si="83"/>
        <v>0.05791656138</v>
      </c>
      <c r="H60" s="248">
        <f t="shared" ref="H60:J60" si="114">H58+H59</f>
        <v>12992.98229</v>
      </c>
      <c r="I60" s="248">
        <f t="shared" si="114"/>
        <v>12640.75236</v>
      </c>
      <c r="J60" s="248">
        <f t="shared" si="114"/>
        <v>13883.40975</v>
      </c>
      <c r="K60" s="60">
        <f t="shared" si="85"/>
        <v>0.09830565088</v>
      </c>
      <c r="L60" s="62">
        <f t="shared" si="86"/>
        <v>0.06853141502</v>
      </c>
      <c r="M60" s="323">
        <f t="shared" ref="M60:O60" si="115">M58+M59</f>
        <v>26195.51565</v>
      </c>
      <c r="N60" s="248">
        <f t="shared" si="115"/>
        <v>26675.47005</v>
      </c>
      <c r="O60" s="248">
        <f t="shared" si="115"/>
        <v>28898.41295</v>
      </c>
      <c r="P60" s="244">
        <f t="shared" si="88"/>
        <v>0.08333284816</v>
      </c>
      <c r="Q60" s="245">
        <f t="shared" si="89"/>
        <v>0.1031816793</v>
      </c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337" t="s">
        <v>100</v>
      </c>
      <c r="C61" s="338">
        <f t="shared" ref="C61:E61" si="116">C51/C47</f>
        <v>0.8106949542</v>
      </c>
      <c r="D61" s="339">
        <f t="shared" si="116"/>
        <v>0.7770440518</v>
      </c>
      <c r="E61" s="339">
        <f t="shared" si="116"/>
        <v>0.729491532</v>
      </c>
      <c r="F61" s="340"/>
      <c r="G61" s="341"/>
      <c r="H61" s="339">
        <f t="shared" ref="H61:J61" si="117">H51/H47</f>
        <v>0.8286847966</v>
      </c>
      <c r="I61" s="339">
        <f t="shared" si="117"/>
        <v>0.7931229895</v>
      </c>
      <c r="J61" s="339">
        <f t="shared" si="117"/>
        <v>0.8028246401</v>
      </c>
      <c r="K61" s="340"/>
      <c r="L61" s="341"/>
      <c r="M61" s="338">
        <f t="shared" ref="M61:O61" si="118">M51/M47</f>
        <v>0.8323677131</v>
      </c>
      <c r="N61" s="339">
        <f t="shared" si="118"/>
        <v>0.808217725</v>
      </c>
      <c r="O61" s="339">
        <f t="shared" si="118"/>
        <v>0.8056559774</v>
      </c>
      <c r="P61" s="340" t="s">
        <v>48</v>
      </c>
      <c r="Q61" s="34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288" t="s">
        <v>147</v>
      </c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309"/>
      <c r="D63" s="3"/>
      <c r="E63" s="34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hidden="1" customHeight="1">
      <c r="A64" s="1"/>
      <c r="B64" s="1"/>
      <c r="C64" s="3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hidden="1" customHeight="1">
      <c r="A65" s="1"/>
      <c r="B65" s="16" t="s">
        <v>148</v>
      </c>
      <c r="C65" s="25" t="str">
        <f>C3</f>
        <v>JULHO</v>
      </c>
      <c r="D65" s="27"/>
      <c r="E65" s="27"/>
      <c r="F65" s="27"/>
      <c r="G65" s="28"/>
      <c r="H65" s="25" t="s">
        <v>12</v>
      </c>
      <c r="I65" s="27"/>
      <c r="J65" s="27"/>
      <c r="K65" s="27"/>
      <c r="L65" s="28"/>
      <c r="M65" s="343" t="s">
        <v>3</v>
      </c>
      <c r="N65" s="27"/>
      <c r="O65" s="27"/>
      <c r="P65" s="27"/>
      <c r="Q65" s="28"/>
      <c r="R65" s="1"/>
      <c r="S65" s="35"/>
      <c r="T65" s="35"/>
      <c r="U65" s="35"/>
      <c r="V65" s="35"/>
      <c r="W65" s="35"/>
      <c r="X65" s="35"/>
      <c r="Y65" s="35"/>
      <c r="Z65" s="35"/>
    </row>
    <row r="66" ht="33.75" hidden="1" customHeight="1">
      <c r="A66" s="344"/>
      <c r="B66" s="38"/>
      <c r="C66" s="345" t="s">
        <v>149</v>
      </c>
      <c r="D66" s="346" t="s">
        <v>150</v>
      </c>
      <c r="E66" s="347" t="s">
        <v>19</v>
      </c>
      <c r="F66" s="348" t="s">
        <v>151</v>
      </c>
      <c r="G66" s="349" t="s">
        <v>152</v>
      </c>
      <c r="H66" s="350" t="s">
        <v>153</v>
      </c>
      <c r="I66" s="351" t="s">
        <v>154</v>
      </c>
      <c r="J66" s="348" t="s">
        <v>149</v>
      </c>
      <c r="K66" s="348" t="s">
        <v>155</v>
      </c>
      <c r="L66" s="349" t="s">
        <v>156</v>
      </c>
      <c r="M66" s="345" t="s">
        <v>149</v>
      </c>
      <c r="N66" s="346" t="s">
        <v>150</v>
      </c>
      <c r="O66" s="347" t="s">
        <v>157</v>
      </c>
      <c r="P66" s="348" t="s">
        <v>158</v>
      </c>
      <c r="Q66" s="349" t="s">
        <v>159</v>
      </c>
      <c r="R66" s="7"/>
      <c r="S66" s="352"/>
      <c r="T66" s="353"/>
      <c r="U66" s="353"/>
      <c r="V66" s="353"/>
      <c r="W66" s="353"/>
      <c r="X66" s="353"/>
      <c r="Y66" s="353"/>
      <c r="Z66" s="353"/>
    </row>
    <row r="67" ht="15.0" hidden="1" customHeight="1">
      <c r="A67" s="1"/>
      <c r="B67" s="354" t="s">
        <v>40</v>
      </c>
      <c r="C67" s="355"/>
      <c r="D67" s="356"/>
      <c r="E67" s="57"/>
      <c r="F67" s="357" t="str">
        <f t="shared" ref="F67:F69" si="120">IFERROR(E67/C67-1," ")</f>
        <v> </v>
      </c>
      <c r="G67" s="358" t="str">
        <f t="shared" ref="G67:G69" si="121">IFERROR(E67/D67-1," ")</f>
        <v> </v>
      </c>
      <c r="H67" s="355" t="str">
        <f t="shared" ref="H67:J67" si="119">'Garoto senha_capital OK'!F139/1000</f>
        <v>#REF!</v>
      </c>
      <c r="I67" s="356" t="str">
        <f t="shared" si="119"/>
        <v>#REF!</v>
      </c>
      <c r="J67" s="57" t="str">
        <f t="shared" si="119"/>
        <v>#REF!</v>
      </c>
      <c r="K67" s="357" t="str">
        <f t="shared" ref="K67:K69" si="123">IFERROR(J67/H67-1," ")</f>
        <v> </v>
      </c>
      <c r="L67" s="358" t="str">
        <f t="shared" ref="L67:L69" si="124">IFERROR(J67/I67-1," ")</f>
        <v> </v>
      </c>
      <c r="M67" s="355"/>
      <c r="N67" s="57"/>
      <c r="O67" s="57"/>
      <c r="P67" s="357" t="str">
        <f t="shared" ref="P67:P69" si="125">IFERROR(O67/M67-1," ")</f>
        <v> </v>
      </c>
      <c r="Q67" s="358" t="str">
        <f t="shared" ref="Q67:Q69" si="126">IFERROR(O67/N67-1," ")</f>
        <v> </v>
      </c>
      <c r="R67" s="1"/>
      <c r="S67" s="64">
        <v>37.0</v>
      </c>
      <c r="T67" s="1"/>
      <c r="U67" s="1"/>
      <c r="V67" s="1"/>
      <c r="W67" s="1"/>
      <c r="X67" s="1"/>
      <c r="Y67" s="1"/>
      <c r="Z67" s="1"/>
    </row>
    <row r="68" ht="15.0" hidden="1" customHeight="1">
      <c r="A68" s="1"/>
      <c r="B68" s="354" t="s">
        <v>71</v>
      </c>
      <c r="C68" s="355"/>
      <c r="D68" s="356"/>
      <c r="E68" s="57"/>
      <c r="F68" s="357" t="str">
        <f t="shared" si="120"/>
        <v> </v>
      </c>
      <c r="G68" s="358" t="str">
        <f t="shared" si="121"/>
        <v> </v>
      </c>
      <c r="H68" s="355" t="str">
        <f t="shared" ref="H68:J68" si="122">'Garoto senha_capital OK'!F140/1000</f>
        <v>#REF!</v>
      </c>
      <c r="I68" s="359" t="str">
        <f t="shared" si="122"/>
        <v>#REF!</v>
      </c>
      <c r="J68" s="57" t="str">
        <f t="shared" si="122"/>
        <v>#REF!</v>
      </c>
      <c r="K68" s="357" t="str">
        <f t="shared" si="123"/>
        <v> </v>
      </c>
      <c r="L68" s="358" t="str">
        <f t="shared" si="124"/>
        <v> </v>
      </c>
      <c r="M68" s="355"/>
      <c r="N68" s="57"/>
      <c r="O68" s="57"/>
      <c r="P68" s="357" t="str">
        <f t="shared" si="125"/>
        <v> </v>
      </c>
      <c r="Q68" s="358" t="str">
        <f t="shared" si="126"/>
        <v> </v>
      </c>
      <c r="R68" s="1"/>
      <c r="S68" s="64">
        <v>-270.0</v>
      </c>
      <c r="T68" s="1"/>
      <c r="U68" s="1"/>
      <c r="V68" s="1"/>
      <c r="W68" s="1"/>
      <c r="X68" s="1"/>
      <c r="Y68" s="1"/>
      <c r="Z68" s="1"/>
    </row>
    <row r="69" ht="15.0" hidden="1" customHeight="1">
      <c r="A69" s="1"/>
      <c r="B69" s="360" t="s">
        <v>85</v>
      </c>
      <c r="C69" s="355"/>
      <c r="D69" s="57"/>
      <c r="E69" s="57"/>
      <c r="F69" s="357" t="str">
        <f t="shared" si="120"/>
        <v> </v>
      </c>
      <c r="G69" s="358" t="str">
        <f t="shared" si="121"/>
        <v> </v>
      </c>
      <c r="H69" s="355" t="str">
        <f t="shared" ref="H69:J69" si="127">H67+H68</f>
        <v>#REF!</v>
      </c>
      <c r="I69" s="57" t="str">
        <f t="shared" si="127"/>
        <v>#REF!</v>
      </c>
      <c r="J69" s="248" t="str">
        <f t="shared" si="127"/>
        <v>#REF!</v>
      </c>
      <c r="K69" s="357" t="str">
        <f t="shared" si="123"/>
        <v> </v>
      </c>
      <c r="L69" s="358" t="str">
        <f t="shared" si="124"/>
        <v> </v>
      </c>
      <c r="M69" s="361"/>
      <c r="N69" s="248"/>
      <c r="O69" s="248"/>
      <c r="P69" s="357" t="str">
        <f t="shared" si="125"/>
        <v> </v>
      </c>
      <c r="Q69" s="358" t="str">
        <f t="shared" si="126"/>
        <v> </v>
      </c>
      <c r="R69" s="1"/>
      <c r="S69" s="1">
        <f>S67+S68</f>
        <v>-233</v>
      </c>
      <c r="T69" s="1"/>
      <c r="U69" s="1"/>
      <c r="V69" s="1"/>
      <c r="W69" s="1"/>
      <c r="X69" s="1"/>
      <c r="Y69" s="1"/>
      <c r="Z69" s="1"/>
    </row>
    <row r="70" ht="15.0" hidden="1" customHeight="1">
      <c r="A70" s="1"/>
      <c r="B70" s="354" t="s">
        <v>73</v>
      </c>
      <c r="C70" s="355"/>
      <c r="D70" s="57"/>
      <c r="E70" s="57"/>
      <c r="F70" s="362">
        <v>0.0</v>
      </c>
      <c r="G70" s="363">
        <v>0.0</v>
      </c>
      <c r="H70" s="355">
        <v>0.0</v>
      </c>
      <c r="I70" s="57">
        <v>0.0</v>
      </c>
      <c r="J70" s="57">
        <v>0.0</v>
      </c>
      <c r="K70" s="362">
        <v>0.0</v>
      </c>
      <c r="L70" s="363">
        <v>0.0</v>
      </c>
      <c r="M70" s="355"/>
      <c r="N70" s="57"/>
      <c r="O70" s="57"/>
      <c r="P70" s="362">
        <v>0.0</v>
      </c>
      <c r="Q70" s="363">
        <v>0.0</v>
      </c>
      <c r="R70" s="1"/>
      <c r="S70" s="1"/>
      <c r="T70" s="1"/>
      <c r="U70" s="1"/>
      <c r="V70" s="1"/>
      <c r="W70" s="1"/>
      <c r="X70" s="1"/>
      <c r="Y70" s="1"/>
      <c r="Z70" s="1"/>
    </row>
    <row r="71" ht="15.0" hidden="1" customHeight="1">
      <c r="A71" s="1"/>
      <c r="B71" s="354" t="s">
        <v>75</v>
      </c>
      <c r="C71" s="361"/>
      <c r="D71" s="248"/>
      <c r="E71" s="248"/>
      <c r="F71" s="357" t="str">
        <f t="shared" ref="F71:F72" si="129">IFERROR(E71/C71-1," ")</f>
        <v> </v>
      </c>
      <c r="G71" s="358" t="str">
        <f t="shared" ref="G71:G72" si="130">IFERROR(E71/D71-1," ")</f>
        <v> </v>
      </c>
      <c r="H71" s="361" t="str">
        <f t="shared" ref="H71:J71" si="128">H69</f>
        <v>#REF!</v>
      </c>
      <c r="I71" s="248" t="str">
        <f t="shared" si="128"/>
        <v>#REF!</v>
      </c>
      <c r="J71" s="248" t="str">
        <f t="shared" si="128"/>
        <v>#REF!</v>
      </c>
      <c r="K71" s="357" t="str">
        <f t="shared" ref="K71:K72" si="132">IFERROR(J71/H71-1," ")</f>
        <v> </v>
      </c>
      <c r="L71" s="358" t="str">
        <f t="shared" ref="L71:L72" si="133">IFERROR(J71/I71-1," ")</f>
        <v> </v>
      </c>
      <c r="M71" s="361"/>
      <c r="N71" s="248"/>
      <c r="O71" s="248"/>
      <c r="P71" s="357" t="str">
        <f t="shared" ref="P71:P72" si="134">IFERROR(O71/M71-1," ")</f>
        <v> </v>
      </c>
      <c r="Q71" s="358" t="str">
        <f t="shared" ref="Q71:Q72" si="135">IFERROR(O71/N71-1," ")</f>
        <v> </v>
      </c>
      <c r="R71" s="1"/>
      <c r="S71" s="1"/>
      <c r="T71" s="1"/>
      <c r="U71" s="1"/>
      <c r="V71" s="1"/>
      <c r="W71" s="1"/>
      <c r="X71" s="1"/>
      <c r="Y71" s="1"/>
      <c r="Z71" s="1"/>
    </row>
    <row r="72" ht="15.0" hidden="1" customHeight="1">
      <c r="A72" s="1"/>
      <c r="B72" s="354" t="s">
        <v>77</v>
      </c>
      <c r="C72" s="355"/>
      <c r="D72" s="356"/>
      <c r="E72" s="57"/>
      <c r="F72" s="357" t="str">
        <f t="shared" si="129"/>
        <v> </v>
      </c>
      <c r="G72" s="358" t="str">
        <f t="shared" si="130"/>
        <v> </v>
      </c>
      <c r="H72" s="355" t="str">
        <f t="shared" ref="H72:J72" si="131">'Garoto senha_capital OK'!F143/1000</f>
        <v>#REF!</v>
      </c>
      <c r="I72" s="364" t="str">
        <f t="shared" si="131"/>
        <v>#REF!</v>
      </c>
      <c r="J72" s="57" t="str">
        <f t="shared" si="131"/>
        <v>#REF!</v>
      </c>
      <c r="K72" s="357" t="str">
        <f t="shared" si="132"/>
        <v> </v>
      </c>
      <c r="L72" s="358" t="str">
        <f t="shared" si="133"/>
        <v> </v>
      </c>
      <c r="M72" s="355"/>
      <c r="N72" s="57"/>
      <c r="O72" s="57"/>
      <c r="P72" s="357" t="str">
        <f t="shared" si="134"/>
        <v> </v>
      </c>
      <c r="Q72" s="358" t="str">
        <f t="shared" si="135"/>
        <v> </v>
      </c>
      <c r="R72" s="1"/>
      <c r="S72" s="1"/>
      <c r="T72" s="1"/>
      <c r="U72" s="1"/>
      <c r="V72" s="1"/>
      <c r="W72" s="1"/>
      <c r="X72" s="1"/>
      <c r="Y72" s="1"/>
      <c r="Z72" s="1"/>
    </row>
    <row r="73" ht="15.0" hidden="1" customHeight="1">
      <c r="A73" s="165"/>
      <c r="B73" s="365" t="s">
        <v>80</v>
      </c>
      <c r="C73" s="366">
        <f t="shared" ref="C73:E73" si="136">C71+C72</f>
        <v>0</v>
      </c>
      <c r="D73" s="367">
        <f t="shared" si="136"/>
        <v>0</v>
      </c>
      <c r="E73" s="367">
        <f t="shared" si="136"/>
        <v>0</v>
      </c>
      <c r="F73" s="368" t="str">
        <f>- IFERROR(E73/C73-1," ")</f>
        <v>#VALUE!</v>
      </c>
      <c r="G73" s="369" t="str">
        <f>-IFERROR(E73/D73-1," ")</f>
        <v>#VALUE!</v>
      </c>
      <c r="H73" s="370" t="str">
        <f t="shared" ref="H73:J73" si="137">H71+H72</f>
        <v>#REF!</v>
      </c>
      <c r="I73" s="371" t="str">
        <f t="shared" si="137"/>
        <v>#REF!</v>
      </c>
      <c r="J73" s="372" t="str">
        <f t="shared" si="137"/>
        <v>#REF!</v>
      </c>
      <c r="K73" s="373" t="str">
        <f>- IFERROR(J73/H73-1," ")</f>
        <v>#VALUE!</v>
      </c>
      <c r="L73" s="369" t="str">
        <f>-IFERROR(J73/I73-1," ")</f>
        <v>#VALUE!</v>
      </c>
      <c r="M73" s="366">
        <f t="shared" ref="M73:O73" si="138">M71+M72</f>
        <v>0</v>
      </c>
      <c r="N73" s="367">
        <f t="shared" si="138"/>
        <v>0</v>
      </c>
      <c r="O73" s="367">
        <f t="shared" si="138"/>
        <v>0</v>
      </c>
      <c r="P73" s="368" t="str">
        <f>-IFERROR(O73/M73-1," ")</f>
        <v>#VALUE!</v>
      </c>
      <c r="Q73" s="369" t="str">
        <f>-IFERROR(O73/N73-1," ")</f>
        <v>#VALUE!</v>
      </c>
      <c r="R73" s="165"/>
      <c r="S73" s="173"/>
      <c r="T73" s="173"/>
      <c r="U73" s="173"/>
      <c r="V73" s="173"/>
      <c r="W73" s="173"/>
      <c r="X73" s="173"/>
      <c r="Y73" s="173"/>
      <c r="Z73" s="173"/>
    </row>
    <row r="74" ht="15.0" hidden="1" customHeight="1">
      <c r="A74" s="1"/>
      <c r="B74" s="354" t="s">
        <v>82</v>
      </c>
      <c r="C74" s="355"/>
      <c r="D74" s="356"/>
      <c r="E74" s="57"/>
      <c r="F74" s="357" t="str">
        <f>IFERROR(E74/C74-1," ")</f>
        <v> </v>
      </c>
      <c r="G74" s="358" t="str">
        <f>IFERROR(E74/D74-1," ")</f>
        <v> </v>
      </c>
      <c r="H74" s="355" t="str">
        <f t="shared" ref="H74:J74" si="139">'Garoto senha_capital OK'!F145/1000</f>
        <v>#REF!</v>
      </c>
      <c r="I74" s="57" t="str">
        <f t="shared" si="139"/>
        <v>#REF!</v>
      </c>
      <c r="J74" s="57" t="str">
        <f t="shared" si="139"/>
        <v>#REF!</v>
      </c>
      <c r="K74" s="357" t="str">
        <f>IFERROR(J74/H74-1," ")</f>
        <v> </v>
      </c>
      <c r="L74" s="358" t="str">
        <f>IFERROR(J74/I74-1," ")</f>
        <v> </v>
      </c>
      <c r="M74" s="355"/>
      <c r="N74" s="57"/>
      <c r="O74" s="57"/>
      <c r="P74" s="357" t="str">
        <f>IFERROR(O74/M74-1," ")</f>
        <v> </v>
      </c>
      <c r="Q74" s="358" t="str">
        <f>IFERROR(O74/N74-1," ")</f>
        <v> </v>
      </c>
      <c r="R74" s="1"/>
      <c r="S74" s="1"/>
      <c r="T74" s="1"/>
      <c r="U74" s="1"/>
      <c r="V74" s="1"/>
      <c r="W74" s="1"/>
      <c r="X74" s="1"/>
      <c r="Y74" s="1"/>
      <c r="Z74" s="1"/>
    </row>
    <row r="75" ht="15.0" hidden="1" customHeight="1">
      <c r="A75" s="1"/>
      <c r="B75" s="354" t="s">
        <v>83</v>
      </c>
      <c r="C75" s="355"/>
      <c r="D75" s="356"/>
      <c r="E75" s="57"/>
      <c r="F75" s="357" t="str">
        <f t="shared" ref="F75:F76" si="141">-IFERROR(E75/C75-1," ")</f>
        <v>#VALUE!</v>
      </c>
      <c r="G75" s="358" t="str">
        <f>-IFERROR(E75/D75-1," ")</f>
        <v>#VALUE!</v>
      </c>
      <c r="H75" s="361" t="str">
        <f t="shared" ref="H75:J75" si="140">H73+H74</f>
        <v>#REF!</v>
      </c>
      <c r="I75" s="248" t="str">
        <f t="shared" si="140"/>
        <v>#REF!</v>
      </c>
      <c r="J75" s="248" t="str">
        <f t="shared" si="140"/>
        <v>#REF!</v>
      </c>
      <c r="K75" s="357" t="str">
        <f>(IFERROR(J75/H75-1," "))</f>
        <v> </v>
      </c>
      <c r="L75" s="358" t="str">
        <f>-IFERROR(J75/I75-1," ")</f>
        <v>#VALUE!</v>
      </c>
      <c r="M75" s="361"/>
      <c r="N75" s="248"/>
      <c r="O75" s="248"/>
      <c r="P75" s="357" t="str">
        <f t="shared" ref="P75:P76" si="143">-IFERROR(O75/M75-1," ")</f>
        <v>#VALUE!</v>
      </c>
      <c r="Q75" s="358" t="str">
        <f>-IFERROR(O75/N75-1," ")</f>
        <v>#VALUE!</v>
      </c>
      <c r="R75" s="1"/>
      <c r="S75" s="1"/>
      <c r="T75" s="1"/>
      <c r="U75" s="1"/>
      <c r="V75" s="1"/>
      <c r="W75" s="1"/>
      <c r="X75" s="1"/>
      <c r="Y75" s="1"/>
      <c r="Z75" s="1"/>
    </row>
    <row r="76" ht="15.0" hidden="1" customHeight="1">
      <c r="A76" s="1"/>
      <c r="B76" s="354" t="s">
        <v>84</v>
      </c>
      <c r="C76" s="355"/>
      <c r="D76" s="356"/>
      <c r="E76" s="57"/>
      <c r="F76" s="357" t="str">
        <f t="shared" si="141"/>
        <v>#VALUE!</v>
      </c>
      <c r="G76" s="358" t="str">
        <f t="shared" ref="G76:G79" si="144">IFERROR(E76/D76-1," ")</f>
        <v> </v>
      </c>
      <c r="H76" s="355" t="str">
        <f t="shared" ref="H76:J76" si="142">'Garoto senha_capital OK'!F147/1000</f>
        <v>#REF!</v>
      </c>
      <c r="I76" s="57" t="str">
        <f t="shared" si="142"/>
        <v>#REF!</v>
      </c>
      <c r="J76" s="57" t="str">
        <f t="shared" si="142"/>
        <v>#REF!</v>
      </c>
      <c r="K76" s="357" t="str">
        <f>-IFERROR(J76/H76-1," ")</f>
        <v>#VALUE!</v>
      </c>
      <c r="L76" s="358" t="str">
        <f t="shared" ref="L76:L77" si="146">IFERROR(J76/I76-1," ")</f>
        <v> </v>
      </c>
      <c r="M76" s="355"/>
      <c r="N76" s="57"/>
      <c r="O76" s="57"/>
      <c r="P76" s="357" t="str">
        <f t="shared" si="143"/>
        <v>#VALUE!</v>
      </c>
      <c r="Q76" s="358" t="str">
        <f t="shared" ref="Q76:Q78" si="147">IFERROR(O76/N76-1," ")</f>
        <v> </v>
      </c>
      <c r="R76" s="1"/>
      <c r="S76" s="1"/>
      <c r="T76" s="1"/>
      <c r="U76" s="1"/>
      <c r="V76" s="1"/>
      <c r="W76" s="1"/>
      <c r="X76" s="1"/>
      <c r="Y76" s="1"/>
      <c r="Z76" s="1"/>
    </row>
    <row r="77" ht="15.0" hidden="1" customHeight="1">
      <c r="A77" s="1"/>
      <c r="B77" s="354" t="s">
        <v>86</v>
      </c>
      <c r="C77" s="57"/>
      <c r="D77" s="356"/>
      <c r="E77" s="248"/>
      <c r="F77" s="357" t="str">
        <f>IFERROR(E77/C77-1," ")</f>
        <v> </v>
      </c>
      <c r="G77" s="358" t="str">
        <f t="shared" si="144"/>
        <v> </v>
      </c>
      <c r="H77" s="361" t="str">
        <f t="shared" ref="H77:J77" si="145">H75+H76</f>
        <v>#REF!</v>
      </c>
      <c r="I77" s="248" t="str">
        <f t="shared" si="145"/>
        <v>#REF!</v>
      </c>
      <c r="J77" s="248" t="str">
        <f t="shared" si="145"/>
        <v>#REF!</v>
      </c>
      <c r="K77" s="357" t="str">
        <f>- IFERROR(J77/H77-1," ")</f>
        <v>#VALUE!</v>
      </c>
      <c r="L77" s="358" t="str">
        <f t="shared" si="146"/>
        <v> </v>
      </c>
      <c r="M77" s="361"/>
      <c r="N77" s="248"/>
      <c r="O77" s="248"/>
      <c r="P77" s="357" t="str">
        <f>IFERROR(O77/M77-1," ")</f>
        <v> </v>
      </c>
      <c r="Q77" s="358" t="str">
        <f t="shared" si="147"/>
        <v> </v>
      </c>
      <c r="R77" s="1"/>
      <c r="S77" s="1"/>
      <c r="T77" s="1"/>
      <c r="U77" s="1"/>
      <c r="V77" s="1"/>
      <c r="W77" s="1"/>
      <c r="X77" s="1"/>
      <c r="Y77" s="1"/>
      <c r="Z77" s="1"/>
    </row>
    <row r="78" ht="15.0" hidden="1" customHeight="1">
      <c r="A78" s="1"/>
      <c r="B78" s="354" t="s">
        <v>87</v>
      </c>
      <c r="C78" s="355"/>
      <c r="D78" s="57"/>
      <c r="E78" s="57"/>
      <c r="F78" s="362">
        <v>0.0</v>
      </c>
      <c r="G78" s="358" t="str">
        <f t="shared" si="144"/>
        <v> </v>
      </c>
      <c r="H78" s="374">
        <v>0.0</v>
      </c>
      <c r="I78" s="57" t="str">
        <f t="shared" ref="I78:J78" si="148">'Garoto senha_capital OK'!G149/1000</f>
        <v>#REF!</v>
      </c>
      <c r="J78" s="57" t="str">
        <f t="shared" si="148"/>
        <v>#REF!</v>
      </c>
      <c r="K78" s="362">
        <v>0.0</v>
      </c>
      <c r="L78" s="358" t="str">
        <f t="shared" ref="L78:L79" si="150">IFERROR(J78/I78-1," ")</f>
        <v> </v>
      </c>
      <c r="M78" s="375"/>
      <c r="N78" s="57"/>
      <c r="O78" s="57"/>
      <c r="P78" s="362">
        <v>0.0</v>
      </c>
      <c r="Q78" s="358" t="str">
        <f t="shared" si="147"/>
        <v> </v>
      </c>
      <c r="R78" s="1"/>
      <c r="S78" s="1"/>
      <c r="T78" s="1"/>
      <c r="U78" s="1"/>
      <c r="V78" s="1"/>
      <c r="W78" s="1"/>
      <c r="X78" s="1"/>
      <c r="Y78" s="1"/>
      <c r="Z78" s="1"/>
    </row>
    <row r="79" ht="15.0" hidden="1" customHeight="1">
      <c r="A79" s="1"/>
      <c r="B79" s="360" t="s">
        <v>125</v>
      </c>
      <c r="C79" s="248"/>
      <c r="D79" s="248"/>
      <c r="E79" s="248"/>
      <c r="F79" s="357" t="str">
        <f>IFERROR(E79/C79-1," ")</f>
        <v> </v>
      </c>
      <c r="G79" s="358" t="str">
        <f t="shared" si="144"/>
        <v> </v>
      </c>
      <c r="H79" s="361" t="str">
        <f t="shared" ref="H79:J79" si="149">H77+H78</f>
        <v>#REF!</v>
      </c>
      <c r="I79" s="248" t="str">
        <f t="shared" si="149"/>
        <v>#REF!</v>
      </c>
      <c r="J79" s="248" t="str">
        <f t="shared" si="149"/>
        <v>#REF!</v>
      </c>
      <c r="K79" s="357" t="str">
        <f>(IFERROR(J79/H79-1," "))</f>
        <v> </v>
      </c>
      <c r="L79" s="358" t="str">
        <f t="shared" si="150"/>
        <v> </v>
      </c>
      <c r="M79" s="361"/>
      <c r="N79" s="248"/>
      <c r="O79" s="248"/>
      <c r="P79" s="357" t="str">
        <f>-IFERROR(O79/M79-1," ")</f>
        <v>#VALUE!</v>
      </c>
      <c r="Q79" s="358" t="str">
        <f>- IFERROR(O79/N79-1," ")</f>
        <v>#VALUE!</v>
      </c>
      <c r="R79" s="1"/>
      <c r="S79" s="1"/>
      <c r="T79" s="1"/>
      <c r="U79" s="1"/>
      <c r="V79" s="1"/>
      <c r="W79" s="1"/>
      <c r="X79" s="1"/>
      <c r="Y79" s="1"/>
      <c r="Z79" s="1"/>
    </row>
    <row r="80" ht="16.5" hidden="1" customHeight="1">
      <c r="A80" s="7"/>
      <c r="B80" s="376" t="s">
        <v>100</v>
      </c>
      <c r="C80" s="377" t="str">
        <f t="shared" ref="C80:D80" si="151">C73/C69</f>
        <v>#DIV/0!</v>
      </c>
      <c r="D80" s="378" t="str">
        <f t="shared" si="151"/>
        <v>#DIV/0!</v>
      </c>
      <c r="E80" s="379"/>
      <c r="F80" s="380"/>
      <c r="G80" s="381"/>
      <c r="H80" s="377" t="str">
        <f t="shared" ref="H80:J80" si="152">H73/H69</f>
        <v>#REF!</v>
      </c>
      <c r="I80" s="379" t="str">
        <f t="shared" si="152"/>
        <v>#REF!</v>
      </c>
      <c r="J80" s="379" t="str">
        <f t="shared" si="152"/>
        <v>#REF!</v>
      </c>
      <c r="K80" s="380"/>
      <c r="L80" s="381"/>
      <c r="M80" s="377" t="str">
        <f t="shared" ref="M80:O80" si="153">M73/M69</f>
        <v>#DIV/0!</v>
      </c>
      <c r="N80" s="379" t="str">
        <f t="shared" si="153"/>
        <v>#DIV/0!</v>
      </c>
      <c r="O80" s="379" t="str">
        <f t="shared" si="153"/>
        <v>#DIV/0!</v>
      </c>
      <c r="P80" s="380"/>
      <c r="Q80" s="381"/>
      <c r="R80" s="7"/>
      <c r="S80" s="353"/>
      <c r="T80" s="353"/>
      <c r="U80" s="353"/>
      <c r="V80" s="353"/>
      <c r="W80" s="353"/>
      <c r="X80" s="353"/>
      <c r="Y80" s="353"/>
      <c r="Z80" s="353"/>
    </row>
    <row r="81" ht="3.0" hidden="1" customHeight="1">
      <c r="A81" s="1"/>
      <c r="B81" s="354"/>
      <c r="C81" s="382"/>
      <c r="D81" s="2"/>
      <c r="E81" s="2"/>
      <c r="F81" s="2"/>
      <c r="G81" s="383"/>
      <c r="H81" s="382"/>
      <c r="I81" s="2"/>
      <c r="J81" s="2"/>
      <c r="K81" s="2"/>
      <c r="L81" s="383"/>
      <c r="M81" s="382"/>
      <c r="N81" s="2"/>
      <c r="O81" s="2"/>
      <c r="P81" s="2"/>
      <c r="Q81" s="383"/>
      <c r="R81" s="1"/>
      <c r="S81" s="1"/>
      <c r="T81" s="1"/>
      <c r="U81" s="1"/>
      <c r="V81" s="1"/>
      <c r="W81" s="1"/>
      <c r="X81" s="1"/>
      <c r="Y81" s="1"/>
      <c r="Z81" s="1"/>
    </row>
    <row r="82" ht="16.5" hidden="1" customHeight="1">
      <c r="A82" s="1"/>
      <c r="B82" s="384" t="s">
        <v>160</v>
      </c>
      <c r="C82" s="385" t="str">
        <f t="shared" ref="C82:E82" si="154">C72/C69</f>
        <v>#DIV/0!</v>
      </c>
      <c r="D82" s="386" t="str">
        <f t="shared" si="154"/>
        <v>#DIV/0!</v>
      </c>
      <c r="E82" s="386" t="str">
        <f t="shared" si="154"/>
        <v>#DIV/0!</v>
      </c>
      <c r="F82" s="387"/>
      <c r="G82" s="388"/>
      <c r="H82" s="385" t="str">
        <f t="shared" ref="H82:J82" si="155">H72/H69</f>
        <v>#REF!</v>
      </c>
      <c r="I82" s="386" t="str">
        <f t="shared" si="155"/>
        <v>#REF!</v>
      </c>
      <c r="J82" s="386" t="str">
        <f t="shared" si="155"/>
        <v>#REF!</v>
      </c>
      <c r="K82" s="387"/>
      <c r="L82" s="388"/>
      <c r="M82" s="385" t="str">
        <f t="shared" ref="M82:O82" si="156">M72/M69</f>
        <v>#DIV/0!</v>
      </c>
      <c r="N82" s="386" t="str">
        <f t="shared" si="156"/>
        <v>#DIV/0!</v>
      </c>
      <c r="O82" s="386" t="str">
        <f t="shared" si="156"/>
        <v>#DIV/0!</v>
      </c>
      <c r="P82" s="387"/>
      <c r="Q82" s="388"/>
      <c r="R82" s="1"/>
      <c r="S82" s="35"/>
      <c r="T82" s="35"/>
      <c r="U82" s="35"/>
      <c r="V82" s="35"/>
      <c r="W82" s="35"/>
      <c r="X82" s="35"/>
      <c r="Y82" s="35"/>
      <c r="Z82" s="35"/>
    </row>
    <row r="83" ht="3.75" hidden="1" customHeight="1">
      <c r="A83" s="1"/>
      <c r="B83" s="354"/>
      <c r="C83" s="382"/>
      <c r="D83" s="2"/>
      <c r="E83" s="2"/>
      <c r="F83" s="2"/>
      <c r="G83" s="383"/>
      <c r="H83" s="382"/>
      <c r="I83" s="2"/>
      <c r="J83" s="2"/>
      <c r="K83" s="2"/>
      <c r="L83" s="383"/>
      <c r="M83" s="382"/>
      <c r="N83" s="2"/>
      <c r="O83" s="2"/>
      <c r="P83" s="2"/>
      <c r="Q83" s="383"/>
      <c r="R83" s="1"/>
      <c r="S83" s="1"/>
      <c r="T83" s="1"/>
      <c r="U83" s="1"/>
      <c r="V83" s="1"/>
      <c r="W83" s="1"/>
      <c r="X83" s="1"/>
      <c r="Y83" s="1"/>
      <c r="Z83" s="1"/>
    </row>
    <row r="84" ht="16.5" hidden="1" customHeight="1">
      <c r="A84" s="1"/>
      <c r="B84" s="376" t="s">
        <v>161</v>
      </c>
      <c r="C84" s="377" t="str">
        <f t="shared" ref="C84:E84" si="157">C79/C69</f>
        <v>#DIV/0!</v>
      </c>
      <c r="D84" s="379" t="str">
        <f t="shared" si="157"/>
        <v>#DIV/0!</v>
      </c>
      <c r="E84" s="379" t="str">
        <f t="shared" si="157"/>
        <v>#DIV/0!</v>
      </c>
      <c r="F84" s="380"/>
      <c r="G84" s="381"/>
      <c r="H84" s="377" t="str">
        <f t="shared" ref="H84:J84" si="158">H79/H69</f>
        <v>#REF!</v>
      </c>
      <c r="I84" s="379" t="str">
        <f t="shared" si="158"/>
        <v>#REF!</v>
      </c>
      <c r="J84" s="379" t="str">
        <f t="shared" si="158"/>
        <v>#REF!</v>
      </c>
      <c r="K84" s="380"/>
      <c r="L84" s="381"/>
      <c r="M84" s="377" t="str">
        <f t="shared" ref="M84:O84" si="159">M79/M69</f>
        <v>#DIV/0!</v>
      </c>
      <c r="N84" s="379" t="str">
        <f t="shared" si="159"/>
        <v>#DIV/0!</v>
      </c>
      <c r="O84" s="379" t="str">
        <f t="shared" si="159"/>
        <v>#DIV/0!</v>
      </c>
      <c r="P84" s="380"/>
      <c r="Q84" s="381"/>
      <c r="R84" s="1"/>
      <c r="S84" s="35"/>
      <c r="T84" s="35"/>
      <c r="U84" s="35"/>
      <c r="V84" s="35"/>
      <c r="W84" s="35"/>
      <c r="X84" s="35"/>
      <c r="Y84" s="35"/>
      <c r="Z84" s="35"/>
    </row>
    <row r="85" ht="13.5" customHeight="1">
      <c r="A85" s="1"/>
      <c r="B85" s="1"/>
      <c r="C85" s="389">
        <f t="shared" ref="C85:E85" si="160">C60-C39</f>
        <v>1181.253874</v>
      </c>
      <c r="D85" s="389">
        <f t="shared" si="160"/>
        <v>1099.064284</v>
      </c>
      <c r="E85" s="389">
        <f t="shared" si="160"/>
        <v>1332.918239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3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6" t="s">
        <v>162</v>
      </c>
      <c r="C87" s="25" t="str">
        <f>C3</f>
        <v>JULHO</v>
      </c>
      <c r="D87" s="27"/>
      <c r="E87" s="27"/>
      <c r="F87" s="27"/>
      <c r="G87" s="28"/>
      <c r="H87" s="25" t="str">
        <f>H3</f>
        <v>ACUMULADO JANEIRO A JULHO</v>
      </c>
      <c r="I87" s="27"/>
      <c r="J87" s="27"/>
      <c r="K87" s="27"/>
      <c r="L87" s="28"/>
      <c r="M87" s="343" t="str">
        <f>M3</f>
        <v>RITMO</v>
      </c>
      <c r="N87" s="27"/>
      <c r="O87" s="27"/>
      <c r="P87" s="27"/>
      <c r="Q87" s="28"/>
      <c r="R87" s="1"/>
      <c r="S87" s="35"/>
      <c r="T87" s="35"/>
      <c r="U87" s="35"/>
      <c r="V87" s="35"/>
      <c r="W87" s="35"/>
      <c r="X87" s="35"/>
      <c r="Y87" s="35"/>
      <c r="Z87" s="35"/>
    </row>
    <row r="88" ht="33.75" customHeight="1">
      <c r="A88" s="344"/>
      <c r="B88" s="38"/>
      <c r="C88" s="39" t="s">
        <v>27</v>
      </c>
      <c r="D88" s="41" t="s">
        <v>30</v>
      </c>
      <c r="E88" s="41" t="s">
        <v>31</v>
      </c>
      <c r="F88" s="41" t="s">
        <v>32</v>
      </c>
      <c r="G88" s="43" t="s">
        <v>34</v>
      </c>
      <c r="H88" s="39" t="s">
        <v>27</v>
      </c>
      <c r="I88" s="41" t="s">
        <v>30</v>
      </c>
      <c r="J88" s="41" t="s">
        <v>31</v>
      </c>
      <c r="K88" s="41" t="s">
        <v>32</v>
      </c>
      <c r="L88" s="43" t="s">
        <v>34</v>
      </c>
      <c r="M88" s="39" t="s">
        <v>27</v>
      </c>
      <c r="N88" s="41" t="s">
        <v>30</v>
      </c>
      <c r="O88" s="41" t="s">
        <v>36</v>
      </c>
      <c r="P88" s="41" t="s">
        <v>38</v>
      </c>
      <c r="Q88" s="43" t="s">
        <v>39</v>
      </c>
      <c r="R88" s="7"/>
      <c r="S88" s="353"/>
      <c r="T88" s="353"/>
      <c r="U88" s="353"/>
      <c r="V88" s="353"/>
      <c r="W88" s="353"/>
      <c r="X88" s="353"/>
      <c r="Y88" s="353"/>
      <c r="Z88" s="353"/>
    </row>
    <row r="89" ht="15.0" customHeight="1">
      <c r="A89" s="1"/>
      <c r="B89" s="354" t="s">
        <v>40</v>
      </c>
      <c r="C89" s="355">
        <f>'Hangar senha_capital OK'!B131/1000</f>
        <v>471.43324</v>
      </c>
      <c r="D89" s="57">
        <f>'Hangar senha_capital OK'!C131/1000</f>
        <v>520.386</v>
      </c>
      <c r="E89" s="57">
        <f>'Hangar senha_capital OK'!D131/1000</f>
        <v>559.40313</v>
      </c>
      <c r="F89" s="357">
        <f t="shared" ref="F89:F91" si="161">IFERROR(E89/D89-1," ")</f>
        <v>0.07497728609</v>
      </c>
      <c r="G89" s="358">
        <f t="shared" ref="G89:G91" si="162">IFERROR(E89/C89-1," ")</f>
        <v>0.1866009491</v>
      </c>
      <c r="H89" s="355">
        <f>'Hangar senha_capital OK'!F131/1000</f>
        <v>2650.30901</v>
      </c>
      <c r="I89" s="57">
        <f>'Hangar senha_capital OK'!G131/1000</f>
        <v>3069.38</v>
      </c>
      <c r="J89" s="57">
        <f>'Hangar senha_capital OK'!H131/1000</f>
        <v>3447.70926</v>
      </c>
      <c r="K89" s="357">
        <f t="shared" ref="K89:K91" si="163">IFERROR(J89/I89-1," ")</f>
        <v>0.1232591794</v>
      </c>
      <c r="L89" s="358">
        <f t="shared" ref="L89:L91" si="164">IFERROR(J89/H89-1," ")</f>
        <v>0.3008706709</v>
      </c>
      <c r="M89" s="57">
        <f>'Hangar senha_capital OK'!J131/1000</f>
        <v>4863.8396</v>
      </c>
      <c r="N89" s="57">
        <f>'Hangar senha_capital OK'!K131/1000</f>
        <v>5484.732</v>
      </c>
      <c r="O89" s="57">
        <f>'Hangar senha_capital OK'!L131/1000</f>
        <v>6021.29926</v>
      </c>
      <c r="P89" s="357">
        <f t="shared" ref="P89:P91" si="165">IFERROR(O89/N89-1," ")</f>
        <v>0.09782925766</v>
      </c>
      <c r="Q89" s="358">
        <f t="shared" ref="Q89:Q91" si="166">IFERROR(O89/M89-1," ")</f>
        <v>0.2379724159</v>
      </c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354" t="s">
        <v>71</v>
      </c>
      <c r="C90" s="355">
        <f>'Hangar senha_capital OK'!B132/1000</f>
        <v>-70.38363</v>
      </c>
      <c r="D90" s="57">
        <f>'Hangar senha_capital OK'!C132/1000</f>
        <v>-74.15501</v>
      </c>
      <c r="E90" s="57">
        <f>'Hangar senha_capital OK'!D132/1000</f>
        <v>-80.25691</v>
      </c>
      <c r="F90" s="357">
        <f t="shared" si="161"/>
        <v>0.08228574172</v>
      </c>
      <c r="G90" s="358">
        <f t="shared" si="162"/>
        <v>0.1402780732</v>
      </c>
      <c r="H90" s="355">
        <f>'Hangar senha_capital OK'!F132/1000</f>
        <v>-386.05337</v>
      </c>
      <c r="I90" s="57">
        <f>'Hangar senha_capital OK'!G132/1000</f>
        <v>-437.38669</v>
      </c>
      <c r="J90" s="57">
        <f>'Hangar senha_capital OK'!H132/1000</f>
        <v>-497.8368</v>
      </c>
      <c r="K90" s="357">
        <f t="shared" si="163"/>
        <v>0.1382074749</v>
      </c>
      <c r="L90" s="358">
        <f t="shared" si="164"/>
        <v>0.2895543432</v>
      </c>
      <c r="M90" s="57">
        <f>'Hangar senha_capital OK'!J132/1000</f>
        <v>-706.70387</v>
      </c>
      <c r="N90" s="57">
        <f>'Hangar senha_capital OK'!K132/1000</f>
        <v>-781.57436</v>
      </c>
      <c r="O90" s="57">
        <f>'Hangar senha_capital OK'!L132/1000</f>
        <v>-864.57339</v>
      </c>
      <c r="P90" s="357">
        <f t="shared" si="165"/>
        <v>0.1061946684</v>
      </c>
      <c r="Q90" s="358">
        <f t="shared" si="166"/>
        <v>0.2233885036</v>
      </c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360" t="s">
        <v>85</v>
      </c>
      <c r="C91" s="355">
        <f t="shared" ref="C91:E91" si="167">C89+C90</f>
        <v>401.04961</v>
      </c>
      <c r="D91" s="57">
        <f t="shared" si="167"/>
        <v>446.23099</v>
      </c>
      <c r="E91" s="57">
        <f t="shared" si="167"/>
        <v>479.14622</v>
      </c>
      <c r="F91" s="357">
        <f t="shared" si="161"/>
        <v>0.0737627613</v>
      </c>
      <c r="G91" s="358">
        <f t="shared" si="162"/>
        <v>0.1947305472</v>
      </c>
      <c r="H91" s="355">
        <f t="shared" ref="H91:J91" si="168">H89+H90</f>
        <v>2264.25564</v>
      </c>
      <c r="I91" s="57">
        <f t="shared" si="168"/>
        <v>2631.99331</v>
      </c>
      <c r="J91" s="248">
        <f t="shared" si="168"/>
        <v>2949.87246</v>
      </c>
      <c r="K91" s="357">
        <f t="shared" si="163"/>
        <v>0.12077506</v>
      </c>
      <c r="L91" s="358">
        <f t="shared" si="164"/>
        <v>0.3028000937</v>
      </c>
      <c r="M91" s="361">
        <f t="shared" ref="M91:O91" si="169">M89+M90</f>
        <v>4157.13573</v>
      </c>
      <c r="N91" s="248">
        <f t="shared" si="169"/>
        <v>4703.15764</v>
      </c>
      <c r="O91" s="248">
        <f t="shared" si="169"/>
        <v>5156.72587</v>
      </c>
      <c r="P91" s="357">
        <f t="shared" si="165"/>
        <v>0.09643908725</v>
      </c>
      <c r="Q91" s="358">
        <f t="shared" si="166"/>
        <v>0.2404516487</v>
      </c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354" t="s">
        <v>73</v>
      </c>
      <c r="C92" s="257">
        <v>0.0</v>
      </c>
      <c r="D92" s="146">
        <v>0.0</v>
      </c>
      <c r="E92" s="146">
        <v>0.0</v>
      </c>
      <c r="F92" s="146">
        <v>0.0</v>
      </c>
      <c r="G92" s="390">
        <v>0.0</v>
      </c>
      <c r="H92" s="257">
        <v>0.0</v>
      </c>
      <c r="I92" s="146">
        <v>0.0</v>
      </c>
      <c r="J92" s="146">
        <v>0.0</v>
      </c>
      <c r="K92" s="146">
        <v>0.0</v>
      </c>
      <c r="L92" s="390">
        <v>0.0</v>
      </c>
      <c r="M92" s="257">
        <v>0.0</v>
      </c>
      <c r="N92" s="146">
        <v>0.0</v>
      </c>
      <c r="O92" s="146">
        <v>0.0</v>
      </c>
      <c r="P92" s="146">
        <v>0.0</v>
      </c>
      <c r="Q92" s="390">
        <v>0.0</v>
      </c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354" t="s">
        <v>75</v>
      </c>
      <c r="C93" s="361">
        <f t="shared" ref="C93:E93" si="170">C91+C92</f>
        <v>401.04961</v>
      </c>
      <c r="D93" s="248">
        <f t="shared" si="170"/>
        <v>446.23099</v>
      </c>
      <c r="E93" s="248">
        <f t="shared" si="170"/>
        <v>479.14622</v>
      </c>
      <c r="F93" s="357">
        <f t="shared" ref="F93:F103" si="173">IFERROR(E93/D93-1," ")</f>
        <v>0.0737627613</v>
      </c>
      <c r="G93" s="358">
        <f t="shared" ref="G93:G100" si="174">IFERROR(E93/C93-1," ")</f>
        <v>0.1947305472</v>
      </c>
      <c r="H93" s="361">
        <f t="shared" ref="H93:J93" si="171">H91</f>
        <v>2264.25564</v>
      </c>
      <c r="I93" s="248">
        <f t="shared" si="171"/>
        <v>2631.99331</v>
      </c>
      <c r="J93" s="248">
        <f t="shared" si="171"/>
        <v>2949.87246</v>
      </c>
      <c r="K93" s="357">
        <f t="shared" ref="K93:K94" si="175">IFERROR(J93/I93-1," ")</f>
        <v>0.12077506</v>
      </c>
      <c r="L93" s="358">
        <f t="shared" ref="L93:L103" si="176">IFERROR(J93/H93-1," ")</f>
        <v>0.3028000937</v>
      </c>
      <c r="M93" s="361">
        <f t="shared" ref="M93:O93" si="172">M91+M92</f>
        <v>4157.13573</v>
      </c>
      <c r="N93" s="248">
        <f t="shared" si="172"/>
        <v>4703.15764</v>
      </c>
      <c r="O93" s="248">
        <f t="shared" si="172"/>
        <v>5156.72587</v>
      </c>
      <c r="P93" s="357">
        <f t="shared" ref="P93:P94" si="177">IFERROR(O93/N93-1," ")</f>
        <v>0.09643908725</v>
      </c>
      <c r="Q93" s="358">
        <f t="shared" ref="Q93:Q103" si="178">IFERROR(O93/M93-1," ")</f>
        <v>0.2404516487</v>
      </c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354" t="s">
        <v>77</v>
      </c>
      <c r="C94" s="355">
        <f>'Hangar senha_capital OK'!B135/1000</f>
        <v>-259.60716</v>
      </c>
      <c r="D94" s="57">
        <f>'Hangar senha_capital OK'!C135/1000</f>
        <v>-252.88467</v>
      </c>
      <c r="E94" s="57">
        <f>'Hangar senha_capital OK'!D135/1000</f>
        <v>-219.07085</v>
      </c>
      <c r="F94" s="357">
        <f t="shared" si="173"/>
        <v>-0.1337124152</v>
      </c>
      <c r="G94" s="358">
        <f t="shared" si="174"/>
        <v>-0.1561448074</v>
      </c>
      <c r="H94" s="355">
        <f>'Hangar senha_capital OK'!F135/1000</f>
        <v>-1590.67806</v>
      </c>
      <c r="I94" s="57">
        <f>'Hangar senha_capital OK'!G135/1000</f>
        <v>-1885.84847</v>
      </c>
      <c r="J94" s="57">
        <f>'Hangar senha_capital OK'!H135/1000</f>
        <v>-1762.02578</v>
      </c>
      <c r="K94" s="357">
        <f t="shared" si="175"/>
        <v>-0.06565887555</v>
      </c>
      <c r="L94" s="358">
        <f t="shared" si="176"/>
        <v>0.1077199242</v>
      </c>
      <c r="M94" s="57">
        <f>'Hangar senha_capital OK'!J135/1000</f>
        <v>-3108.15</v>
      </c>
      <c r="N94" s="57">
        <f>'Hangar senha_capital OK'!K135/1000</f>
        <v>-3181.57563</v>
      </c>
      <c r="O94" s="57">
        <f>'Hangar senha_capital OK'!L135/1000</f>
        <v>-3205.95694</v>
      </c>
      <c r="P94" s="357">
        <f t="shared" si="177"/>
        <v>0.007663281605</v>
      </c>
      <c r="Q94" s="358">
        <f t="shared" si="178"/>
        <v>0.03146789569</v>
      </c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65"/>
      <c r="B95" s="365" t="s">
        <v>80</v>
      </c>
      <c r="C95" s="366">
        <f t="shared" ref="C95:E95" si="179">C93+C94</f>
        <v>141.44245</v>
      </c>
      <c r="D95" s="367">
        <f t="shared" si="179"/>
        <v>193.34632</v>
      </c>
      <c r="E95" s="367">
        <f t="shared" si="179"/>
        <v>260.07537</v>
      </c>
      <c r="F95" s="368">
        <f t="shared" si="173"/>
        <v>0.3451270756</v>
      </c>
      <c r="G95" s="369">
        <f t="shared" si="174"/>
        <v>0.83873632</v>
      </c>
      <c r="H95" s="370">
        <f t="shared" ref="H95:J95" si="180">H93+H94</f>
        <v>673.57758</v>
      </c>
      <c r="I95" s="371">
        <f t="shared" si="180"/>
        <v>746.14484</v>
      </c>
      <c r="J95" s="372">
        <f t="shared" si="180"/>
        <v>1187.84668</v>
      </c>
      <c r="K95" s="373">
        <f>(IFERROR(J95/I95-1," "))</f>
        <v>0.5919786834</v>
      </c>
      <c r="L95" s="369">
        <f t="shared" si="176"/>
        <v>0.7634890401</v>
      </c>
      <c r="M95" s="370">
        <f t="shared" ref="M95:O95" si="181">M93+M94</f>
        <v>1048.98573</v>
      </c>
      <c r="N95" s="372">
        <f t="shared" si="181"/>
        <v>1521.58201</v>
      </c>
      <c r="O95" s="372">
        <f t="shared" si="181"/>
        <v>1950.76893</v>
      </c>
      <c r="P95" s="373">
        <f>(IFERROR(O95/N95-1," "))</f>
        <v>0.2820662424</v>
      </c>
      <c r="Q95" s="369">
        <f t="shared" si="178"/>
        <v>0.859671561</v>
      </c>
      <c r="R95" s="165"/>
      <c r="S95" s="173"/>
      <c r="T95" s="173"/>
      <c r="U95" s="173"/>
      <c r="V95" s="173"/>
      <c r="W95" s="173"/>
      <c r="X95" s="173"/>
      <c r="Y95" s="173"/>
      <c r="Z95" s="173"/>
    </row>
    <row r="96" ht="15.0" customHeight="1">
      <c r="A96" s="1"/>
      <c r="B96" s="354" t="s">
        <v>82</v>
      </c>
      <c r="C96" s="355">
        <f>'Hangar senha_capital OK'!B137/1000</f>
        <v>-42.8642</v>
      </c>
      <c r="D96" s="57">
        <f>'Hangar senha_capital OK'!C137/1000</f>
        <v>-46.25173</v>
      </c>
      <c r="E96" s="57">
        <f>'Hangar senha_capital OK'!D137/1000</f>
        <v>-43.08163</v>
      </c>
      <c r="F96" s="357">
        <f t="shared" si="173"/>
        <v>-0.06854013893</v>
      </c>
      <c r="G96" s="358">
        <f t="shared" si="174"/>
        <v>0.00507253139</v>
      </c>
      <c r="H96" s="355">
        <f>'Hangar senha_capital OK'!F137/1000</f>
        <v>-300.71395</v>
      </c>
      <c r="I96" s="57">
        <f>'Hangar senha_capital OK'!G137/1000</f>
        <v>-322.83281</v>
      </c>
      <c r="J96" s="57">
        <f>'Hangar senha_capital OK'!H137/1000</f>
        <v>-299.88051</v>
      </c>
      <c r="K96" s="357">
        <f t="shared" ref="K96:K103" si="184">IFERROR(J96/I96-1," ")</f>
        <v>-0.07109655304</v>
      </c>
      <c r="L96" s="358">
        <f t="shared" si="176"/>
        <v>-0.002771537536</v>
      </c>
      <c r="M96" s="57">
        <f>'Hangar senha_capital OK'!J137/1000</f>
        <v>-511.63264</v>
      </c>
      <c r="N96" s="57">
        <f>'Hangar senha_capital OK'!K137/1000</f>
        <v>-547.66656</v>
      </c>
      <c r="O96" s="57">
        <f>'Hangar senha_capital OK'!L137/1000</f>
        <v>-524.71426</v>
      </c>
      <c r="P96" s="357">
        <f t="shared" ref="P96:P103" si="186">IFERROR(O96/N96-1," ")</f>
        <v>-0.04190925953</v>
      </c>
      <c r="Q96" s="358">
        <f t="shared" si="178"/>
        <v>0.02556838438</v>
      </c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354" t="s">
        <v>83</v>
      </c>
      <c r="C97" s="355">
        <f t="shared" ref="C97:E97" si="182">C95+C96</f>
        <v>98.57825</v>
      </c>
      <c r="D97" s="57">
        <f t="shared" si="182"/>
        <v>147.09459</v>
      </c>
      <c r="E97" s="57">
        <f t="shared" si="182"/>
        <v>216.99374</v>
      </c>
      <c r="F97" s="357">
        <f t="shared" si="173"/>
        <v>0.475198646</v>
      </c>
      <c r="G97" s="358">
        <f t="shared" si="174"/>
        <v>1.201233436</v>
      </c>
      <c r="H97" s="361">
        <f t="shared" ref="H97:J97" si="183">H95+H96</f>
        <v>372.86363</v>
      </c>
      <c r="I97" s="248">
        <f t="shared" si="183"/>
        <v>423.31203</v>
      </c>
      <c r="J97" s="248">
        <f t="shared" si="183"/>
        <v>887.96617</v>
      </c>
      <c r="K97" s="357">
        <f t="shared" si="184"/>
        <v>1.097663442</v>
      </c>
      <c r="L97" s="358">
        <f t="shared" si="176"/>
        <v>1.38147703</v>
      </c>
      <c r="M97" s="361">
        <f t="shared" ref="M97:O97" si="185">M95+M96</f>
        <v>537.35309</v>
      </c>
      <c r="N97" s="248">
        <f t="shared" si="185"/>
        <v>973.91545</v>
      </c>
      <c r="O97" s="248">
        <f t="shared" si="185"/>
        <v>1426.05467</v>
      </c>
      <c r="P97" s="357">
        <f t="shared" si="186"/>
        <v>0.4642489448</v>
      </c>
      <c r="Q97" s="358">
        <f t="shared" si="178"/>
        <v>1.65385032</v>
      </c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354" t="s">
        <v>84</v>
      </c>
      <c r="C98" s="355">
        <f>'Hangar senha_capital OK'!B139/1000</f>
        <v>-11.99234</v>
      </c>
      <c r="D98" s="57">
        <f>'Hangar senha_capital OK'!C139/1000</f>
        <v>-9.18305</v>
      </c>
      <c r="E98" s="57">
        <f>'Hangar senha_capital OK'!D139/1000</f>
        <v>-0.80054</v>
      </c>
      <c r="F98" s="357">
        <f t="shared" si="173"/>
        <v>-0.9128241706</v>
      </c>
      <c r="G98" s="358">
        <f t="shared" si="174"/>
        <v>-0.9332457219</v>
      </c>
      <c r="H98" s="355">
        <f>'Hangar senha_capital OK'!F139/1000</f>
        <v>-86.2422</v>
      </c>
      <c r="I98" s="57">
        <f>'Hangar senha_capital OK'!G139/1000</f>
        <v>-65.03489</v>
      </c>
      <c r="J98" s="57">
        <f>'Hangar senha_capital OK'!H139/1000</f>
        <v>-34.44861</v>
      </c>
      <c r="K98" s="357">
        <f t="shared" si="184"/>
        <v>-0.4703057082</v>
      </c>
      <c r="L98" s="358">
        <f t="shared" si="176"/>
        <v>-0.6005597028</v>
      </c>
      <c r="M98" s="57">
        <f>'Hangar senha_capital OK'!J139/1000</f>
        <v>-127.92137</v>
      </c>
      <c r="N98" s="57">
        <f>'Hangar senha_capital OK'!K139/1000</f>
        <v>-111.16926</v>
      </c>
      <c r="O98" s="57">
        <f>'Hangar senha_capital OK'!L139/1000</f>
        <v>-80.58298</v>
      </c>
      <c r="P98" s="357">
        <f t="shared" si="186"/>
        <v>-0.2751325321</v>
      </c>
      <c r="Q98" s="358">
        <f t="shared" si="178"/>
        <v>-0.3700584977</v>
      </c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354" t="s">
        <v>118</v>
      </c>
      <c r="C99" s="355">
        <f>'Hangar senha_capital OK'!B140/1000</f>
        <v>3.78841</v>
      </c>
      <c r="D99" s="57">
        <f>'Hangar senha_capital OK'!C140/1000</f>
        <v>5.21558</v>
      </c>
      <c r="E99" s="57">
        <f>'Hangar senha_capital OK'!D140/1000</f>
        <v>10.03661</v>
      </c>
      <c r="F99" s="244">
        <f t="shared" si="173"/>
        <v>0.9243516541</v>
      </c>
      <c r="G99" s="358">
        <f t="shared" si="174"/>
        <v>1.649293503</v>
      </c>
      <c r="H99" s="355">
        <f>'Hangar senha_capital OK'!F140/1000</f>
        <v>12.39338</v>
      </c>
      <c r="I99" s="57">
        <f>'Hangar senha_capital OK'!G140/1000</f>
        <v>38.03807</v>
      </c>
      <c r="J99" s="57">
        <f>'Hangar senha_capital OK'!H140/1000</f>
        <v>52.77669</v>
      </c>
      <c r="K99" s="60">
        <f t="shared" si="184"/>
        <v>0.3874702371</v>
      </c>
      <c r="L99" s="62">
        <f t="shared" si="176"/>
        <v>3.258458145</v>
      </c>
      <c r="M99" s="57">
        <f>'Hangar senha_capital OK'!J140/1000</f>
        <v>45.18364</v>
      </c>
      <c r="N99" s="57">
        <f>'Hangar senha_capital OK'!K140/1000</f>
        <v>62.83368</v>
      </c>
      <c r="O99" s="57">
        <f>'Hangar senha_capital OK'!L140/1000</f>
        <v>77.5723</v>
      </c>
      <c r="P99" s="244">
        <f t="shared" si="186"/>
        <v>0.2345656024</v>
      </c>
      <c r="Q99" s="358">
        <f t="shared" si="178"/>
        <v>0.7168227261</v>
      </c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354" t="s">
        <v>121</v>
      </c>
      <c r="C100" s="355">
        <f>'Hangar senha_capital OK'!B141/1000</f>
        <v>-15.78075</v>
      </c>
      <c r="D100" s="57">
        <f>'Hangar senha_capital OK'!C141/1000</f>
        <v>-14.39863</v>
      </c>
      <c r="E100" s="57">
        <f>'Hangar senha_capital OK'!D141/1000</f>
        <v>-10.83715</v>
      </c>
      <c r="F100" s="244">
        <f t="shared" si="173"/>
        <v>-0.2473485325</v>
      </c>
      <c r="G100" s="358">
        <f t="shared" si="174"/>
        <v>-0.3132677471</v>
      </c>
      <c r="H100" s="355">
        <f>'Hangar senha_capital OK'!F141/1000</f>
        <v>-98.63558</v>
      </c>
      <c r="I100" s="57">
        <f>'Hangar senha_capital OK'!G141/1000</f>
        <v>-103.07296</v>
      </c>
      <c r="J100" s="57">
        <f>'Hangar senha_capital OK'!H141/1000</f>
        <v>-87.2253</v>
      </c>
      <c r="K100" s="60">
        <f t="shared" si="184"/>
        <v>-0.1537518666</v>
      </c>
      <c r="L100" s="62">
        <f t="shared" si="176"/>
        <v>-0.1156811771</v>
      </c>
      <c r="M100" s="57">
        <f>'Hangar senha_capital OK'!J141/1000</f>
        <v>-173.10501</v>
      </c>
      <c r="N100" s="57">
        <f>'Hangar senha_capital OK'!K141/1000</f>
        <v>-174.00294</v>
      </c>
      <c r="O100" s="57">
        <f>'Hangar senha_capital OK'!L141/1000</f>
        <v>-158.15528</v>
      </c>
      <c r="P100" s="244">
        <f t="shared" si="186"/>
        <v>-0.09107696686</v>
      </c>
      <c r="Q100" s="358">
        <f t="shared" si="178"/>
        <v>-0.08636220292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354" t="s">
        <v>86</v>
      </c>
      <c r="C101" s="57">
        <f t="shared" ref="C101:E101" si="187">C97+C98</f>
        <v>86.58591</v>
      </c>
      <c r="D101" s="57">
        <f t="shared" si="187"/>
        <v>137.91154</v>
      </c>
      <c r="E101" s="248">
        <f t="shared" si="187"/>
        <v>216.1932</v>
      </c>
      <c r="F101" s="357">
        <f t="shared" si="173"/>
        <v>0.5676222599</v>
      </c>
      <c r="G101" s="358">
        <f>(IFERROR(E101/C101-1," "))</f>
        <v>1.49686352</v>
      </c>
      <c r="H101" s="361">
        <f t="shared" ref="H101:J101" si="188">H97+H98</f>
        <v>286.62143</v>
      </c>
      <c r="I101" s="248">
        <f t="shared" si="188"/>
        <v>358.27714</v>
      </c>
      <c r="J101" s="248">
        <f t="shared" si="188"/>
        <v>853.51756</v>
      </c>
      <c r="K101" s="357">
        <f t="shared" si="184"/>
        <v>1.382283056</v>
      </c>
      <c r="L101" s="358">
        <f t="shared" si="176"/>
        <v>1.97785675</v>
      </c>
      <c r="M101" s="361">
        <f t="shared" ref="M101:O101" si="189">M97+M98</f>
        <v>409.43172</v>
      </c>
      <c r="N101" s="248">
        <f t="shared" si="189"/>
        <v>862.74619</v>
      </c>
      <c r="O101" s="248">
        <f t="shared" si="189"/>
        <v>1345.47169</v>
      </c>
      <c r="P101" s="357">
        <f t="shared" si="186"/>
        <v>0.5595220305</v>
      </c>
      <c r="Q101" s="358">
        <f t="shared" si="178"/>
        <v>2.286193092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354" t="s">
        <v>87</v>
      </c>
      <c r="C102" s="57">
        <f>'Hangar senha_capital OK'!B143/1000</f>
        <v>-15.04749</v>
      </c>
      <c r="D102" s="57">
        <f>'Hangar senha_capital OK'!C143/1000</f>
        <v>-32.3209</v>
      </c>
      <c r="E102" s="57">
        <f>'Hangar senha_capital OK'!D143/1000</f>
        <v>-46.46344</v>
      </c>
      <c r="F102" s="357">
        <f t="shared" si="173"/>
        <v>0.4375664044</v>
      </c>
      <c r="G102" s="358">
        <f>-IFERROR(E102/C102-1," ")</f>
        <v>-2.087786734</v>
      </c>
      <c r="H102" s="57">
        <f>'Hangar senha_capital OK'!F143/1000</f>
        <v>-53.16372</v>
      </c>
      <c r="I102" s="57">
        <f>'Hangar senha_capital OK'!G143/1000</f>
        <v>-81.85308</v>
      </c>
      <c r="J102" s="57">
        <f>'Hangar senha_capital OK'!H143/1000</f>
        <v>-190.16749</v>
      </c>
      <c r="K102" s="357">
        <f t="shared" si="184"/>
        <v>1.323278367</v>
      </c>
      <c r="L102" s="358">
        <f t="shared" si="176"/>
        <v>2.577016243</v>
      </c>
      <c r="M102" s="57">
        <f>'Hangar senha_capital OK'!J143/1000</f>
        <v>-101.236</v>
      </c>
      <c r="N102" s="57">
        <f>'Hangar senha_capital OK'!K143/1000</f>
        <v>-199.24983</v>
      </c>
      <c r="O102" s="57">
        <f>'Hangar senha_capital OK'!L143/1000</f>
        <v>-307.56424</v>
      </c>
      <c r="P102" s="357">
        <f t="shared" si="186"/>
        <v>0.5436110535</v>
      </c>
      <c r="Q102" s="358">
        <f t="shared" si="178"/>
        <v>2.038091588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360" t="s">
        <v>125</v>
      </c>
      <c r="C103" s="248">
        <f t="shared" ref="C103:E103" si="190">C101+C102</f>
        <v>71.53842</v>
      </c>
      <c r="D103" s="248">
        <f t="shared" si="190"/>
        <v>105.59064</v>
      </c>
      <c r="E103" s="248">
        <f t="shared" si="190"/>
        <v>169.72976</v>
      </c>
      <c r="F103" s="357">
        <f t="shared" si="173"/>
        <v>0.6074318709</v>
      </c>
      <c r="G103" s="358">
        <f>(IFERROR(E103/C103-1," "))</f>
        <v>1.372567915</v>
      </c>
      <c r="H103" s="361">
        <f t="shared" ref="H103:J103" si="191">H101+H102</f>
        <v>233.45771</v>
      </c>
      <c r="I103" s="248">
        <f t="shared" si="191"/>
        <v>276.42406</v>
      </c>
      <c r="J103" s="248">
        <f t="shared" si="191"/>
        <v>663.35007</v>
      </c>
      <c r="K103" s="357">
        <f t="shared" si="184"/>
        <v>1.399755181</v>
      </c>
      <c r="L103" s="358">
        <f t="shared" si="176"/>
        <v>1.841414276</v>
      </c>
      <c r="M103" s="361">
        <f t="shared" ref="M103:O103" si="192">M101+M102</f>
        <v>308.19572</v>
      </c>
      <c r="N103" s="248">
        <f t="shared" si="192"/>
        <v>663.49636</v>
      </c>
      <c r="O103" s="248">
        <f t="shared" si="192"/>
        <v>1037.90745</v>
      </c>
      <c r="P103" s="357">
        <f t="shared" si="186"/>
        <v>0.5643001418</v>
      </c>
      <c r="Q103" s="358">
        <f t="shared" si="178"/>
        <v>2.36768937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376" t="s">
        <v>100</v>
      </c>
      <c r="C104" s="377">
        <f t="shared" ref="C104:E104" si="193">C95/C91</f>
        <v>0.3526806821</v>
      </c>
      <c r="D104" s="379">
        <f t="shared" si="193"/>
        <v>0.4332875222</v>
      </c>
      <c r="E104" s="379">
        <f t="shared" si="193"/>
        <v>0.5427891511</v>
      </c>
      <c r="F104" s="391"/>
      <c r="G104" s="392"/>
      <c r="H104" s="377">
        <f t="shared" ref="H104:J104" si="194">H95/H91</f>
        <v>0.2974830086</v>
      </c>
      <c r="I104" s="379">
        <f t="shared" si="194"/>
        <v>0.2834904014</v>
      </c>
      <c r="J104" s="379">
        <f t="shared" si="194"/>
        <v>0.4026773008</v>
      </c>
      <c r="K104" s="391"/>
      <c r="L104" s="392"/>
      <c r="M104" s="377">
        <f t="shared" ref="M104:O104" si="195">M95/M91</f>
        <v>0.2523337697</v>
      </c>
      <c r="N104" s="379">
        <f t="shared" si="195"/>
        <v>0.3235234977</v>
      </c>
      <c r="O104" s="379">
        <f t="shared" si="195"/>
        <v>0.3782960311</v>
      </c>
      <c r="P104" s="391"/>
      <c r="Q104" s="392"/>
      <c r="R104" s="1"/>
      <c r="S104" s="35"/>
      <c r="T104" s="35"/>
      <c r="U104" s="35"/>
      <c r="V104" s="35"/>
      <c r="W104" s="35"/>
      <c r="X104" s="35"/>
      <c r="Y104" s="35"/>
      <c r="Z104" s="35"/>
    </row>
    <row r="105" ht="13.5" customHeight="1">
      <c r="A105" s="1"/>
      <c r="B105" s="1"/>
      <c r="C105" s="3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hidden="1" customHeight="1">
      <c r="A106" s="1"/>
      <c r="B106" s="1"/>
      <c r="C106" s="3"/>
      <c r="D106" s="3"/>
      <c r="E106" s="3"/>
      <c r="F106" s="1"/>
      <c r="G106" s="1"/>
      <c r="H106" s="7"/>
      <c r="I106" s="7"/>
      <c r="J106" s="7"/>
      <c r="K106" s="7"/>
      <c r="L106" s="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hidden="1" customHeight="1">
      <c r="A107" s="1"/>
      <c r="B107" s="16" t="s">
        <v>163</v>
      </c>
      <c r="C107" s="25" t="str">
        <f>C3</f>
        <v>JULHO</v>
      </c>
      <c r="D107" s="27"/>
      <c r="E107" s="27"/>
      <c r="F107" s="27"/>
      <c r="G107" s="28"/>
      <c r="H107" s="25" t="s">
        <v>12</v>
      </c>
      <c r="I107" s="27"/>
      <c r="J107" s="27"/>
      <c r="K107" s="27"/>
      <c r="L107" s="28"/>
      <c r="M107" s="343" t="s">
        <v>3</v>
      </c>
      <c r="N107" s="27"/>
      <c r="O107" s="27"/>
      <c r="P107" s="27"/>
      <c r="Q107" s="28"/>
      <c r="R107" s="1"/>
      <c r="S107" s="35"/>
      <c r="T107" s="35"/>
      <c r="U107" s="35"/>
      <c r="V107" s="35"/>
      <c r="W107" s="35"/>
      <c r="X107" s="35"/>
      <c r="Y107" s="35"/>
      <c r="Z107" s="35"/>
    </row>
    <row r="108" ht="33.75" hidden="1" customHeight="1">
      <c r="A108" s="344"/>
      <c r="B108" s="38"/>
      <c r="C108" s="345" t="s">
        <v>149</v>
      </c>
      <c r="D108" s="346" t="s">
        <v>150</v>
      </c>
      <c r="E108" s="347" t="s">
        <v>19</v>
      </c>
      <c r="F108" s="348" t="s">
        <v>151</v>
      </c>
      <c r="G108" s="349" t="s">
        <v>152</v>
      </c>
      <c r="H108" s="350" t="s">
        <v>153</v>
      </c>
      <c r="I108" s="348" t="s">
        <v>154</v>
      </c>
      <c r="J108" s="348" t="s">
        <v>149</v>
      </c>
      <c r="K108" s="348" t="s">
        <v>155</v>
      </c>
      <c r="L108" s="349" t="s">
        <v>156</v>
      </c>
      <c r="M108" s="345" t="s">
        <v>149</v>
      </c>
      <c r="N108" s="346" t="s">
        <v>150</v>
      </c>
      <c r="O108" s="347" t="s">
        <v>157</v>
      </c>
      <c r="P108" s="348" t="s">
        <v>158</v>
      </c>
      <c r="Q108" s="349" t="s">
        <v>159</v>
      </c>
      <c r="R108" s="7"/>
      <c r="S108" s="353"/>
      <c r="T108" s="353"/>
      <c r="U108" s="353"/>
      <c r="V108" s="353"/>
      <c r="W108" s="353"/>
      <c r="X108" s="353"/>
      <c r="Y108" s="353"/>
      <c r="Z108" s="353"/>
    </row>
    <row r="109" ht="15.0" hidden="1" customHeight="1">
      <c r="A109" s="1"/>
      <c r="B109" s="393" t="s">
        <v>40</v>
      </c>
      <c r="C109" s="355">
        <v>0.0</v>
      </c>
      <c r="D109" s="57">
        <v>0.0</v>
      </c>
      <c r="E109" s="57">
        <v>0.0</v>
      </c>
      <c r="F109" s="244" t="str">
        <f t="shared" ref="F109:F118" si="196">IFERROR(E109/C109-1," ")</f>
        <v> </v>
      </c>
      <c r="G109" s="394" t="str">
        <f t="shared" ref="G109:G122" si="197">IFERROR(E109/D109-1," ")</f>
        <v> </v>
      </c>
      <c r="H109" s="355">
        <v>2479.62927</v>
      </c>
      <c r="I109" s="57">
        <v>0.0</v>
      </c>
      <c r="J109" s="57">
        <v>0.0</v>
      </c>
      <c r="K109" s="244">
        <f t="shared" ref="K109:K122" si="198">IFERROR(J109/H109-1," ")</f>
        <v>-1</v>
      </c>
      <c r="L109" s="394" t="str">
        <f t="shared" ref="L109:L122" si="199">IFERROR(J109/I109-1," ")</f>
        <v> </v>
      </c>
      <c r="M109" s="355">
        <v>2479.63</v>
      </c>
      <c r="N109" s="57">
        <v>0.0</v>
      </c>
      <c r="O109" s="57">
        <v>0.0</v>
      </c>
      <c r="P109" s="244">
        <f t="shared" ref="P109:P115" si="200">IFERROR(O109/M109-1," ")</f>
        <v>-1</v>
      </c>
      <c r="Q109" s="394" t="str">
        <f t="shared" ref="Q109:Q115" si="201">IFERROR(O109/N109-1," ")</f>
        <v> </v>
      </c>
      <c r="R109" s="1"/>
      <c r="S109" s="64">
        <v>-141.0</v>
      </c>
      <c r="T109" s="1"/>
      <c r="U109" s="1"/>
      <c r="V109" s="1"/>
      <c r="W109" s="1"/>
      <c r="X109" s="1"/>
      <c r="Y109" s="1"/>
      <c r="Z109" s="1"/>
    </row>
    <row r="110" ht="15.0" hidden="1" customHeight="1">
      <c r="A110" s="1"/>
      <c r="B110" s="393" t="s">
        <v>71</v>
      </c>
      <c r="C110" s="355">
        <v>0.0</v>
      </c>
      <c r="D110" s="57">
        <v>0.0</v>
      </c>
      <c r="E110" s="57">
        <v>0.0</v>
      </c>
      <c r="F110" s="244" t="str">
        <f t="shared" si="196"/>
        <v> </v>
      </c>
      <c r="G110" s="394" t="str">
        <f t="shared" si="197"/>
        <v> </v>
      </c>
      <c r="H110" s="355">
        <v>-37.985</v>
      </c>
      <c r="I110" s="57">
        <v>0.0</v>
      </c>
      <c r="J110" s="57">
        <v>0.0</v>
      </c>
      <c r="K110" s="244">
        <f t="shared" si="198"/>
        <v>-1</v>
      </c>
      <c r="L110" s="394" t="str">
        <f t="shared" si="199"/>
        <v> </v>
      </c>
      <c r="M110" s="355">
        <v>-37.99</v>
      </c>
      <c r="N110" s="57">
        <v>0.0</v>
      </c>
      <c r="O110" s="57">
        <v>0.0</v>
      </c>
      <c r="P110" s="244">
        <f t="shared" si="200"/>
        <v>-1</v>
      </c>
      <c r="Q110" s="394" t="str">
        <f t="shared" si="201"/>
        <v> </v>
      </c>
      <c r="R110" s="1"/>
      <c r="S110" s="64">
        <v>379.0</v>
      </c>
      <c r="T110" s="1"/>
      <c r="U110" s="1"/>
      <c r="V110" s="1"/>
      <c r="W110" s="1"/>
      <c r="X110" s="1"/>
      <c r="Y110" s="1"/>
      <c r="Z110" s="1"/>
    </row>
    <row r="111" ht="15.0" hidden="1" customHeight="1">
      <c r="A111" s="1"/>
      <c r="B111" s="395" t="s">
        <v>85</v>
      </c>
      <c r="C111" s="361">
        <f t="shared" ref="C111:E111" si="202">C109+C110</f>
        <v>0</v>
      </c>
      <c r="D111" s="248">
        <f t="shared" si="202"/>
        <v>0</v>
      </c>
      <c r="E111" s="248">
        <f t="shared" si="202"/>
        <v>0</v>
      </c>
      <c r="F111" s="244" t="str">
        <f t="shared" si="196"/>
        <v> </v>
      </c>
      <c r="G111" s="394" t="str">
        <f t="shared" si="197"/>
        <v> </v>
      </c>
      <c r="H111" s="361">
        <f t="shared" ref="H111:J111" si="203">H109+H110</f>
        <v>2441.64427</v>
      </c>
      <c r="I111" s="248">
        <f t="shared" si="203"/>
        <v>0</v>
      </c>
      <c r="J111" s="248">
        <f t="shared" si="203"/>
        <v>0</v>
      </c>
      <c r="K111" s="244">
        <f t="shared" si="198"/>
        <v>-1</v>
      </c>
      <c r="L111" s="394" t="str">
        <f t="shared" si="199"/>
        <v> </v>
      </c>
      <c r="M111" s="361">
        <f t="shared" ref="M111:O111" si="204">M109+M110</f>
        <v>2441.64</v>
      </c>
      <c r="N111" s="248">
        <f t="shared" si="204"/>
        <v>0</v>
      </c>
      <c r="O111" s="248">
        <f t="shared" si="204"/>
        <v>0</v>
      </c>
      <c r="P111" s="244">
        <f t="shared" si="200"/>
        <v>-1</v>
      </c>
      <c r="Q111" s="394" t="str">
        <f t="shared" si="201"/>
        <v> </v>
      </c>
      <c r="R111" s="1"/>
      <c r="S111" s="1">
        <f>S109+S110</f>
        <v>238</v>
      </c>
      <c r="T111" s="1"/>
      <c r="U111" s="1"/>
      <c r="V111" s="1"/>
      <c r="W111" s="1"/>
      <c r="X111" s="1"/>
      <c r="Y111" s="1"/>
      <c r="Z111" s="1"/>
    </row>
    <row r="112" ht="15.0" hidden="1" customHeight="1">
      <c r="A112" s="1"/>
      <c r="B112" s="393" t="s">
        <v>73</v>
      </c>
      <c r="C112" s="355">
        <v>0.0</v>
      </c>
      <c r="D112" s="57">
        <v>0.0</v>
      </c>
      <c r="E112" s="57">
        <v>0.0</v>
      </c>
      <c r="F112" s="244" t="str">
        <f t="shared" si="196"/>
        <v> </v>
      </c>
      <c r="G112" s="394" t="str">
        <f t="shared" si="197"/>
        <v> </v>
      </c>
      <c r="H112" s="355">
        <v>-2356.00967</v>
      </c>
      <c r="I112" s="57">
        <v>0.0</v>
      </c>
      <c r="J112" s="57">
        <v>0.0</v>
      </c>
      <c r="K112" s="244">
        <f t="shared" si="198"/>
        <v>-1</v>
      </c>
      <c r="L112" s="394" t="str">
        <f t="shared" si="199"/>
        <v> </v>
      </c>
      <c r="M112" s="355">
        <v>-2356.02</v>
      </c>
      <c r="N112" s="57">
        <v>0.0</v>
      </c>
      <c r="O112" s="57">
        <v>0.0</v>
      </c>
      <c r="P112" s="244">
        <f t="shared" si="200"/>
        <v>-1</v>
      </c>
      <c r="Q112" s="394" t="str">
        <f t="shared" si="201"/>
        <v> </v>
      </c>
      <c r="R112" s="1"/>
      <c r="S112" s="1"/>
      <c r="T112" s="1"/>
      <c r="U112" s="1"/>
      <c r="V112" s="1"/>
      <c r="W112" s="1"/>
      <c r="X112" s="1"/>
      <c r="Y112" s="1"/>
      <c r="Z112" s="1"/>
    </row>
    <row r="113" ht="15.0" hidden="1" customHeight="1">
      <c r="A113" s="1"/>
      <c r="B113" s="393" t="s">
        <v>75</v>
      </c>
      <c r="C113" s="355">
        <v>0.0</v>
      </c>
      <c r="D113" s="248">
        <f t="shared" ref="D113:E113" si="205">D111+D112</f>
        <v>0</v>
      </c>
      <c r="E113" s="248">
        <f t="shared" si="205"/>
        <v>0</v>
      </c>
      <c r="F113" s="244" t="str">
        <f t="shared" si="196"/>
        <v> </v>
      </c>
      <c r="G113" s="394" t="str">
        <f t="shared" si="197"/>
        <v> </v>
      </c>
      <c r="H113" s="361">
        <f t="shared" ref="H113:J113" si="206">H111+H112</f>
        <v>85.6346</v>
      </c>
      <c r="I113" s="248">
        <f t="shared" si="206"/>
        <v>0</v>
      </c>
      <c r="J113" s="248">
        <f t="shared" si="206"/>
        <v>0</v>
      </c>
      <c r="K113" s="244">
        <f t="shared" si="198"/>
        <v>-1</v>
      </c>
      <c r="L113" s="394" t="str">
        <f t="shared" si="199"/>
        <v> </v>
      </c>
      <c r="M113" s="361">
        <f t="shared" ref="M113:O113" si="207">M111+M112</f>
        <v>85.62</v>
      </c>
      <c r="N113" s="248">
        <f t="shared" si="207"/>
        <v>0</v>
      </c>
      <c r="O113" s="248">
        <f t="shared" si="207"/>
        <v>0</v>
      </c>
      <c r="P113" s="244">
        <f t="shared" si="200"/>
        <v>-1</v>
      </c>
      <c r="Q113" s="394" t="str">
        <f t="shared" si="201"/>
        <v> </v>
      </c>
      <c r="R113" s="1"/>
      <c r="S113" s="1"/>
      <c r="T113" s="1"/>
      <c r="U113" s="1"/>
      <c r="V113" s="1"/>
      <c r="W113" s="1"/>
      <c r="X113" s="1"/>
      <c r="Y113" s="1"/>
      <c r="Z113" s="1"/>
    </row>
    <row r="114" ht="15.0" hidden="1" customHeight="1">
      <c r="A114" s="1"/>
      <c r="B114" s="393" t="s">
        <v>77</v>
      </c>
      <c r="C114" s="355">
        <f>-111775.42/1000</f>
        <v>-111.77542</v>
      </c>
      <c r="D114" s="356">
        <f>-7396.59/1000</f>
        <v>-7.39659</v>
      </c>
      <c r="E114" s="356">
        <f>-28744.03/1000</f>
        <v>-28.74403</v>
      </c>
      <c r="F114" s="244">
        <f t="shared" si="196"/>
        <v>-0.7428412257</v>
      </c>
      <c r="G114" s="394">
        <f t="shared" si="197"/>
        <v>2.886119144</v>
      </c>
      <c r="H114" s="355">
        <f>407710.58/1000</f>
        <v>407.71058</v>
      </c>
      <c r="I114" s="356">
        <f>-63750.73/1000</f>
        <v>-63.75073</v>
      </c>
      <c r="J114" s="356">
        <f>-131292.95/1000</f>
        <v>-131.29295</v>
      </c>
      <c r="K114" s="244">
        <f t="shared" si="198"/>
        <v>-1.322024879</v>
      </c>
      <c r="L114" s="394">
        <f t="shared" si="199"/>
        <v>1.059473672</v>
      </c>
      <c r="M114" s="355">
        <v>378.7</v>
      </c>
      <c r="N114" s="396">
        <v>-68.51</v>
      </c>
      <c r="O114" s="396">
        <f>-114692.1/1000</f>
        <v>-114.6921</v>
      </c>
      <c r="P114" s="244">
        <f t="shared" si="200"/>
        <v>-1.302857407</v>
      </c>
      <c r="Q114" s="394">
        <f t="shared" si="201"/>
        <v>0.6740928332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15.0" hidden="1" customHeight="1">
      <c r="A115" s="165"/>
      <c r="B115" s="397" t="s">
        <v>80</v>
      </c>
      <c r="C115" s="370">
        <f t="shared" ref="C115:E115" si="208">C113+C114</f>
        <v>-111.77542</v>
      </c>
      <c r="D115" s="372">
        <f t="shared" si="208"/>
        <v>-7.39659</v>
      </c>
      <c r="E115" s="372">
        <f t="shared" si="208"/>
        <v>-28.74403</v>
      </c>
      <c r="F115" s="398">
        <f t="shared" si="196"/>
        <v>-0.7428412257</v>
      </c>
      <c r="G115" s="399">
        <f t="shared" si="197"/>
        <v>2.886119144</v>
      </c>
      <c r="H115" s="370">
        <f t="shared" ref="H115:J115" si="209">H113+H114</f>
        <v>493.34518</v>
      </c>
      <c r="I115" s="372">
        <f t="shared" si="209"/>
        <v>-63.75073</v>
      </c>
      <c r="J115" s="372">
        <f t="shared" si="209"/>
        <v>-131.29295</v>
      </c>
      <c r="K115" s="400">
        <f t="shared" si="198"/>
        <v>-1.266127967</v>
      </c>
      <c r="L115" s="401">
        <f t="shared" si="199"/>
        <v>1.059473672</v>
      </c>
      <c r="M115" s="370">
        <f t="shared" ref="M115:O115" si="210">M113+M114</f>
        <v>464.32</v>
      </c>
      <c r="N115" s="372">
        <f t="shared" si="210"/>
        <v>-68.51</v>
      </c>
      <c r="O115" s="372">
        <f t="shared" si="210"/>
        <v>-114.6921</v>
      </c>
      <c r="P115" s="400">
        <f t="shared" si="200"/>
        <v>-1.247010898</v>
      </c>
      <c r="Q115" s="401">
        <f t="shared" si="201"/>
        <v>0.6740928332</v>
      </c>
      <c r="R115" s="165"/>
      <c r="S115" s="173"/>
      <c r="T115" s="173"/>
      <c r="U115" s="173"/>
      <c r="V115" s="173"/>
      <c r="W115" s="173"/>
      <c r="X115" s="173"/>
      <c r="Y115" s="173"/>
      <c r="Z115" s="173"/>
    </row>
    <row r="116" ht="15.0" hidden="1" customHeight="1">
      <c r="A116" s="165"/>
      <c r="B116" s="397" t="s">
        <v>164</v>
      </c>
      <c r="C116" s="370" t="str">
        <f t="shared" ref="C116:E116" si="211">'DRE Posto Esteio GERENCIAL'!$L$13</f>
        <v>#REF!</v>
      </c>
      <c r="D116" s="402" t="str">
        <f t="shared" si="211"/>
        <v>#REF!</v>
      </c>
      <c r="E116" s="372" t="str">
        <f t="shared" si="211"/>
        <v>#REF!</v>
      </c>
      <c r="F116" s="244" t="str">
        <f t="shared" si="196"/>
        <v> </v>
      </c>
      <c r="G116" s="394" t="str">
        <f t="shared" si="197"/>
        <v> </v>
      </c>
      <c r="H116" s="370" t="str">
        <f>'DRE Posto Esteio GERENCIAL'!$N$13</f>
        <v>#REF!</v>
      </c>
      <c r="I116" s="372" t="str">
        <f>'DRE Posto Esteio GERENCIAL'!$P$13</f>
        <v>#REF!</v>
      </c>
      <c r="J116" s="372" t="str">
        <f>'DRE Posto Esteio GERENCIAL'!$R$13</f>
        <v>#REF!</v>
      </c>
      <c r="K116" s="400" t="str">
        <f t="shared" si="198"/>
        <v> </v>
      </c>
      <c r="L116" s="401" t="str">
        <f t="shared" si="199"/>
        <v> </v>
      </c>
      <c r="M116" s="370"/>
      <c r="N116" s="372"/>
      <c r="O116" s="372"/>
      <c r="P116" s="400"/>
      <c r="Q116" s="401"/>
      <c r="R116" s="165"/>
      <c r="S116" s="173"/>
      <c r="T116" s="173"/>
      <c r="U116" s="173"/>
      <c r="V116" s="173"/>
      <c r="W116" s="173"/>
      <c r="X116" s="173"/>
      <c r="Y116" s="173"/>
      <c r="Z116" s="173"/>
    </row>
    <row r="117" ht="15.0" hidden="1" customHeight="1">
      <c r="A117" s="1"/>
      <c r="B117" s="393" t="s">
        <v>82</v>
      </c>
      <c r="C117" s="355">
        <f t="shared" ref="C117:E117" si="212">-1636.25/1000</f>
        <v>-1.63625</v>
      </c>
      <c r="D117" s="359">
        <f t="shared" si="212"/>
        <v>-1.63625</v>
      </c>
      <c r="E117" s="57">
        <f t="shared" si="212"/>
        <v>-1.63625</v>
      </c>
      <c r="F117" s="244">
        <f t="shared" si="196"/>
        <v>0</v>
      </c>
      <c r="G117" s="394">
        <f t="shared" si="197"/>
        <v>0</v>
      </c>
      <c r="H117" s="355">
        <f>-38771.92/1000</f>
        <v>-38.77192</v>
      </c>
      <c r="I117" s="356">
        <f t="shared" ref="I117:J117" si="213">-17998.75/1000</f>
        <v>-17.99875</v>
      </c>
      <c r="J117" s="356">
        <f t="shared" si="213"/>
        <v>-17.99875</v>
      </c>
      <c r="K117" s="244">
        <f t="shared" si="198"/>
        <v>-0.5357787285</v>
      </c>
      <c r="L117" s="394">
        <f t="shared" si="199"/>
        <v>0</v>
      </c>
      <c r="M117" s="355">
        <v>-40.45</v>
      </c>
      <c r="N117" s="57">
        <v>-19.68</v>
      </c>
      <c r="O117" s="57">
        <f>-19635/1000</f>
        <v>-19.635</v>
      </c>
      <c r="P117" s="244">
        <f t="shared" ref="P117:P118" si="217">IFERROR(O117/M117-1," ")</f>
        <v>-0.5145859085</v>
      </c>
      <c r="Q117" s="394">
        <f t="shared" ref="Q117:Q122" si="218">IFERROR(O117/N117-1," ")</f>
        <v>-0.002286585366</v>
      </c>
      <c r="R117" s="1"/>
      <c r="S117" s="1"/>
      <c r="T117" s="1"/>
      <c r="U117" s="1"/>
      <c r="V117" s="1"/>
      <c r="W117" s="1"/>
      <c r="X117" s="1"/>
      <c r="Y117" s="1"/>
      <c r="Z117" s="1"/>
    </row>
    <row r="118" ht="15.0" hidden="1" customHeight="1">
      <c r="A118" s="1"/>
      <c r="B118" s="393" t="s">
        <v>83</v>
      </c>
      <c r="C118" s="361">
        <f t="shared" ref="C118:E118" si="214">C115+C117</f>
        <v>-113.41167</v>
      </c>
      <c r="D118" s="248">
        <f t="shared" si="214"/>
        <v>-9.03284</v>
      </c>
      <c r="E118" s="248">
        <f t="shared" si="214"/>
        <v>-30.38028</v>
      </c>
      <c r="F118" s="244">
        <f t="shared" si="196"/>
        <v>-0.7321238634</v>
      </c>
      <c r="G118" s="394">
        <f t="shared" si="197"/>
        <v>2.363314306</v>
      </c>
      <c r="H118" s="361">
        <f t="shared" ref="H118:J118" si="215">H115+H117</f>
        <v>454.57326</v>
      </c>
      <c r="I118" s="248">
        <f t="shared" si="215"/>
        <v>-81.74948</v>
      </c>
      <c r="J118" s="248">
        <f t="shared" si="215"/>
        <v>-149.2917</v>
      </c>
      <c r="K118" s="244">
        <f t="shared" si="198"/>
        <v>-1.32842165</v>
      </c>
      <c r="L118" s="394">
        <f t="shared" si="199"/>
        <v>0.8262097814</v>
      </c>
      <c r="M118" s="361">
        <f t="shared" ref="M118:O118" si="216">M115+M117</f>
        <v>423.87</v>
      </c>
      <c r="N118" s="248">
        <f t="shared" si="216"/>
        <v>-88.19</v>
      </c>
      <c r="O118" s="248">
        <f t="shared" si="216"/>
        <v>-134.3271</v>
      </c>
      <c r="P118" s="244">
        <f t="shared" si="217"/>
        <v>-1.316906363</v>
      </c>
      <c r="Q118" s="394">
        <f t="shared" si="218"/>
        <v>0.5231556866</v>
      </c>
      <c r="R118" s="1"/>
      <c r="S118" s="1"/>
      <c r="T118" s="1"/>
      <c r="U118" s="1"/>
      <c r="V118" s="1"/>
      <c r="W118" s="1"/>
      <c r="X118" s="1"/>
      <c r="Y118" s="1"/>
      <c r="Z118" s="1"/>
    </row>
    <row r="119" ht="15.0" hidden="1" customHeight="1">
      <c r="A119" s="1"/>
      <c r="B119" s="393" t="s">
        <v>84</v>
      </c>
      <c r="C119" s="355">
        <f>26030.38/1000</f>
        <v>26.03038</v>
      </c>
      <c r="D119" s="359">
        <f>19459.95/1000</f>
        <v>19.45995</v>
      </c>
      <c r="E119" s="359">
        <f>17998.31/1000</f>
        <v>17.99831</v>
      </c>
      <c r="F119" s="244">
        <f t="shared" ref="F119:F120" si="220">-IFERROR(E119/C119-1," ")</f>
        <v>0.3085652226</v>
      </c>
      <c r="G119" s="394">
        <f t="shared" si="197"/>
        <v>-0.07511016215</v>
      </c>
      <c r="H119" s="355">
        <f>-331004.46/1000</f>
        <v>-331.00446</v>
      </c>
      <c r="I119" s="359">
        <f>241293.19/1000</f>
        <v>241.29319</v>
      </c>
      <c r="J119" s="359">
        <f>286609.86/1000</f>
        <v>286.60986</v>
      </c>
      <c r="K119" s="244">
        <f t="shared" si="198"/>
        <v>-1.865879149</v>
      </c>
      <c r="L119" s="394">
        <f t="shared" si="199"/>
        <v>0.1878074968</v>
      </c>
      <c r="M119" s="355">
        <v>-304.57</v>
      </c>
      <c r="N119" s="57">
        <v>260.67</v>
      </c>
      <c r="O119" s="57">
        <f>312490.74/1000</f>
        <v>312.49074</v>
      </c>
      <c r="P119" s="244">
        <f>-IFERROR(O119/M119-1," ")</f>
        <v>2.026006304</v>
      </c>
      <c r="Q119" s="394">
        <f t="shared" si="218"/>
        <v>0.1987982507</v>
      </c>
      <c r="R119" s="1"/>
      <c r="S119" s="1"/>
      <c r="T119" s="1"/>
      <c r="U119" s="1"/>
      <c r="V119" s="1"/>
      <c r="W119" s="1"/>
      <c r="X119" s="1"/>
      <c r="Y119" s="1"/>
      <c r="Z119" s="1"/>
    </row>
    <row r="120" ht="15.0" hidden="1" customHeight="1">
      <c r="A120" s="1"/>
      <c r="B120" s="393" t="s">
        <v>86</v>
      </c>
      <c r="C120" s="361">
        <f t="shared" ref="C120:E120" si="219">C118+C119</f>
        <v>-87.38129</v>
      </c>
      <c r="D120" s="403">
        <f t="shared" si="219"/>
        <v>10.42711</v>
      </c>
      <c r="E120" s="248">
        <f t="shared" si="219"/>
        <v>-12.38197</v>
      </c>
      <c r="F120" s="244">
        <f t="shared" si="220"/>
        <v>0.8582995284</v>
      </c>
      <c r="G120" s="394">
        <f t="shared" si="197"/>
        <v>-2.187478601</v>
      </c>
      <c r="H120" s="361">
        <f t="shared" ref="H120:J120" si="221">H118+H119</f>
        <v>123.5688</v>
      </c>
      <c r="I120" s="248">
        <f t="shared" si="221"/>
        <v>159.54371</v>
      </c>
      <c r="J120" s="248">
        <f t="shared" si="221"/>
        <v>137.31816</v>
      </c>
      <c r="K120" s="244">
        <f t="shared" si="198"/>
        <v>0.111268864</v>
      </c>
      <c r="L120" s="394">
        <f t="shared" si="199"/>
        <v>-0.1393069648</v>
      </c>
      <c r="M120" s="361">
        <f t="shared" ref="M120:O120" si="222">M118+M119</f>
        <v>119.3</v>
      </c>
      <c r="N120" s="248">
        <f t="shared" si="222"/>
        <v>172.48</v>
      </c>
      <c r="O120" s="248">
        <f t="shared" si="222"/>
        <v>178.16364</v>
      </c>
      <c r="P120" s="244">
        <f t="shared" ref="P120:P121" si="223">IFERROR(O120/M120-1," ")</f>
        <v>0.4934085499</v>
      </c>
      <c r="Q120" s="394">
        <f t="shared" si="218"/>
        <v>0.03295245826</v>
      </c>
      <c r="R120" s="1"/>
      <c r="S120" s="1"/>
      <c r="T120" s="1"/>
      <c r="U120" s="1"/>
      <c r="V120" s="1"/>
      <c r="W120" s="1"/>
      <c r="X120" s="1"/>
      <c r="Y120" s="1"/>
      <c r="Z120" s="1"/>
    </row>
    <row r="121" ht="15.0" hidden="1" customHeight="1">
      <c r="A121" s="1"/>
      <c r="B121" s="393" t="s">
        <v>87</v>
      </c>
      <c r="C121" s="355">
        <f>23826.44/1000</f>
        <v>23.82644</v>
      </c>
      <c r="D121" s="359">
        <f>-739.86/1000</f>
        <v>-0.73986</v>
      </c>
      <c r="E121" s="359">
        <f>848.81/1000</f>
        <v>0.84881</v>
      </c>
      <c r="F121" s="244">
        <f>IFERROR(E121/C121-1," ")</f>
        <v>-0.9643752906</v>
      </c>
      <c r="G121" s="394">
        <f t="shared" si="197"/>
        <v>-2.147257589</v>
      </c>
      <c r="H121" s="355">
        <f>-149006.2/1000</f>
        <v>-149.0062</v>
      </c>
      <c r="I121" s="359">
        <f>-17060.21/1000</f>
        <v>-17.06021</v>
      </c>
      <c r="J121" s="359">
        <f>-15740.01/1000</f>
        <v>-15.74001</v>
      </c>
      <c r="K121" s="244">
        <f t="shared" si="198"/>
        <v>-0.8943667445</v>
      </c>
      <c r="L121" s="394">
        <f t="shared" si="199"/>
        <v>-0.07738474497</v>
      </c>
      <c r="M121" s="355">
        <v>-143.87</v>
      </c>
      <c r="N121" s="57">
        <v>-18.37</v>
      </c>
      <c r="O121" s="57">
        <f>-18625.31/1000</f>
        <v>-18.62531</v>
      </c>
      <c r="P121" s="244">
        <f t="shared" si="223"/>
        <v>-0.8705406965</v>
      </c>
      <c r="Q121" s="394">
        <f t="shared" si="218"/>
        <v>0.01389820359</v>
      </c>
      <c r="R121" s="1"/>
      <c r="S121" s="1"/>
      <c r="T121" s="1"/>
      <c r="U121" s="1"/>
      <c r="V121" s="1"/>
      <c r="W121" s="1"/>
      <c r="X121" s="1"/>
      <c r="Y121" s="1"/>
      <c r="Z121" s="1"/>
    </row>
    <row r="122" ht="15.0" hidden="1" customHeight="1">
      <c r="A122" s="1"/>
      <c r="B122" s="395" t="s">
        <v>125</v>
      </c>
      <c r="C122" s="361">
        <f t="shared" ref="C122:E122" si="224">C120+C121</f>
        <v>-63.55485</v>
      </c>
      <c r="D122" s="248">
        <f t="shared" si="224"/>
        <v>9.68725</v>
      </c>
      <c r="E122" s="248">
        <f t="shared" si="224"/>
        <v>-11.53316</v>
      </c>
      <c r="F122" s="244">
        <f>-IFERROR(E122/C122-1," ")</f>
        <v>0.8185321813</v>
      </c>
      <c r="G122" s="394">
        <f t="shared" si="197"/>
        <v>-2.190550466</v>
      </c>
      <c r="H122" s="361">
        <f t="shared" ref="H122:J122" si="225">H120+H121</f>
        <v>-25.4374</v>
      </c>
      <c r="I122" s="248">
        <f t="shared" si="225"/>
        <v>142.4835</v>
      </c>
      <c r="J122" s="248">
        <f t="shared" si="225"/>
        <v>121.57815</v>
      </c>
      <c r="K122" s="244">
        <f t="shared" si="198"/>
        <v>-5.779503801</v>
      </c>
      <c r="L122" s="394">
        <f t="shared" si="199"/>
        <v>-0.1467211993</v>
      </c>
      <c r="M122" s="361">
        <f t="shared" ref="M122:O122" si="226">M120+M121</f>
        <v>-24.57</v>
      </c>
      <c r="N122" s="248">
        <f t="shared" si="226"/>
        <v>154.11</v>
      </c>
      <c r="O122" s="248">
        <f t="shared" si="226"/>
        <v>159.53833</v>
      </c>
      <c r="P122" s="244">
        <f>-IFERROR(O122/M122-1," ")</f>
        <v>7.493216524</v>
      </c>
      <c r="Q122" s="394">
        <f t="shared" si="218"/>
        <v>0.03522373629</v>
      </c>
      <c r="R122" s="1"/>
      <c r="S122" s="1"/>
      <c r="T122" s="1"/>
      <c r="U122" s="1"/>
      <c r="V122" s="1"/>
      <c r="W122" s="1"/>
      <c r="X122" s="1"/>
      <c r="Y122" s="1"/>
      <c r="Z122" s="1"/>
    </row>
    <row r="123" ht="3.75" hidden="1" customHeight="1">
      <c r="A123" s="1"/>
      <c r="B123" s="393"/>
      <c r="C123" s="404"/>
      <c r="D123" s="3"/>
      <c r="E123" s="3"/>
      <c r="F123" s="1"/>
      <c r="G123" s="405"/>
      <c r="H123" s="404"/>
      <c r="I123" s="3"/>
      <c r="J123" s="3"/>
      <c r="K123" s="1"/>
      <c r="L123" s="405"/>
      <c r="M123" s="404"/>
      <c r="N123" s="3"/>
      <c r="O123" s="3"/>
      <c r="P123" s="1"/>
      <c r="Q123" s="405"/>
      <c r="R123" s="1"/>
      <c r="S123" s="1"/>
      <c r="T123" s="1"/>
      <c r="U123" s="1"/>
      <c r="V123" s="1"/>
      <c r="W123" s="1"/>
      <c r="X123" s="1"/>
      <c r="Y123" s="1"/>
      <c r="Z123" s="1"/>
    </row>
    <row r="124" ht="16.5" hidden="1" customHeight="1">
      <c r="A124" s="1"/>
      <c r="B124" s="376" t="s">
        <v>100</v>
      </c>
      <c r="C124" s="377">
        <f t="shared" ref="C124:E124" si="227">IFERROR(C115/C111,0)</f>
        <v>0</v>
      </c>
      <c r="D124" s="406">
        <f t="shared" si="227"/>
        <v>0</v>
      </c>
      <c r="E124" s="406">
        <f t="shared" si="227"/>
        <v>0</v>
      </c>
      <c r="F124" s="380"/>
      <c r="G124" s="381"/>
      <c r="H124" s="377">
        <f t="shared" ref="H124:J124" si="228">IFERROR(H115/H111,0)</f>
        <v>0.2020544868</v>
      </c>
      <c r="I124" s="406">
        <f t="shared" si="228"/>
        <v>0</v>
      </c>
      <c r="J124" s="406">
        <f t="shared" si="228"/>
        <v>0</v>
      </c>
      <c r="K124" s="380"/>
      <c r="L124" s="381"/>
      <c r="M124" s="377">
        <f t="shared" ref="M124:O124" si="229">IFERROR(M115/M111,0)</f>
        <v>0.1901672646</v>
      </c>
      <c r="N124" s="406">
        <f t="shared" si="229"/>
        <v>0</v>
      </c>
      <c r="O124" s="406">
        <f t="shared" si="229"/>
        <v>0</v>
      </c>
      <c r="P124" s="380"/>
      <c r="Q124" s="381"/>
      <c r="R124" s="1"/>
      <c r="S124" s="35"/>
      <c r="T124" s="35"/>
      <c r="U124" s="35"/>
      <c r="V124" s="35"/>
      <c r="W124" s="35"/>
      <c r="X124" s="35"/>
      <c r="Y124" s="35"/>
      <c r="Z124" s="35"/>
    </row>
    <row r="125" ht="4.5" hidden="1" customHeight="1">
      <c r="A125" s="1"/>
      <c r="B125" s="1"/>
      <c r="C125" s="3"/>
      <c r="D125" s="3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hidden="1" customHeight="1">
      <c r="A126" s="1"/>
      <c r="B126" s="1" t="s">
        <v>165</v>
      </c>
      <c r="C126" s="3"/>
      <c r="D126" s="3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hidden="1" customHeight="1">
      <c r="A127" s="1"/>
      <c r="B127" s="1"/>
      <c r="C127" s="3"/>
      <c r="D127" s="3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hidden="1" customHeight="1">
      <c r="A128" s="1"/>
      <c r="B128" s="1"/>
      <c r="C128" s="3"/>
      <c r="D128" s="3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hidden="1" customHeight="1">
      <c r="A129" s="1"/>
      <c r="B129" s="407" t="s">
        <v>166</v>
      </c>
      <c r="C129" s="25" t="str">
        <f>C3</f>
        <v>JULHO</v>
      </c>
      <c r="D129" s="27"/>
      <c r="E129" s="27"/>
      <c r="F129" s="27"/>
      <c r="G129" s="28"/>
      <c r="H129" s="25" t="s">
        <v>12</v>
      </c>
      <c r="I129" s="27"/>
      <c r="J129" s="27"/>
      <c r="K129" s="27"/>
      <c r="L129" s="28"/>
      <c r="M129" s="343" t="s">
        <v>3</v>
      </c>
      <c r="N129" s="27"/>
      <c r="O129" s="27"/>
      <c r="P129" s="27"/>
      <c r="Q129" s="28"/>
      <c r="R129" s="1"/>
      <c r="S129" s="35"/>
      <c r="T129" s="35"/>
      <c r="U129" s="35"/>
      <c r="V129" s="35"/>
      <c r="W129" s="35"/>
      <c r="X129" s="35"/>
      <c r="Y129" s="35"/>
      <c r="Z129" s="35"/>
    </row>
    <row r="130" ht="33.75" hidden="1" customHeight="1">
      <c r="A130" s="344"/>
      <c r="B130" s="38"/>
      <c r="C130" s="345" t="s">
        <v>149</v>
      </c>
      <c r="D130" s="346" t="s">
        <v>150</v>
      </c>
      <c r="E130" s="347" t="s">
        <v>19</v>
      </c>
      <c r="F130" s="348" t="s">
        <v>151</v>
      </c>
      <c r="G130" s="349" t="s">
        <v>152</v>
      </c>
      <c r="H130" s="350" t="s">
        <v>153</v>
      </c>
      <c r="I130" s="348" t="s">
        <v>154</v>
      </c>
      <c r="J130" s="348" t="s">
        <v>149</v>
      </c>
      <c r="K130" s="348" t="s">
        <v>155</v>
      </c>
      <c r="L130" s="349" t="s">
        <v>156</v>
      </c>
      <c r="M130" s="345" t="s">
        <v>149</v>
      </c>
      <c r="N130" s="346" t="s">
        <v>150</v>
      </c>
      <c r="O130" s="347" t="s">
        <v>157</v>
      </c>
      <c r="P130" s="348" t="s">
        <v>158</v>
      </c>
      <c r="Q130" s="349" t="s">
        <v>159</v>
      </c>
      <c r="R130" s="7"/>
      <c r="S130" s="353"/>
      <c r="T130" s="353"/>
      <c r="U130" s="353"/>
      <c r="V130" s="353"/>
      <c r="W130" s="353"/>
      <c r="X130" s="353"/>
      <c r="Y130" s="353"/>
      <c r="Z130" s="353"/>
    </row>
    <row r="131" ht="15.0" hidden="1" customHeight="1">
      <c r="A131" s="1"/>
      <c r="B131" s="354" t="s">
        <v>40</v>
      </c>
      <c r="C131" s="355">
        <v>0.0</v>
      </c>
      <c r="D131" s="57">
        <v>0.0</v>
      </c>
      <c r="E131" s="57">
        <v>0.0</v>
      </c>
      <c r="F131" s="357" t="str">
        <f t="shared" ref="F131:F144" si="230">IFERROR(E131/C131-1," ")</f>
        <v> </v>
      </c>
      <c r="G131" s="358" t="str">
        <f t="shared" ref="G131:G144" si="231">IFERROR(E131/D131-1," ")</f>
        <v> </v>
      </c>
      <c r="H131" s="355">
        <v>1876.32968</v>
      </c>
      <c r="I131" s="57">
        <v>0.0</v>
      </c>
      <c r="J131" s="57">
        <v>0.0</v>
      </c>
      <c r="K131" s="357">
        <f t="shared" ref="K131:K142" si="232">IFERROR(J131/H131-1," ")</f>
        <v>-1</v>
      </c>
      <c r="L131" s="358" t="str">
        <f t="shared" ref="L131:L142" si="233">IFERROR(J131/I131-1," ")</f>
        <v> </v>
      </c>
      <c r="M131" s="355">
        <v>1876.33</v>
      </c>
      <c r="N131" s="57">
        <v>0.0</v>
      </c>
      <c r="O131" s="57">
        <v>0.0</v>
      </c>
      <c r="P131" s="357">
        <f t="shared" ref="P131:P135" si="234">IFERROR(O131/M131-1," ")</f>
        <v>-1</v>
      </c>
      <c r="Q131" s="358" t="str">
        <f t="shared" ref="Q131:Q135" si="235">IFERROR(O131/N131-1," ")</f>
        <v> </v>
      </c>
      <c r="R131" s="1"/>
      <c r="S131" s="1"/>
      <c r="T131" s="1"/>
      <c r="U131" s="1"/>
      <c r="V131" s="1"/>
      <c r="W131" s="1"/>
      <c r="X131" s="1"/>
      <c r="Y131" s="1"/>
      <c r="Z131" s="1"/>
    </row>
    <row r="132" ht="15.0" hidden="1" customHeight="1">
      <c r="A132" s="1"/>
      <c r="B132" s="354" t="s">
        <v>71</v>
      </c>
      <c r="C132" s="355">
        <v>0.0</v>
      </c>
      <c r="D132" s="57">
        <v>0.0</v>
      </c>
      <c r="E132" s="57">
        <v>0.0</v>
      </c>
      <c r="F132" s="357" t="str">
        <f t="shared" si="230"/>
        <v> </v>
      </c>
      <c r="G132" s="358" t="str">
        <f t="shared" si="231"/>
        <v> </v>
      </c>
      <c r="H132" s="355">
        <v>-37.24344</v>
      </c>
      <c r="I132" s="57">
        <v>0.0</v>
      </c>
      <c r="J132" s="57">
        <v>0.0</v>
      </c>
      <c r="K132" s="357">
        <f t="shared" si="232"/>
        <v>-1</v>
      </c>
      <c r="L132" s="358" t="str">
        <f t="shared" si="233"/>
        <v> </v>
      </c>
      <c r="M132" s="355">
        <v>-37.25</v>
      </c>
      <c r="N132" s="57">
        <v>0.0</v>
      </c>
      <c r="O132" s="57">
        <v>0.0</v>
      </c>
      <c r="P132" s="357">
        <f t="shared" si="234"/>
        <v>-1</v>
      </c>
      <c r="Q132" s="358" t="str">
        <f t="shared" si="235"/>
        <v> </v>
      </c>
      <c r="R132" s="1"/>
      <c r="S132" s="1"/>
      <c r="T132" s="1"/>
      <c r="U132" s="1"/>
      <c r="V132" s="1"/>
      <c r="W132" s="1"/>
      <c r="X132" s="1"/>
      <c r="Y132" s="1"/>
      <c r="Z132" s="1"/>
    </row>
    <row r="133" ht="15.0" hidden="1" customHeight="1">
      <c r="A133" s="1"/>
      <c r="B133" s="360" t="s">
        <v>85</v>
      </c>
      <c r="C133" s="355">
        <v>0.0</v>
      </c>
      <c r="D133" s="248">
        <f t="shared" ref="D133:E133" si="236">D131+D132</f>
        <v>0</v>
      </c>
      <c r="E133" s="248">
        <f t="shared" si="236"/>
        <v>0</v>
      </c>
      <c r="F133" s="357" t="str">
        <f t="shared" si="230"/>
        <v> </v>
      </c>
      <c r="G133" s="358" t="str">
        <f t="shared" si="231"/>
        <v> </v>
      </c>
      <c r="H133" s="355">
        <v>1839.08624</v>
      </c>
      <c r="I133" s="57">
        <v>0.0</v>
      </c>
      <c r="J133" s="57">
        <v>0.0</v>
      </c>
      <c r="K133" s="357">
        <f t="shared" si="232"/>
        <v>-1</v>
      </c>
      <c r="L133" s="358" t="str">
        <f t="shared" si="233"/>
        <v> </v>
      </c>
      <c r="M133" s="361">
        <f t="shared" ref="M133:O133" si="237">M131+M132</f>
        <v>1839.08</v>
      </c>
      <c r="N133" s="248">
        <f t="shared" si="237"/>
        <v>0</v>
      </c>
      <c r="O133" s="248">
        <f t="shared" si="237"/>
        <v>0</v>
      </c>
      <c r="P133" s="357">
        <f t="shared" si="234"/>
        <v>-1</v>
      </c>
      <c r="Q133" s="358" t="str">
        <f t="shared" si="235"/>
        <v> </v>
      </c>
      <c r="R133" s="1"/>
      <c r="S133" s="1"/>
      <c r="T133" s="1"/>
      <c r="U133" s="1"/>
      <c r="V133" s="1"/>
      <c r="W133" s="1"/>
      <c r="X133" s="1"/>
      <c r="Y133" s="1"/>
      <c r="Z133" s="1"/>
    </row>
    <row r="134" ht="15.0" hidden="1" customHeight="1">
      <c r="A134" s="1"/>
      <c r="B134" s="354" t="s">
        <v>73</v>
      </c>
      <c r="C134" s="355">
        <v>0.0</v>
      </c>
      <c r="D134" s="57">
        <v>0.0</v>
      </c>
      <c r="E134" s="57">
        <v>0.0</v>
      </c>
      <c r="F134" s="357" t="str">
        <f t="shared" si="230"/>
        <v> </v>
      </c>
      <c r="G134" s="358" t="str">
        <f t="shared" si="231"/>
        <v> </v>
      </c>
      <c r="H134" s="355">
        <v>-1737.29192</v>
      </c>
      <c r="I134" s="57">
        <v>0.0</v>
      </c>
      <c r="J134" s="57">
        <v>0.0</v>
      </c>
      <c r="K134" s="357">
        <f t="shared" si="232"/>
        <v>-1</v>
      </c>
      <c r="L134" s="358" t="str">
        <f t="shared" si="233"/>
        <v> </v>
      </c>
      <c r="M134" s="355">
        <v>-1737.29</v>
      </c>
      <c r="N134" s="57">
        <v>0.0</v>
      </c>
      <c r="O134" s="57">
        <v>0.0</v>
      </c>
      <c r="P134" s="357">
        <f t="shared" si="234"/>
        <v>-1</v>
      </c>
      <c r="Q134" s="358" t="str">
        <f t="shared" si="235"/>
        <v> </v>
      </c>
      <c r="R134" s="1"/>
      <c r="S134" s="1"/>
      <c r="T134" s="1"/>
      <c r="U134" s="1"/>
      <c r="V134" s="1"/>
      <c r="W134" s="1"/>
      <c r="X134" s="1"/>
      <c r="Y134" s="1"/>
      <c r="Z134" s="1"/>
    </row>
    <row r="135" ht="15.0" hidden="1" customHeight="1">
      <c r="A135" s="1"/>
      <c r="B135" s="354" t="s">
        <v>75</v>
      </c>
      <c r="C135" s="361">
        <f t="shared" ref="C135:E135" si="238">C133+C134</f>
        <v>0</v>
      </c>
      <c r="D135" s="248">
        <f t="shared" si="238"/>
        <v>0</v>
      </c>
      <c r="E135" s="248">
        <f t="shared" si="238"/>
        <v>0</v>
      </c>
      <c r="F135" s="357" t="str">
        <f t="shared" si="230"/>
        <v> </v>
      </c>
      <c r="G135" s="358" t="str">
        <f t="shared" si="231"/>
        <v> </v>
      </c>
      <c r="H135" s="355">
        <v>101.79432</v>
      </c>
      <c r="I135" s="57">
        <v>0.0</v>
      </c>
      <c r="J135" s="57">
        <v>0.0</v>
      </c>
      <c r="K135" s="357">
        <f t="shared" si="232"/>
        <v>-1</v>
      </c>
      <c r="L135" s="358" t="str">
        <f t="shared" si="233"/>
        <v> </v>
      </c>
      <c r="M135" s="361">
        <f t="shared" ref="M135:O135" si="239">M133+M134</f>
        <v>101.79</v>
      </c>
      <c r="N135" s="248">
        <f t="shared" si="239"/>
        <v>0</v>
      </c>
      <c r="O135" s="248">
        <f t="shared" si="239"/>
        <v>0</v>
      </c>
      <c r="P135" s="357">
        <f t="shared" si="234"/>
        <v>-1</v>
      </c>
      <c r="Q135" s="358" t="str">
        <f t="shared" si="235"/>
        <v> </v>
      </c>
      <c r="R135" s="1"/>
      <c r="S135" s="1"/>
      <c r="T135" s="1"/>
      <c r="U135" s="1"/>
      <c r="V135" s="1"/>
      <c r="W135" s="1"/>
      <c r="X135" s="1"/>
      <c r="Y135" s="1"/>
      <c r="Z135" s="1"/>
    </row>
    <row r="136" ht="15.0" hidden="1" customHeight="1">
      <c r="A136" s="1"/>
      <c r="B136" s="354" t="s">
        <v>77</v>
      </c>
      <c r="C136" s="355">
        <f>-4021.33/1000</f>
        <v>-4.02133</v>
      </c>
      <c r="D136" s="356">
        <f>-4248.84/1000</f>
        <v>-4.24884</v>
      </c>
      <c r="E136" s="57">
        <f>-10115.56/1000</f>
        <v>-10.11556</v>
      </c>
      <c r="F136" s="357">
        <f t="shared" si="230"/>
        <v>1.515476223</v>
      </c>
      <c r="G136" s="358">
        <f t="shared" si="231"/>
        <v>1.380781578</v>
      </c>
      <c r="H136" s="355">
        <f>514438.89/1000</f>
        <v>514.43889</v>
      </c>
      <c r="I136" s="57">
        <f>-45733.714/1000</f>
        <v>-45.733714</v>
      </c>
      <c r="J136" s="57">
        <f>-67682.67/1000</f>
        <v>-67.68267</v>
      </c>
      <c r="K136" s="357">
        <f t="shared" si="232"/>
        <v>-1.131566006</v>
      </c>
      <c r="L136" s="358">
        <f t="shared" si="233"/>
        <v>0.4799294455</v>
      </c>
      <c r="M136" s="355">
        <v>511.14</v>
      </c>
      <c r="N136" s="57">
        <v>-49.97</v>
      </c>
      <c r="O136" s="57">
        <f>-66064.79/1000</f>
        <v>-66.06479</v>
      </c>
      <c r="P136" s="357">
        <f t="shared" ref="P136:P137" si="243">-(IFERROR(O136/M136-1," "))</f>
        <v>1.129249892</v>
      </c>
      <c r="Q136" s="358">
        <f t="shared" ref="Q136:Q137" si="244">-(IFERROR(O136/N136-1," "))</f>
        <v>-0.3220890534</v>
      </c>
      <c r="R136" s="1"/>
      <c r="S136" s="1"/>
      <c r="T136" s="1"/>
      <c r="U136" s="1"/>
      <c r="V136" s="1"/>
      <c r="W136" s="1"/>
      <c r="X136" s="1"/>
      <c r="Y136" s="1"/>
      <c r="Z136" s="1"/>
    </row>
    <row r="137" ht="15.0" hidden="1" customHeight="1">
      <c r="A137" s="165"/>
      <c r="B137" s="365" t="s">
        <v>80</v>
      </c>
      <c r="C137" s="370">
        <f t="shared" ref="C137:E137" si="240">C135+C136</f>
        <v>-4.02133</v>
      </c>
      <c r="D137" s="372">
        <f t="shared" si="240"/>
        <v>-4.24884</v>
      </c>
      <c r="E137" s="372">
        <f t="shared" si="240"/>
        <v>-10.11556</v>
      </c>
      <c r="F137" s="373">
        <f t="shared" si="230"/>
        <v>1.515476223</v>
      </c>
      <c r="G137" s="369">
        <f t="shared" si="231"/>
        <v>1.380781578</v>
      </c>
      <c r="H137" s="370">
        <f t="shared" ref="H137:J137" si="241">H135+H136</f>
        <v>616.23321</v>
      </c>
      <c r="I137" s="372">
        <f t="shared" si="241"/>
        <v>-45.733714</v>
      </c>
      <c r="J137" s="372">
        <f t="shared" si="241"/>
        <v>-67.68267</v>
      </c>
      <c r="K137" s="373">
        <f t="shared" si="232"/>
        <v>-1.109832883</v>
      </c>
      <c r="L137" s="369">
        <f t="shared" si="233"/>
        <v>0.4799294455</v>
      </c>
      <c r="M137" s="370">
        <f t="shared" ref="M137:O137" si="242">M135+M136</f>
        <v>612.93</v>
      </c>
      <c r="N137" s="372">
        <f t="shared" si="242"/>
        <v>-49.97</v>
      </c>
      <c r="O137" s="372">
        <f t="shared" si="242"/>
        <v>-66.06479</v>
      </c>
      <c r="P137" s="373">
        <f t="shared" si="243"/>
        <v>1.107785212</v>
      </c>
      <c r="Q137" s="369">
        <f t="shared" si="244"/>
        <v>-0.3220890534</v>
      </c>
      <c r="R137" s="165"/>
      <c r="S137" s="173"/>
      <c r="T137" s="173"/>
      <c r="U137" s="173"/>
      <c r="V137" s="173"/>
      <c r="W137" s="173"/>
      <c r="X137" s="173"/>
      <c r="Y137" s="173"/>
      <c r="Z137" s="173"/>
    </row>
    <row r="138" ht="15.0" hidden="1" customHeight="1">
      <c r="A138" s="165"/>
      <c r="B138" s="365" t="s">
        <v>164</v>
      </c>
      <c r="C138" s="370" t="str">
        <f t="shared" ref="C138:E138" si="245">'DRE Posto Curitiba GERENCIAL'!$L$13</f>
        <v>#REF!</v>
      </c>
      <c r="D138" s="372" t="str">
        <f t="shared" si="245"/>
        <v>#REF!</v>
      </c>
      <c r="E138" s="372" t="str">
        <f t="shared" si="245"/>
        <v>#REF!</v>
      </c>
      <c r="F138" s="373" t="str">
        <f t="shared" si="230"/>
        <v> </v>
      </c>
      <c r="G138" s="369" t="str">
        <f t="shared" si="231"/>
        <v> </v>
      </c>
      <c r="H138" s="370" t="str">
        <f>'DRE Posto Curitiba GERENCIAL'!$N$13</f>
        <v>#REF!</v>
      </c>
      <c r="I138" s="372" t="str">
        <f>'DRE Posto Curitiba GERENCIAL'!$P$13</f>
        <v>#REF!</v>
      </c>
      <c r="J138" s="372" t="str">
        <f>'DRE Posto Curitiba GERENCIAL'!$R$13</f>
        <v>#REF!</v>
      </c>
      <c r="K138" s="373" t="str">
        <f t="shared" si="232"/>
        <v> </v>
      </c>
      <c r="L138" s="369" t="str">
        <f t="shared" si="233"/>
        <v> </v>
      </c>
      <c r="M138" s="370"/>
      <c r="N138" s="372"/>
      <c r="O138" s="372"/>
      <c r="P138" s="373"/>
      <c r="Q138" s="369"/>
      <c r="R138" s="165"/>
      <c r="S138" s="173"/>
      <c r="T138" s="173"/>
      <c r="U138" s="173"/>
      <c r="V138" s="173"/>
      <c r="W138" s="173"/>
      <c r="X138" s="173"/>
      <c r="Y138" s="173"/>
      <c r="Z138" s="173"/>
    </row>
    <row r="139" ht="15.0" hidden="1" customHeight="1">
      <c r="A139" s="1"/>
      <c r="B139" s="354" t="s">
        <v>82</v>
      </c>
      <c r="C139" s="355">
        <v>0.0</v>
      </c>
      <c r="D139" s="57">
        <v>0.0</v>
      </c>
      <c r="E139" s="57">
        <v>0.0</v>
      </c>
      <c r="F139" s="357" t="str">
        <f t="shared" si="230"/>
        <v> </v>
      </c>
      <c r="G139" s="358" t="str">
        <f t="shared" si="231"/>
        <v> </v>
      </c>
      <c r="H139" s="355">
        <f>-14295.82/1000</f>
        <v>-14.29582</v>
      </c>
      <c r="I139" s="57">
        <v>0.0</v>
      </c>
      <c r="J139" s="57">
        <v>0.0</v>
      </c>
      <c r="K139" s="357">
        <f t="shared" si="232"/>
        <v>-1</v>
      </c>
      <c r="L139" s="358" t="str">
        <f t="shared" si="233"/>
        <v> </v>
      </c>
      <c r="M139" s="355">
        <v>-14.29</v>
      </c>
      <c r="N139" s="57">
        <v>0.0</v>
      </c>
      <c r="O139" s="57">
        <v>0.0</v>
      </c>
      <c r="P139" s="357">
        <f>IFERROR(O139/M139-1," ")</f>
        <v>-1</v>
      </c>
      <c r="Q139" s="358" t="str">
        <f>IFERROR(O139/N139-1," ")</f>
        <v> </v>
      </c>
      <c r="R139" s="1"/>
      <c r="S139" s="1"/>
      <c r="T139" s="1"/>
      <c r="U139" s="1"/>
      <c r="V139" s="1"/>
      <c r="W139" s="1"/>
      <c r="X139" s="1"/>
      <c r="Y139" s="1"/>
      <c r="Z139" s="1"/>
    </row>
    <row r="140" ht="15.0" hidden="1" customHeight="1">
      <c r="A140" s="1"/>
      <c r="B140" s="354" t="s">
        <v>83</v>
      </c>
      <c r="C140" s="361">
        <f t="shared" ref="C140:E140" si="246">C137+C139</f>
        <v>-4.02133</v>
      </c>
      <c r="D140" s="248">
        <f t="shared" si="246"/>
        <v>-4.24884</v>
      </c>
      <c r="E140" s="248">
        <f t="shared" si="246"/>
        <v>-10.11556</v>
      </c>
      <c r="F140" s="357">
        <f t="shared" si="230"/>
        <v>1.515476223</v>
      </c>
      <c r="G140" s="358">
        <f t="shared" si="231"/>
        <v>1.380781578</v>
      </c>
      <c r="H140" s="355">
        <f t="shared" ref="H140:J140" si="247">H137+H139</f>
        <v>601.93739</v>
      </c>
      <c r="I140" s="57">
        <f t="shared" si="247"/>
        <v>-45.733714</v>
      </c>
      <c r="J140" s="248">
        <f t="shared" si="247"/>
        <v>-67.68267</v>
      </c>
      <c r="K140" s="357">
        <f t="shared" si="232"/>
        <v>-1.112441379</v>
      </c>
      <c r="L140" s="358">
        <f t="shared" si="233"/>
        <v>0.4799294455</v>
      </c>
      <c r="M140" s="361">
        <f t="shared" ref="M140:O140" si="248">M137+M139</f>
        <v>598.64</v>
      </c>
      <c r="N140" s="248">
        <f t="shared" si="248"/>
        <v>-49.97</v>
      </c>
      <c r="O140" s="248">
        <f t="shared" si="248"/>
        <v>-66.06479</v>
      </c>
      <c r="P140" s="357">
        <f>-(IFERROR(O140/M140-1," "))</f>
        <v>1.110358128</v>
      </c>
      <c r="Q140" s="358">
        <f>-(IFERROR(O140/N140-1," "))</f>
        <v>-0.3220890534</v>
      </c>
      <c r="R140" s="1"/>
      <c r="S140" s="1"/>
      <c r="T140" s="1"/>
      <c r="U140" s="1"/>
      <c r="V140" s="1"/>
      <c r="W140" s="1"/>
      <c r="X140" s="1"/>
      <c r="Y140" s="1"/>
      <c r="Z140" s="1"/>
    </row>
    <row r="141" ht="15.0" hidden="1" customHeight="1">
      <c r="A141" s="1"/>
      <c r="B141" s="354" t="s">
        <v>84</v>
      </c>
      <c r="C141" s="355">
        <f>-305.14/1000</f>
        <v>-0.30514</v>
      </c>
      <c r="D141" s="57">
        <f>-100/1000</f>
        <v>-0.1</v>
      </c>
      <c r="E141" s="57">
        <f>73.74/1000</f>
        <v>0.07374</v>
      </c>
      <c r="F141" s="357">
        <f t="shared" si="230"/>
        <v>-1.241659566</v>
      </c>
      <c r="G141" s="358">
        <f t="shared" si="231"/>
        <v>-1.7374</v>
      </c>
      <c r="H141" s="355">
        <f>-116319.54/1000</f>
        <v>-116.31954</v>
      </c>
      <c r="I141" s="57">
        <f>-1000/1000</f>
        <v>-1</v>
      </c>
      <c r="J141" s="57">
        <f>-418.37/1000</f>
        <v>-0.41837</v>
      </c>
      <c r="K141" s="357">
        <f t="shared" si="232"/>
        <v>-0.9964032698</v>
      </c>
      <c r="L141" s="358">
        <f t="shared" si="233"/>
        <v>-0.58163</v>
      </c>
      <c r="M141" s="355">
        <v>-116.52</v>
      </c>
      <c r="N141" s="57">
        <v>-1.2</v>
      </c>
      <c r="O141" s="57">
        <f>-692.11/1000</f>
        <v>-0.69211</v>
      </c>
      <c r="P141" s="357">
        <f>IFERROR(O141/M141-1," ")</f>
        <v>-0.9940601613</v>
      </c>
      <c r="Q141" s="358">
        <f>IFERROR(O141/N141-1," ")</f>
        <v>-0.4232416667</v>
      </c>
      <c r="R141" s="1"/>
      <c r="S141" s="1"/>
      <c r="T141" s="1"/>
      <c r="U141" s="1"/>
      <c r="V141" s="1"/>
      <c r="W141" s="1"/>
      <c r="X141" s="1"/>
      <c r="Y141" s="1"/>
      <c r="Z141" s="1"/>
    </row>
    <row r="142" ht="15.0" hidden="1" customHeight="1">
      <c r="A142" s="1"/>
      <c r="B142" s="354" t="s">
        <v>86</v>
      </c>
      <c r="C142" s="361">
        <f t="shared" ref="C142:E142" si="249">C140+C141</f>
        <v>-4.32647</v>
      </c>
      <c r="D142" s="248">
        <f t="shared" si="249"/>
        <v>-4.34884</v>
      </c>
      <c r="E142" s="248">
        <f t="shared" si="249"/>
        <v>-10.04182</v>
      </c>
      <c r="F142" s="357">
        <f t="shared" si="230"/>
        <v>1.321019214</v>
      </c>
      <c r="G142" s="358">
        <f t="shared" si="231"/>
        <v>1.309080123</v>
      </c>
      <c r="H142" s="355">
        <f t="shared" ref="H142:J142" si="250">H140+H141</f>
        <v>485.61785</v>
      </c>
      <c r="I142" s="57">
        <f t="shared" si="250"/>
        <v>-46.733714</v>
      </c>
      <c r="J142" s="248">
        <f t="shared" si="250"/>
        <v>-68.10104</v>
      </c>
      <c r="K142" s="357">
        <f t="shared" si="232"/>
        <v>-1.140235867</v>
      </c>
      <c r="L142" s="358">
        <f t="shared" si="233"/>
        <v>0.4572143785</v>
      </c>
      <c r="M142" s="361">
        <f t="shared" ref="M142:O142" si="251">M140+M141</f>
        <v>482.12</v>
      </c>
      <c r="N142" s="248">
        <f t="shared" si="251"/>
        <v>-51.17</v>
      </c>
      <c r="O142" s="248">
        <f t="shared" si="251"/>
        <v>-66.7569</v>
      </c>
      <c r="P142" s="357">
        <f>-(IFERROR(O142/M142-1," "))</f>
        <v>1.13846532</v>
      </c>
      <c r="Q142" s="358">
        <f>-(IFERROR(O142/N142-1," "))</f>
        <v>-0.3046101231</v>
      </c>
      <c r="R142" s="1"/>
      <c r="S142" s="1"/>
      <c r="T142" s="1"/>
      <c r="U142" s="1"/>
      <c r="V142" s="1"/>
      <c r="W142" s="1"/>
      <c r="X142" s="1"/>
      <c r="Y142" s="1"/>
      <c r="Z142" s="1"/>
    </row>
    <row r="143" ht="15.0" hidden="1" customHeight="1">
      <c r="A143" s="1"/>
      <c r="B143" s="354" t="s">
        <v>87</v>
      </c>
      <c r="C143" s="361"/>
      <c r="D143" s="248"/>
      <c r="E143" s="248"/>
      <c r="F143" s="357" t="str">
        <f t="shared" si="230"/>
        <v> </v>
      </c>
      <c r="G143" s="358" t="str">
        <f t="shared" si="231"/>
        <v> </v>
      </c>
      <c r="H143" s="361"/>
      <c r="I143" s="248"/>
      <c r="J143" s="248"/>
      <c r="K143" s="357"/>
      <c r="L143" s="358"/>
      <c r="M143" s="361"/>
      <c r="N143" s="248"/>
      <c r="O143" s="248"/>
      <c r="P143" s="357"/>
      <c r="Q143" s="358"/>
      <c r="R143" s="1"/>
      <c r="S143" s="1"/>
      <c r="T143" s="1"/>
      <c r="U143" s="1"/>
      <c r="V143" s="1"/>
      <c r="W143" s="1"/>
      <c r="X143" s="1"/>
      <c r="Y143" s="1"/>
      <c r="Z143" s="1"/>
    </row>
    <row r="144" ht="15.0" hidden="1" customHeight="1">
      <c r="A144" s="1"/>
      <c r="B144" s="354" t="s">
        <v>89</v>
      </c>
      <c r="C144" s="361">
        <f t="shared" ref="C144:E144" si="252">C142+C143</f>
        <v>-4.32647</v>
      </c>
      <c r="D144" s="248">
        <f t="shared" si="252"/>
        <v>-4.34884</v>
      </c>
      <c r="E144" s="248">
        <f t="shared" si="252"/>
        <v>-10.04182</v>
      </c>
      <c r="F144" s="357">
        <f t="shared" si="230"/>
        <v>1.321019214</v>
      </c>
      <c r="G144" s="358">
        <f t="shared" si="231"/>
        <v>1.309080123</v>
      </c>
      <c r="H144" s="361">
        <f t="shared" ref="H144:J144" si="253">H142</f>
        <v>485.61785</v>
      </c>
      <c r="I144" s="57">
        <f t="shared" si="253"/>
        <v>-46.733714</v>
      </c>
      <c r="J144" s="248">
        <f t="shared" si="253"/>
        <v>-68.10104</v>
      </c>
      <c r="K144" s="357">
        <f>IFERROR(J144/H144-1," ")</f>
        <v>-1.140235867</v>
      </c>
      <c r="L144" s="358">
        <f>IFERROR(J144/I144-1," ")</f>
        <v>0.4572143785</v>
      </c>
      <c r="M144" s="361">
        <f t="shared" ref="M144:O144" si="254">M142+M143</f>
        <v>482.12</v>
      </c>
      <c r="N144" s="248">
        <f t="shared" si="254"/>
        <v>-51.17</v>
      </c>
      <c r="O144" s="248">
        <f t="shared" si="254"/>
        <v>-66.7569</v>
      </c>
      <c r="P144" s="357">
        <f>-(IFERROR(O144/M144-1," "))</f>
        <v>1.13846532</v>
      </c>
      <c r="Q144" s="358">
        <f>-(IFERROR(O144/N144-1," "))</f>
        <v>-0.3046101231</v>
      </c>
      <c r="R144" s="1"/>
      <c r="S144" s="1"/>
      <c r="T144" s="1"/>
      <c r="U144" s="1"/>
      <c r="V144" s="1"/>
      <c r="W144" s="1"/>
      <c r="X144" s="1"/>
      <c r="Y144" s="1"/>
      <c r="Z144" s="1"/>
    </row>
    <row r="145" ht="3.75" hidden="1" customHeight="1">
      <c r="A145" s="1"/>
      <c r="B145" s="354"/>
      <c r="C145" s="382"/>
      <c r="D145" s="2"/>
      <c r="E145" s="2"/>
      <c r="F145" s="7"/>
      <c r="G145" s="430"/>
      <c r="H145" s="382"/>
      <c r="I145" s="2"/>
      <c r="J145" s="2"/>
      <c r="K145" s="7"/>
      <c r="L145" s="430"/>
      <c r="M145" s="382"/>
      <c r="N145" s="2"/>
      <c r="O145" s="2"/>
      <c r="P145" s="7"/>
      <c r="Q145" s="430"/>
      <c r="R145" s="1"/>
      <c r="S145" s="1"/>
      <c r="T145" s="1"/>
      <c r="U145" s="1"/>
      <c r="V145" s="1"/>
      <c r="W145" s="1"/>
      <c r="X145" s="1"/>
      <c r="Y145" s="1"/>
      <c r="Z145" s="1"/>
    </row>
    <row r="146" ht="16.5" hidden="1" customHeight="1">
      <c r="A146" s="1"/>
      <c r="B146" s="376" t="s">
        <v>100</v>
      </c>
      <c r="C146" s="377">
        <f t="shared" ref="C146:E146" si="255">IFERROR(C137/C133,0)</f>
        <v>0</v>
      </c>
      <c r="D146" s="406">
        <f t="shared" si="255"/>
        <v>0</v>
      </c>
      <c r="E146" s="406">
        <f t="shared" si="255"/>
        <v>0</v>
      </c>
      <c r="F146" s="380"/>
      <c r="G146" s="381"/>
      <c r="H146" s="406">
        <f t="shared" ref="H146:J146" si="256">IFERROR(H137/H133,0)</f>
        <v>0.3350757548</v>
      </c>
      <c r="I146" s="434">
        <f t="shared" si="256"/>
        <v>0</v>
      </c>
      <c r="J146" s="436">
        <f t="shared" si="256"/>
        <v>0</v>
      </c>
      <c r="K146" s="380"/>
      <c r="L146" s="381"/>
      <c r="M146" s="377">
        <f t="shared" ref="M146:O146" si="257">IFERROR(M137/M133,0)</f>
        <v>0.3332807708</v>
      </c>
      <c r="N146" s="434">
        <f t="shared" si="257"/>
        <v>0</v>
      </c>
      <c r="O146" s="436">
        <f t="shared" si="257"/>
        <v>0</v>
      </c>
      <c r="P146" s="380"/>
      <c r="Q146" s="381"/>
      <c r="R146" s="1"/>
      <c r="S146" s="35"/>
      <c r="T146" s="35"/>
      <c r="U146" s="35"/>
      <c r="V146" s="35"/>
      <c r="W146" s="35"/>
      <c r="X146" s="35"/>
      <c r="Y146" s="35"/>
      <c r="Z146" s="35"/>
    </row>
    <row r="147" ht="4.5" hidden="1" customHeight="1">
      <c r="A147" s="1"/>
      <c r="B147" s="1"/>
      <c r="C147" s="3"/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hidden="1" customHeight="1">
      <c r="A148" s="1"/>
      <c r="B148" s="437" t="s">
        <v>165</v>
      </c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3"/>
      <c r="D149" s="3"/>
      <c r="E149" s="3"/>
      <c r="F149" s="1"/>
      <c r="G149" s="64" t="s">
        <v>48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hidden="1" customHeight="1">
      <c r="A150" s="1"/>
      <c r="B150" s="438" t="s">
        <v>168</v>
      </c>
      <c r="C150" s="439"/>
      <c r="D150" s="439"/>
      <c r="E150" s="439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1"/>
      <c r="S150" s="35"/>
      <c r="T150" s="35"/>
      <c r="U150" s="35"/>
      <c r="V150" s="35"/>
      <c r="W150" s="35"/>
      <c r="X150" s="35"/>
      <c r="Y150" s="35"/>
      <c r="Z150" s="35"/>
    </row>
    <row r="151" ht="8.25" hidden="1" customHeight="1">
      <c r="A151" s="1"/>
      <c r="B151" s="438"/>
      <c r="C151" s="439"/>
      <c r="D151" s="439"/>
      <c r="E151" s="439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1"/>
      <c r="S151" s="35"/>
      <c r="T151" s="35"/>
      <c r="U151" s="35"/>
      <c r="V151" s="35"/>
      <c r="W151" s="35"/>
      <c r="X151" s="35"/>
      <c r="Y151" s="35"/>
      <c r="Z151" s="35"/>
    </row>
    <row r="152" ht="15.75" hidden="1" customHeight="1">
      <c r="A152" s="1"/>
      <c r="B152" s="440" t="s">
        <v>169</v>
      </c>
      <c r="C152" s="441" t="s">
        <v>170</v>
      </c>
      <c r="D152" s="27"/>
      <c r="E152" s="27"/>
      <c r="F152" s="27"/>
      <c r="G152" s="28"/>
      <c r="H152" s="441" t="s">
        <v>171</v>
      </c>
      <c r="I152" s="27"/>
      <c r="J152" s="27"/>
      <c r="K152" s="27"/>
      <c r="L152" s="28"/>
      <c r="M152" s="441" t="s">
        <v>172</v>
      </c>
      <c r="N152" s="27"/>
      <c r="O152" s="27"/>
      <c r="P152" s="27"/>
      <c r="Q152" s="28"/>
      <c r="R152" s="1"/>
      <c r="S152" s="35"/>
      <c r="T152" s="35"/>
      <c r="U152" s="35"/>
      <c r="V152" s="35"/>
      <c r="W152" s="35"/>
      <c r="X152" s="35"/>
      <c r="Y152" s="35"/>
      <c r="Z152" s="35"/>
    </row>
    <row r="153" ht="33.0" hidden="1" customHeight="1">
      <c r="A153" s="1"/>
      <c r="B153" s="38"/>
      <c r="C153" s="442" t="s">
        <v>173</v>
      </c>
      <c r="D153" s="443" t="s">
        <v>174</v>
      </c>
      <c r="E153" s="443" t="s">
        <v>175</v>
      </c>
      <c r="F153" s="443" t="s">
        <v>176</v>
      </c>
      <c r="G153" s="444" t="s">
        <v>177</v>
      </c>
      <c r="H153" s="442" t="s">
        <v>173</v>
      </c>
      <c r="I153" s="443" t="s">
        <v>174</v>
      </c>
      <c r="J153" s="443" t="s">
        <v>175</v>
      </c>
      <c r="K153" s="443" t="s">
        <v>176</v>
      </c>
      <c r="L153" s="444" t="s">
        <v>177</v>
      </c>
      <c r="M153" s="442" t="s">
        <v>173</v>
      </c>
      <c r="N153" s="443" t="s">
        <v>174</v>
      </c>
      <c r="O153" s="443" t="s">
        <v>175</v>
      </c>
      <c r="P153" s="443" t="s">
        <v>176</v>
      </c>
      <c r="Q153" s="444" t="s">
        <v>177</v>
      </c>
      <c r="R153" s="1"/>
      <c r="S153" s="35"/>
      <c r="T153" s="35"/>
      <c r="U153" s="35"/>
      <c r="V153" s="35"/>
      <c r="W153" s="35"/>
      <c r="X153" s="35"/>
      <c r="Y153" s="35"/>
      <c r="Z153" s="35"/>
    </row>
    <row r="154" ht="15.75" hidden="1" customHeight="1">
      <c r="A154" s="1"/>
      <c r="B154" s="446" t="s">
        <v>40</v>
      </c>
      <c r="C154" s="447">
        <f>141428.4/1000</f>
        <v>141.4284</v>
      </c>
      <c r="D154" s="448">
        <f>147287/1000</f>
        <v>147.287</v>
      </c>
      <c r="E154" s="448">
        <f>140562.22/1000</f>
        <v>140.56222</v>
      </c>
      <c r="F154" s="449">
        <f t="shared" ref="F154:F165" si="258">IFERROR(E154/C154-1," ")</f>
        <v>-0.006124512474</v>
      </c>
      <c r="G154" s="450">
        <f t="shared" ref="G154:G166" si="259">IFERROR(E154/D154-1," ")</f>
        <v>-0.04565766157</v>
      </c>
      <c r="H154" s="447">
        <f>1169884.75/1000</f>
        <v>1169.88475</v>
      </c>
      <c r="I154" s="448">
        <f>1360179/1000</f>
        <v>1360.179</v>
      </c>
      <c r="J154" s="448">
        <f>1167019.54/1000</f>
        <v>1167.01954</v>
      </c>
      <c r="K154" s="449">
        <f t="shared" ref="K154:K159" si="260">IFERROR(J154/H154-1," ")</f>
        <v>-0.002449138687</v>
      </c>
      <c r="L154" s="450">
        <f t="shared" ref="L154:L166" si="261">IFERROR(J154/I154-1," ")</f>
        <v>-0.1420103236</v>
      </c>
      <c r="M154" s="447">
        <f>1311313.15/1000</f>
        <v>1311.31315</v>
      </c>
      <c r="N154" s="448">
        <f>1507466/1000</f>
        <v>1507.466</v>
      </c>
      <c r="O154" s="448">
        <f>1307581.76/1000</f>
        <v>1307.58176</v>
      </c>
      <c r="P154" s="449">
        <f t="shared" ref="P154:P161" si="262">IFERROR(O154/M154-1," ")</f>
        <v>-0.002845536934</v>
      </c>
      <c r="Q154" s="450">
        <f t="shared" ref="Q154:Q166" si="263">IFERROR(O154/N154-1," ")</f>
        <v>-0.1325961846</v>
      </c>
      <c r="R154" s="1"/>
      <c r="S154" s="35"/>
      <c r="T154" s="35"/>
      <c r="U154" s="35"/>
      <c r="V154" s="35"/>
      <c r="W154" s="35"/>
      <c r="X154" s="35"/>
      <c r="Y154" s="35"/>
      <c r="Z154" s="35"/>
    </row>
    <row r="155" ht="15.75" hidden="1" customHeight="1">
      <c r="A155" s="1"/>
      <c r="B155" s="446" t="s">
        <v>71</v>
      </c>
      <c r="C155" s="447">
        <f>12397.13/1000</f>
        <v>12.39713</v>
      </c>
      <c r="D155" s="448">
        <f>12740.36/1000</f>
        <v>12.74036</v>
      </c>
      <c r="E155" s="448">
        <f>12418.52/1000</f>
        <v>12.41852</v>
      </c>
      <c r="F155" s="449">
        <f t="shared" si="258"/>
        <v>0.001725399346</v>
      </c>
      <c r="G155" s="450">
        <f t="shared" si="259"/>
        <v>-0.02526145258</v>
      </c>
      <c r="H155" s="447">
        <f>107570.22/1000</f>
        <v>107.57022</v>
      </c>
      <c r="I155" s="448">
        <f>117656/1000</f>
        <v>117.656</v>
      </c>
      <c r="J155" s="448">
        <f>101879.33/1000</f>
        <v>101.87933</v>
      </c>
      <c r="K155" s="449">
        <f t="shared" si="260"/>
        <v>-0.05290395427</v>
      </c>
      <c r="L155" s="450">
        <f t="shared" si="261"/>
        <v>-0.134091504</v>
      </c>
      <c r="M155" s="447">
        <f>119967.35/1000</f>
        <v>119.96735</v>
      </c>
      <c r="N155" s="448">
        <f>N154*8.65%</f>
        <v>130.395809</v>
      </c>
      <c r="O155" s="448">
        <f>114297.85/1000</f>
        <v>114.29785</v>
      </c>
      <c r="P155" s="449">
        <f t="shared" si="262"/>
        <v>-0.04725869164</v>
      </c>
      <c r="Q155" s="450">
        <f t="shared" si="263"/>
        <v>-0.1234545736</v>
      </c>
      <c r="R155" s="1"/>
      <c r="S155" s="35"/>
      <c r="T155" s="35"/>
      <c r="U155" s="35"/>
      <c r="V155" s="35"/>
      <c r="W155" s="35"/>
      <c r="X155" s="35"/>
      <c r="Y155" s="35"/>
      <c r="Z155" s="35"/>
    </row>
    <row r="156" ht="15.75" hidden="1" customHeight="1">
      <c r="A156" s="1"/>
      <c r="B156" s="446" t="s">
        <v>72</v>
      </c>
      <c r="C156" s="447">
        <f t="shared" ref="C156:E156" si="264">C154-C155</f>
        <v>129.03127</v>
      </c>
      <c r="D156" s="448">
        <f t="shared" si="264"/>
        <v>134.54664</v>
      </c>
      <c r="E156" s="448">
        <f t="shared" si="264"/>
        <v>128.1437</v>
      </c>
      <c r="F156" s="449">
        <f t="shared" si="258"/>
        <v>-0.006878720174</v>
      </c>
      <c r="G156" s="450">
        <f t="shared" si="259"/>
        <v>-0.04758899962</v>
      </c>
      <c r="H156" s="447">
        <f t="shared" ref="H156:J156" si="265">H154-H155</f>
        <v>1062.31453</v>
      </c>
      <c r="I156" s="448">
        <f t="shared" si="265"/>
        <v>1242.523</v>
      </c>
      <c r="J156" s="448">
        <f t="shared" si="265"/>
        <v>1065.14021</v>
      </c>
      <c r="K156" s="449">
        <f t="shared" si="260"/>
        <v>0.002659927846</v>
      </c>
      <c r="L156" s="450">
        <f t="shared" si="261"/>
        <v>-0.1427601662</v>
      </c>
      <c r="M156" s="447">
        <f t="shared" ref="M156:O156" si="266">M154-M155</f>
        <v>1191.3458</v>
      </c>
      <c r="N156" s="448">
        <f t="shared" si="266"/>
        <v>1377.070191</v>
      </c>
      <c r="O156" s="448">
        <f t="shared" si="266"/>
        <v>1193.28391</v>
      </c>
      <c r="P156" s="449">
        <f t="shared" si="262"/>
        <v>0.001626824051</v>
      </c>
      <c r="Q156" s="450">
        <f t="shared" si="263"/>
        <v>-0.1334618106</v>
      </c>
      <c r="R156" s="1"/>
      <c r="S156" s="35"/>
      <c r="T156" s="35"/>
      <c r="U156" s="35"/>
      <c r="V156" s="35"/>
      <c r="W156" s="35"/>
      <c r="X156" s="35"/>
      <c r="Y156" s="35"/>
      <c r="Z156" s="35"/>
    </row>
    <row r="157" ht="15.75" hidden="1" customHeight="1">
      <c r="A157" s="1"/>
      <c r="B157" s="446" t="s">
        <v>73</v>
      </c>
      <c r="C157" s="447"/>
      <c r="D157" s="448"/>
      <c r="E157" s="448"/>
      <c r="F157" s="449" t="str">
        <f t="shared" si="258"/>
        <v> </v>
      </c>
      <c r="G157" s="450" t="str">
        <f t="shared" si="259"/>
        <v> </v>
      </c>
      <c r="H157" s="447"/>
      <c r="I157" s="448"/>
      <c r="J157" s="448"/>
      <c r="K157" s="449" t="str">
        <f t="shared" si="260"/>
        <v> </v>
      </c>
      <c r="L157" s="450" t="str">
        <f t="shared" si="261"/>
        <v> </v>
      </c>
      <c r="M157" s="447"/>
      <c r="N157" s="448"/>
      <c r="O157" s="448"/>
      <c r="P157" s="449" t="str">
        <f t="shared" si="262"/>
        <v> </v>
      </c>
      <c r="Q157" s="450" t="str">
        <f t="shared" si="263"/>
        <v> </v>
      </c>
      <c r="R157" s="1"/>
      <c r="S157" s="35"/>
      <c r="T157" s="35"/>
      <c r="U157" s="35"/>
      <c r="V157" s="35"/>
      <c r="W157" s="35"/>
      <c r="X157" s="35"/>
      <c r="Y157" s="35"/>
      <c r="Z157" s="35"/>
    </row>
    <row r="158" ht="15.75" hidden="1" customHeight="1">
      <c r="A158" s="1"/>
      <c r="B158" s="446" t="s">
        <v>75</v>
      </c>
      <c r="C158" s="447">
        <f t="shared" ref="C158:E158" si="267">C156</f>
        <v>129.03127</v>
      </c>
      <c r="D158" s="448">
        <f t="shared" si="267"/>
        <v>134.54664</v>
      </c>
      <c r="E158" s="448">
        <f t="shared" si="267"/>
        <v>128.1437</v>
      </c>
      <c r="F158" s="449">
        <f t="shared" si="258"/>
        <v>-0.006878720174</v>
      </c>
      <c r="G158" s="450">
        <f t="shared" si="259"/>
        <v>-0.04758899962</v>
      </c>
      <c r="H158" s="447">
        <f t="shared" ref="H158:J158" si="268">H156</f>
        <v>1062.31453</v>
      </c>
      <c r="I158" s="448">
        <f t="shared" si="268"/>
        <v>1242.523</v>
      </c>
      <c r="J158" s="448">
        <f t="shared" si="268"/>
        <v>1065.14021</v>
      </c>
      <c r="K158" s="449">
        <f t="shared" si="260"/>
        <v>0.002659927846</v>
      </c>
      <c r="L158" s="450">
        <f t="shared" si="261"/>
        <v>-0.1427601662</v>
      </c>
      <c r="M158" s="447">
        <f t="shared" ref="M158:O158" si="269">M156</f>
        <v>1191.3458</v>
      </c>
      <c r="N158" s="448">
        <f t="shared" si="269"/>
        <v>1377.070191</v>
      </c>
      <c r="O158" s="448">
        <f t="shared" si="269"/>
        <v>1193.28391</v>
      </c>
      <c r="P158" s="449">
        <f t="shared" si="262"/>
        <v>0.001626824051</v>
      </c>
      <c r="Q158" s="450">
        <f t="shared" si="263"/>
        <v>-0.1334618106</v>
      </c>
      <c r="R158" s="1"/>
      <c r="S158" s="35"/>
      <c r="T158" s="35"/>
      <c r="U158" s="35"/>
      <c r="V158" s="35"/>
      <c r="W158" s="35"/>
      <c r="X158" s="35"/>
      <c r="Y158" s="35"/>
      <c r="Z158" s="35"/>
    </row>
    <row r="159" ht="15.75" hidden="1" customHeight="1">
      <c r="A159" s="1"/>
      <c r="B159" s="446" t="s">
        <v>77</v>
      </c>
      <c r="C159" s="447">
        <f>106159.89/1000</f>
        <v>106.15989</v>
      </c>
      <c r="D159" s="448">
        <f>81274.33/1000</f>
        <v>81.27433</v>
      </c>
      <c r="E159" s="448">
        <f>72426.08/1000</f>
        <v>72.42608</v>
      </c>
      <c r="F159" s="449">
        <f t="shared" si="258"/>
        <v>-0.3177641763</v>
      </c>
      <c r="G159" s="450">
        <f t="shared" si="259"/>
        <v>-0.1088689381</v>
      </c>
      <c r="H159" s="447">
        <f>1080487.92/1000</f>
        <v>1080.48792</v>
      </c>
      <c r="I159" s="448">
        <f>940182.43/1000</f>
        <v>940.18243</v>
      </c>
      <c r="J159" s="448">
        <f>930574.42/1000</f>
        <v>930.57442</v>
      </c>
      <c r="K159" s="449">
        <f t="shared" si="260"/>
        <v>-0.1387461139</v>
      </c>
      <c r="L159" s="450">
        <f t="shared" si="261"/>
        <v>-0.01021930393</v>
      </c>
      <c r="M159" s="447">
        <f>1186647.81/1000</f>
        <v>1186.64781</v>
      </c>
      <c r="N159" s="448">
        <f>1021456.76/1000</f>
        <v>1021.45676</v>
      </c>
      <c r="O159" s="448">
        <f>1003000.5/1000</f>
        <v>1003.0005</v>
      </c>
      <c r="P159" s="449">
        <f t="shared" si="262"/>
        <v>-0.1547614283</v>
      </c>
      <c r="Q159" s="450">
        <f t="shared" si="263"/>
        <v>-0.01806856709</v>
      </c>
      <c r="R159" s="1"/>
      <c r="S159" s="35"/>
      <c r="T159" s="35"/>
      <c r="U159" s="35"/>
      <c r="V159" s="35"/>
      <c r="W159" s="35"/>
      <c r="X159" s="35"/>
      <c r="Y159" s="35"/>
      <c r="Z159" s="35"/>
    </row>
    <row r="160" ht="15.75" hidden="1" customHeight="1">
      <c r="A160" s="165"/>
      <c r="B160" s="463" t="s">
        <v>80</v>
      </c>
      <c r="C160" s="464">
        <f t="shared" ref="C160:E160" si="270">C158-C159</f>
        <v>22.87138</v>
      </c>
      <c r="D160" s="465">
        <f t="shared" si="270"/>
        <v>53.27231</v>
      </c>
      <c r="E160" s="465">
        <f t="shared" si="270"/>
        <v>55.71762</v>
      </c>
      <c r="F160" s="466">
        <f t="shared" si="258"/>
        <v>1.436128471</v>
      </c>
      <c r="G160" s="467">
        <f t="shared" si="259"/>
        <v>0.04590208309</v>
      </c>
      <c r="H160" s="464">
        <f t="shared" ref="H160:J160" si="271">H158-H159</f>
        <v>-18.17339</v>
      </c>
      <c r="I160" s="465">
        <f t="shared" si="271"/>
        <v>302.34057</v>
      </c>
      <c r="J160" s="465">
        <f t="shared" si="271"/>
        <v>134.56579</v>
      </c>
      <c r="K160" s="466">
        <f>-IFERROR(J160/H160-1," ")</f>
        <v>8.40455083</v>
      </c>
      <c r="L160" s="467">
        <f t="shared" si="261"/>
        <v>-0.5549198376</v>
      </c>
      <c r="M160" s="464">
        <f t="shared" ref="M160:O160" si="272">M158-M159</f>
        <v>4.69799</v>
      </c>
      <c r="N160" s="465">
        <f t="shared" si="272"/>
        <v>355.613431</v>
      </c>
      <c r="O160" s="465">
        <f t="shared" si="272"/>
        <v>190.28341</v>
      </c>
      <c r="P160" s="466">
        <f t="shared" si="262"/>
        <v>39.50315348</v>
      </c>
      <c r="Q160" s="467">
        <f t="shared" si="263"/>
        <v>-0.4649150077</v>
      </c>
      <c r="R160" s="165"/>
      <c r="S160" s="173"/>
      <c r="T160" s="173"/>
      <c r="U160" s="173"/>
      <c r="V160" s="173"/>
      <c r="W160" s="173"/>
      <c r="X160" s="173"/>
      <c r="Y160" s="173"/>
      <c r="Z160" s="173"/>
    </row>
    <row r="161" ht="15.75" hidden="1" customHeight="1">
      <c r="A161" s="1"/>
      <c r="B161" s="446" t="s">
        <v>82</v>
      </c>
      <c r="C161" s="447">
        <f>11491.61/1000</f>
        <v>11.49161</v>
      </c>
      <c r="D161" s="448">
        <f>11299.69/1000</f>
        <v>11.29969</v>
      </c>
      <c r="E161" s="448">
        <f>9055.79/1000</f>
        <v>9.05579</v>
      </c>
      <c r="F161" s="449">
        <f t="shared" si="258"/>
        <v>-0.2119650771</v>
      </c>
      <c r="G161" s="450">
        <f t="shared" si="259"/>
        <v>-0.198580669</v>
      </c>
      <c r="H161" s="447">
        <f>117939.33/1000</f>
        <v>117.93933</v>
      </c>
      <c r="I161" s="448">
        <f>123394.92/1000</f>
        <v>123.39492</v>
      </c>
      <c r="J161" s="448">
        <f>118484.45/1000</f>
        <v>118.48445</v>
      </c>
      <c r="K161" s="449">
        <f>IFERROR(J161/H161-1," ")</f>
        <v>0.004622037449</v>
      </c>
      <c r="L161" s="450">
        <f t="shared" si="261"/>
        <v>-0.03979475006</v>
      </c>
      <c r="M161" s="447">
        <f>129430.94/1000</f>
        <v>129.43094</v>
      </c>
      <c r="N161" s="448">
        <f>134694.61/1000</f>
        <v>134.69461</v>
      </c>
      <c r="O161" s="448">
        <f>127488.57/1000</f>
        <v>127.48857</v>
      </c>
      <c r="P161" s="449">
        <f t="shared" si="262"/>
        <v>-0.0150069991</v>
      </c>
      <c r="Q161" s="450">
        <f t="shared" si="263"/>
        <v>-0.05349909696</v>
      </c>
      <c r="R161" s="1"/>
      <c r="S161" s="35"/>
      <c r="T161" s="35"/>
      <c r="U161" s="35"/>
      <c r="V161" s="35"/>
      <c r="W161" s="35"/>
      <c r="X161" s="35"/>
      <c r="Y161" s="35"/>
      <c r="Z161" s="35"/>
    </row>
    <row r="162" ht="15.75" hidden="1" customHeight="1">
      <c r="A162" s="1"/>
      <c r="B162" s="446" t="s">
        <v>83</v>
      </c>
      <c r="C162" s="447">
        <f t="shared" ref="C162:E162" si="273">C160-C161</f>
        <v>11.37977</v>
      </c>
      <c r="D162" s="448">
        <f t="shared" si="273"/>
        <v>41.97262</v>
      </c>
      <c r="E162" s="448">
        <f t="shared" si="273"/>
        <v>46.66183</v>
      </c>
      <c r="F162" s="449">
        <f t="shared" si="258"/>
        <v>3.100419429</v>
      </c>
      <c r="G162" s="450">
        <f t="shared" si="259"/>
        <v>0.1117206884</v>
      </c>
      <c r="H162" s="447">
        <f t="shared" ref="H162:J162" si="274">H160-H161</f>
        <v>-136.11272</v>
      </c>
      <c r="I162" s="448">
        <f t="shared" si="274"/>
        <v>178.94565</v>
      </c>
      <c r="J162" s="448">
        <f t="shared" si="274"/>
        <v>16.08134</v>
      </c>
      <c r="K162" s="449">
        <f>-IFERROR(J162/H162-1," ")</f>
        <v>1.118147224</v>
      </c>
      <c r="L162" s="450">
        <f t="shared" si="261"/>
        <v>-0.9101328252</v>
      </c>
      <c r="M162" s="447">
        <f t="shared" ref="M162:O162" si="275">M160-M161</f>
        <v>-124.73295</v>
      </c>
      <c r="N162" s="448">
        <f t="shared" si="275"/>
        <v>220.918821</v>
      </c>
      <c r="O162" s="448">
        <f t="shared" si="275"/>
        <v>62.79484</v>
      </c>
      <c r="P162" s="449">
        <f>-IFERROR(O162/M162-1," ")</f>
        <v>1.503434257</v>
      </c>
      <c r="Q162" s="450">
        <f t="shared" si="263"/>
        <v>-0.7157560424</v>
      </c>
      <c r="R162" s="1"/>
      <c r="S162" s="35"/>
      <c r="T162" s="35"/>
      <c r="U162" s="35"/>
      <c r="V162" s="35"/>
      <c r="W162" s="35"/>
      <c r="X162" s="35"/>
      <c r="Y162" s="35"/>
      <c r="Z162" s="35"/>
    </row>
    <row r="163" ht="15.75" hidden="1" customHeight="1">
      <c r="A163" s="1"/>
      <c r="B163" s="446" t="s">
        <v>179</v>
      </c>
      <c r="C163" s="447">
        <f>-1097.95/1000</f>
        <v>-1.09795</v>
      </c>
      <c r="D163" s="448">
        <f>-758.33/1000</f>
        <v>-0.75833</v>
      </c>
      <c r="E163" s="448">
        <f>-1105.32/1000</f>
        <v>-1.10532</v>
      </c>
      <c r="F163" s="449">
        <f t="shared" si="258"/>
        <v>0.006712509677</v>
      </c>
      <c r="G163" s="450">
        <f t="shared" si="259"/>
        <v>0.4575712421</v>
      </c>
      <c r="H163" s="447">
        <f>-15918.73/1000</f>
        <v>-15.91873</v>
      </c>
      <c r="I163" s="448">
        <f>-8341.63/1000</f>
        <v>-8.34163</v>
      </c>
      <c r="J163" s="448">
        <f>-12144.93/1000</f>
        <v>-12.14493</v>
      </c>
      <c r="K163" s="449">
        <f>IFERROR(J163/H163-1," ")</f>
        <v>-0.2370666504</v>
      </c>
      <c r="L163" s="450">
        <f t="shared" si="261"/>
        <v>0.4559420641</v>
      </c>
      <c r="M163" s="447">
        <f>-17016.68/1000</f>
        <v>-17.01668</v>
      </c>
      <c r="N163" s="448">
        <f>-9099.96/1000</f>
        <v>-9.09996</v>
      </c>
      <c r="O163" s="448">
        <f>-13250.25/1000</f>
        <v>-13.25025</v>
      </c>
      <c r="P163" s="449">
        <f>IFERROR(O163/M163-1," ")</f>
        <v>-0.2213375347</v>
      </c>
      <c r="Q163" s="450">
        <f t="shared" si="263"/>
        <v>0.4560778289</v>
      </c>
      <c r="R163" s="1"/>
      <c r="S163" s="35"/>
      <c r="T163" s="35"/>
      <c r="U163" s="35"/>
      <c r="V163" s="35"/>
      <c r="W163" s="35"/>
      <c r="X163" s="35"/>
      <c r="Y163" s="35"/>
      <c r="Z163" s="35"/>
    </row>
    <row r="164" ht="15.75" hidden="1" customHeight="1">
      <c r="A164" s="1"/>
      <c r="B164" s="446" t="s">
        <v>86</v>
      </c>
      <c r="C164" s="447">
        <f t="shared" ref="C164:E164" si="276">C162+C163</f>
        <v>10.28182</v>
      </c>
      <c r="D164" s="448">
        <f t="shared" si="276"/>
        <v>41.21429</v>
      </c>
      <c r="E164" s="448">
        <f t="shared" si="276"/>
        <v>45.55651</v>
      </c>
      <c r="F164" s="449">
        <f t="shared" si="258"/>
        <v>3.430782682</v>
      </c>
      <c r="G164" s="450">
        <f t="shared" si="259"/>
        <v>0.1053571468</v>
      </c>
      <c r="H164" s="447">
        <f t="shared" ref="H164:J164" si="277">H162+H163</f>
        <v>-152.03145</v>
      </c>
      <c r="I164" s="448">
        <f t="shared" si="277"/>
        <v>170.60402</v>
      </c>
      <c r="J164" s="448">
        <f t="shared" si="277"/>
        <v>3.93641</v>
      </c>
      <c r="K164" s="449">
        <f>-IFERROR(J164/H164-1," ")</f>
        <v>1.025892077</v>
      </c>
      <c r="L164" s="450">
        <f t="shared" si="261"/>
        <v>-0.9769266281</v>
      </c>
      <c r="M164" s="447">
        <f t="shared" ref="M164:O164" si="278">M162+M163</f>
        <v>-141.74963</v>
      </c>
      <c r="N164" s="448">
        <f t="shared" si="278"/>
        <v>211.818861</v>
      </c>
      <c r="O164" s="448">
        <f t="shared" si="278"/>
        <v>49.54459</v>
      </c>
      <c r="P164" s="449">
        <f>-IFERROR(O164/M164-1," ")</f>
        <v>1.349521829</v>
      </c>
      <c r="Q164" s="450">
        <f t="shared" si="263"/>
        <v>-0.7660992521</v>
      </c>
      <c r="R164" s="1"/>
      <c r="S164" s="35"/>
      <c r="T164" s="35"/>
      <c r="U164" s="35"/>
      <c r="V164" s="35"/>
      <c r="W164" s="35"/>
      <c r="X164" s="35"/>
      <c r="Y164" s="35"/>
      <c r="Z164" s="35"/>
    </row>
    <row r="165" ht="15.75" hidden="1" customHeight="1">
      <c r="A165" s="1"/>
      <c r="B165" s="446" t="s">
        <v>87</v>
      </c>
      <c r="C165" s="447">
        <f>15033.02/1000</f>
        <v>15.03302</v>
      </c>
      <c r="D165" s="448">
        <f>16024.8/1000</f>
        <v>16.0248</v>
      </c>
      <c r="E165" s="448">
        <f>17461.15/1000</f>
        <v>17.46115</v>
      </c>
      <c r="F165" s="449">
        <f t="shared" si="258"/>
        <v>0.1615197745</v>
      </c>
      <c r="G165" s="450">
        <f t="shared" si="259"/>
        <v>0.08963294394</v>
      </c>
      <c r="H165" s="447">
        <f>124405.44/1000</f>
        <v>124.40544</v>
      </c>
      <c r="I165" s="448">
        <f>147987.31/1000</f>
        <v>147.98731</v>
      </c>
      <c r="J165" s="448">
        <f>157928.55/1000</f>
        <v>157.92855</v>
      </c>
      <c r="K165" s="449">
        <f t="shared" ref="K165:K166" si="281">IFERROR(J165/H165-1," ")</f>
        <v>0.2694665925</v>
      </c>
      <c r="L165" s="450">
        <f t="shared" si="261"/>
        <v>0.06717630045</v>
      </c>
      <c r="M165" s="447">
        <f>139438.46/1000</f>
        <v>139.43846</v>
      </c>
      <c r="N165" s="448">
        <f>164012.11/1000</f>
        <v>164.01211</v>
      </c>
      <c r="O165" s="448">
        <f>175389.7/1000</f>
        <v>175.3897</v>
      </c>
      <c r="P165" s="449">
        <f>IFERROR(O165/M165-1," ")</f>
        <v>0.2578287224</v>
      </c>
      <c r="Q165" s="450">
        <f t="shared" si="263"/>
        <v>0.06937042637</v>
      </c>
      <c r="R165" s="1"/>
      <c r="S165" s="35"/>
      <c r="T165" s="35"/>
      <c r="U165" s="35"/>
      <c r="V165" s="35"/>
      <c r="W165" s="35"/>
      <c r="X165" s="35"/>
      <c r="Y165" s="35"/>
      <c r="Z165" s="35"/>
    </row>
    <row r="166" ht="15.75" hidden="1" customHeight="1">
      <c r="A166" s="1"/>
      <c r="B166" s="446" t="s">
        <v>89</v>
      </c>
      <c r="C166" s="447">
        <f t="shared" ref="C166:E166" si="279">C164-C165</f>
        <v>-4.7512</v>
      </c>
      <c r="D166" s="448">
        <f t="shared" si="279"/>
        <v>25.18949</v>
      </c>
      <c r="E166" s="448">
        <f t="shared" si="279"/>
        <v>28.09536</v>
      </c>
      <c r="F166" s="449">
        <f>-IFERROR(E166/C166-1," ")</f>
        <v>6.913318741</v>
      </c>
      <c r="G166" s="450">
        <f t="shared" si="259"/>
        <v>0.1153604142</v>
      </c>
      <c r="H166" s="447">
        <f t="shared" ref="H166:J166" si="280">H164-H165</f>
        <v>-276.43689</v>
      </c>
      <c r="I166" s="448">
        <f t="shared" si="280"/>
        <v>22.61671</v>
      </c>
      <c r="J166" s="448">
        <f t="shared" si="280"/>
        <v>-153.99214</v>
      </c>
      <c r="K166" s="449">
        <f t="shared" si="281"/>
        <v>-0.4429392546</v>
      </c>
      <c r="L166" s="450">
        <f t="shared" si="261"/>
        <v>-7.808777227</v>
      </c>
      <c r="M166" s="447">
        <f t="shared" ref="M166:O166" si="282">M164-M165</f>
        <v>-281.18809</v>
      </c>
      <c r="N166" s="448">
        <f t="shared" si="282"/>
        <v>47.806751</v>
      </c>
      <c r="O166" s="448">
        <f t="shared" si="282"/>
        <v>-125.84511</v>
      </c>
      <c r="P166" s="449">
        <f>-IFERROR(O166/M166-1," ")</f>
        <v>0.5524522038</v>
      </c>
      <c r="Q166" s="450">
        <f t="shared" si="263"/>
        <v>-3.632371106</v>
      </c>
      <c r="R166" s="1"/>
      <c r="S166" s="35"/>
      <c r="T166" s="35"/>
      <c r="U166" s="35"/>
      <c r="V166" s="35"/>
      <c r="W166" s="35"/>
      <c r="X166" s="35"/>
      <c r="Y166" s="35"/>
      <c r="Z166" s="35"/>
    </row>
    <row r="167" ht="6.75" hidden="1" customHeight="1">
      <c r="A167" s="1"/>
      <c r="B167" s="446"/>
      <c r="C167" s="476"/>
      <c r="D167" s="439"/>
      <c r="E167" s="439"/>
      <c r="F167" s="35"/>
      <c r="G167" s="477"/>
      <c r="H167" s="476"/>
      <c r="I167" s="439"/>
      <c r="J167" s="439"/>
      <c r="K167" s="35"/>
      <c r="L167" s="477"/>
      <c r="M167" s="476"/>
      <c r="N167" s="439"/>
      <c r="O167" s="439"/>
      <c r="P167" s="35"/>
      <c r="Q167" s="477"/>
      <c r="R167" s="1"/>
      <c r="S167" s="35"/>
      <c r="T167" s="35"/>
      <c r="U167" s="35"/>
      <c r="V167" s="35"/>
      <c r="W167" s="35"/>
      <c r="X167" s="35"/>
      <c r="Y167" s="35"/>
      <c r="Z167" s="35"/>
    </row>
    <row r="168" ht="16.5" hidden="1" customHeight="1">
      <c r="A168" s="1"/>
      <c r="B168" s="478" t="s">
        <v>100</v>
      </c>
      <c r="C168" s="479">
        <f t="shared" ref="C168:E168" si="283">C160/C156</f>
        <v>0.1772545523</v>
      </c>
      <c r="D168" s="480">
        <f t="shared" si="283"/>
        <v>0.395939356</v>
      </c>
      <c r="E168" s="480">
        <f t="shared" si="283"/>
        <v>0.4348057688</v>
      </c>
      <c r="F168" s="481"/>
      <c r="G168" s="482"/>
      <c r="H168" s="479">
        <f>IFERROR(H160/H156,0)</f>
        <v>-0.01710735332</v>
      </c>
      <c r="I168" s="480">
        <f t="shared" ref="I168:J168" si="284">I160/I156</f>
        <v>0.2433279464</v>
      </c>
      <c r="J168" s="480">
        <f t="shared" si="284"/>
        <v>0.126336222</v>
      </c>
      <c r="K168" s="481"/>
      <c r="L168" s="482"/>
      <c r="M168" s="479">
        <f>IFERROR(M160/M156,0)</f>
        <v>0.003943431034</v>
      </c>
      <c r="N168" s="480">
        <f t="shared" ref="N168:O168" si="285">N160/N156</f>
        <v>0.2582391466</v>
      </c>
      <c r="O168" s="480">
        <f t="shared" si="285"/>
        <v>0.1594619758</v>
      </c>
      <c r="P168" s="481"/>
      <c r="Q168" s="482"/>
      <c r="R168" s="1"/>
      <c r="S168" s="35"/>
      <c r="T168" s="35"/>
      <c r="U168" s="35"/>
      <c r="V168" s="35"/>
      <c r="W168" s="35"/>
      <c r="X168" s="35"/>
      <c r="Y168" s="35"/>
      <c r="Z168" s="35"/>
    </row>
    <row r="169" ht="15.75" hidden="1" customHeight="1">
      <c r="A169" s="1"/>
      <c r="B169" s="35"/>
      <c r="C169" s="449">
        <f t="shared" ref="C169:E169" si="286">C155/C154</f>
        <v>0.087656581</v>
      </c>
      <c r="D169" s="449">
        <f t="shared" si="286"/>
        <v>0.08650023424</v>
      </c>
      <c r="E169" s="449">
        <f t="shared" si="286"/>
        <v>0.08834891765</v>
      </c>
      <c r="F169" s="35"/>
      <c r="G169" s="35"/>
      <c r="H169" s="483">
        <f t="shared" ref="H169:J169" si="287">H155/H154</f>
        <v>0.09194941638</v>
      </c>
      <c r="I169" s="483">
        <f t="shared" si="287"/>
        <v>0.08650037973</v>
      </c>
      <c r="J169" s="483">
        <f t="shared" si="287"/>
        <v>0.08729873538</v>
      </c>
      <c r="K169" s="35"/>
      <c r="L169" s="35"/>
      <c r="M169" s="35"/>
      <c r="N169" s="35"/>
      <c r="O169" s="35"/>
      <c r="P169" s="35"/>
      <c r="Q169" s="35"/>
      <c r="R169" s="1"/>
      <c r="S169" s="35"/>
      <c r="T169" s="35"/>
      <c r="U169" s="35"/>
      <c r="V169" s="35"/>
      <c r="W169" s="35"/>
      <c r="X169" s="35"/>
      <c r="Y169" s="35"/>
      <c r="Z169" s="35"/>
    </row>
    <row r="170" ht="6.75" customHeight="1">
      <c r="A170" s="1"/>
      <c r="B170" s="484"/>
      <c r="C170" s="3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485" t="s">
        <v>180</v>
      </c>
      <c r="C171" s="486" t="str">
        <f>C3</f>
        <v>JULHO</v>
      </c>
      <c r="D171" s="487"/>
      <c r="E171" s="487"/>
      <c r="F171" s="487"/>
      <c r="G171" s="488"/>
      <c r="H171" s="489" t="str">
        <f>H3</f>
        <v>ACUMULADO JANEIRO A JULHO</v>
      </c>
      <c r="I171" s="27"/>
      <c r="J171" s="27"/>
      <c r="K171" s="27"/>
      <c r="L171" s="28"/>
      <c r="M171" s="489" t="str">
        <f>M3</f>
        <v>RITMO</v>
      </c>
      <c r="N171" s="27"/>
      <c r="O171" s="27"/>
      <c r="P171" s="27"/>
      <c r="Q171" s="28"/>
      <c r="R171" s="1"/>
      <c r="S171" s="35"/>
      <c r="T171" s="35"/>
      <c r="U171" s="35"/>
      <c r="V171" s="35"/>
      <c r="W171" s="35"/>
      <c r="X171" s="35"/>
      <c r="Y171" s="35"/>
      <c r="Z171" s="35"/>
    </row>
    <row r="172" ht="33.0" customHeight="1">
      <c r="A172" s="1"/>
      <c r="B172" s="490"/>
      <c r="C172" s="491" t="s">
        <v>27</v>
      </c>
      <c r="D172" s="492" t="s">
        <v>30</v>
      </c>
      <c r="E172" s="492" t="s">
        <v>31</v>
      </c>
      <c r="F172" s="493" t="s">
        <v>32</v>
      </c>
      <c r="G172" s="494" t="s">
        <v>34</v>
      </c>
      <c r="H172" s="495" t="s">
        <v>27</v>
      </c>
      <c r="I172" s="496" t="s">
        <v>30</v>
      </c>
      <c r="J172" s="496" t="s">
        <v>31</v>
      </c>
      <c r="K172" s="496" t="s">
        <v>32</v>
      </c>
      <c r="L172" s="497" t="s">
        <v>34</v>
      </c>
      <c r="M172" s="495" t="s">
        <v>27</v>
      </c>
      <c r="N172" s="496" t="s">
        <v>30</v>
      </c>
      <c r="O172" s="492" t="s">
        <v>36</v>
      </c>
      <c r="P172" s="493" t="s">
        <v>38</v>
      </c>
      <c r="Q172" s="494" t="s">
        <v>39</v>
      </c>
      <c r="R172" s="1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1"/>
      <c r="B173" s="393" t="s">
        <v>40</v>
      </c>
      <c r="C173" s="361">
        <f>'BMFD_senha capita'!$I$2/1000</f>
        <v>2368.1299</v>
      </c>
      <c r="D173" s="248">
        <f>'BMFD_senha capita'!$I$20/1000</f>
        <v>2347.29818</v>
      </c>
      <c r="E173" s="248">
        <f>'BMFD_senha capita'!$I$38/1000</f>
        <v>2473.58047</v>
      </c>
      <c r="F173" s="244">
        <f t="shared" ref="F173:F175" si="288">IFERROR(E173/D173-1," ")</f>
        <v>0.05379899796</v>
      </c>
      <c r="G173" s="245">
        <f t="shared" ref="G173:G175" si="289">IFERROR(E173/C173-1," ")</f>
        <v>0.04452904801</v>
      </c>
      <c r="H173" s="361">
        <f>SUM('BMFD_senha capita'!$D$2:$I$2)/1000</f>
        <v>14431.5127</v>
      </c>
      <c r="I173" s="248">
        <f>SUM('BMFD_senha capita'!$D$20:$I$20)/1000</f>
        <v>11941.45709</v>
      </c>
      <c r="J173" s="248">
        <f>SUM('BMFD_senha capita'!$D$38:$I$38)/1000</f>
        <v>12232.64328</v>
      </c>
      <c r="K173" s="60">
        <f t="shared" ref="K173:K175" si="290">IFERROR(J173/I173-1," ")</f>
        <v>0.02438447736</v>
      </c>
      <c r="L173" s="62">
        <f t="shared" ref="L173:L175" si="291">IFERROR(J173/H173-1," ")</f>
        <v>-0.1523658306</v>
      </c>
      <c r="M173" s="361">
        <f>'BMFD_senha capita'!$P$2/1000</f>
        <v>32945.01651</v>
      </c>
      <c r="N173" s="248">
        <f>'BMFD_senha capita'!$P$20/1000</f>
        <v>26305.04663</v>
      </c>
      <c r="O173" s="57">
        <f>'BMFD_senha capita'!P38/1000</f>
        <v>27310.11471</v>
      </c>
      <c r="P173" s="244">
        <f t="shared" ref="P173:P175" si="292">IFERROR(O173/N173-1," ")</f>
        <v>0.03820818469</v>
      </c>
      <c r="Q173" s="245">
        <f t="shared" ref="Q173:Q175" si="293">IFERROR(O173/M173-1," ")</f>
        <v>-0.1710395804</v>
      </c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393" t="s">
        <v>71</v>
      </c>
      <c r="C174" s="361">
        <f>-'BMFD_senha capita'!$I$3/1000</f>
        <v>-86.43674</v>
      </c>
      <c r="D174" s="248">
        <f>-'BMFD_senha capita'!$I$21/1000</f>
        <v>-85.67638</v>
      </c>
      <c r="E174" s="248">
        <f>-'BMFD_senha capita'!$I$39/1000</f>
        <v>-90.28568</v>
      </c>
      <c r="F174" s="244">
        <f t="shared" si="288"/>
        <v>0.05379895836</v>
      </c>
      <c r="G174" s="245">
        <f t="shared" si="289"/>
        <v>0.04452898154</v>
      </c>
      <c r="H174" s="361">
        <f>-SUM('BMFD_senha capita'!$D$3:$I$3)/1000</f>
        <v>-526.75022</v>
      </c>
      <c r="I174" s="248">
        <f>-SUM('BMFD_senha capita'!$D$21:$I$21)/1000</f>
        <v>-435.86318</v>
      </c>
      <c r="J174" s="248">
        <f>-SUM('BMFD_senha capita'!$D$39:$I$39)/1000</f>
        <v>-446.49146</v>
      </c>
      <c r="K174" s="60">
        <f t="shared" si="290"/>
        <v>0.02438444101</v>
      </c>
      <c r="L174" s="62">
        <f t="shared" si="291"/>
        <v>-0.1523658785</v>
      </c>
      <c r="M174" s="361">
        <f>-'BMFD_senha capita'!$P$3/1000</f>
        <v>-1202.49313</v>
      </c>
      <c r="N174" s="248">
        <f>-'BMFD_senha capita'!$P$21/1000</f>
        <v>-960.13421</v>
      </c>
      <c r="O174" s="57">
        <f>-'BMFD_senha capita'!P39/1000</f>
        <v>-996.81918</v>
      </c>
      <c r="P174" s="244">
        <f t="shared" si="292"/>
        <v>0.03820816884</v>
      </c>
      <c r="Q174" s="245">
        <f t="shared" si="293"/>
        <v>-0.171039605</v>
      </c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395" t="s">
        <v>85</v>
      </c>
      <c r="C175" s="361">
        <f>'BMFD_senha capita'!$I$4/1000</f>
        <v>2281.69316</v>
      </c>
      <c r="D175" s="248">
        <f>'BMFD_senha capita'!$I$22/1000</f>
        <v>2261.6218</v>
      </c>
      <c r="E175" s="248">
        <f>E173+E174</f>
        <v>2383.29479</v>
      </c>
      <c r="F175" s="244">
        <f t="shared" si="288"/>
        <v>0.05379899946</v>
      </c>
      <c r="G175" s="245">
        <f t="shared" si="289"/>
        <v>0.04452905052</v>
      </c>
      <c r="H175" s="361">
        <f t="shared" ref="H175:J175" si="294">H173+H174</f>
        <v>13904.76248</v>
      </c>
      <c r="I175" s="248">
        <f t="shared" si="294"/>
        <v>11505.59391</v>
      </c>
      <c r="J175" s="248">
        <f t="shared" si="294"/>
        <v>11786.15182</v>
      </c>
      <c r="K175" s="60">
        <f t="shared" si="290"/>
        <v>0.02438447873</v>
      </c>
      <c r="L175" s="62">
        <f t="shared" si="291"/>
        <v>-0.1523658288</v>
      </c>
      <c r="M175" s="361">
        <f>'BMFD_senha capita'!$P$4/1000</f>
        <v>31742.52338</v>
      </c>
      <c r="N175" s="248">
        <f>'BMFD_senha capita'!$P$22/1000</f>
        <v>25344.91242</v>
      </c>
      <c r="O175" s="57">
        <f>O173+O174</f>
        <v>26313.29553</v>
      </c>
      <c r="P175" s="244">
        <f t="shared" si="292"/>
        <v>0.03820818529</v>
      </c>
      <c r="Q175" s="245">
        <f t="shared" si="293"/>
        <v>-0.1710395795</v>
      </c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393" t="s">
        <v>73</v>
      </c>
      <c r="C176" s="257">
        <v>0.0</v>
      </c>
      <c r="D176" s="146">
        <v>0.0</v>
      </c>
      <c r="E176" s="146">
        <v>0.0</v>
      </c>
      <c r="F176" s="146">
        <v>0.0</v>
      </c>
      <c r="G176" s="258">
        <v>0.0</v>
      </c>
      <c r="H176" s="146">
        <v>0.0</v>
      </c>
      <c r="I176" s="146">
        <v>0.0</v>
      </c>
      <c r="J176" s="146">
        <v>0.0</v>
      </c>
      <c r="K176" s="146">
        <v>0.0</v>
      </c>
      <c r="L176" s="259">
        <v>0.0</v>
      </c>
      <c r="M176" s="257">
        <v>0.0</v>
      </c>
      <c r="N176" s="146">
        <v>0.0</v>
      </c>
      <c r="O176" s="146">
        <v>0.0</v>
      </c>
      <c r="P176" s="146">
        <v>0.0</v>
      </c>
      <c r="Q176" s="146">
        <v>0.0</v>
      </c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393" t="s">
        <v>75</v>
      </c>
      <c r="C177" s="361">
        <f t="shared" ref="C177:E177" si="295">C175+C176</f>
        <v>2281.69316</v>
      </c>
      <c r="D177" s="248">
        <f t="shared" si="295"/>
        <v>2261.6218</v>
      </c>
      <c r="E177" s="248">
        <f t="shared" si="295"/>
        <v>2383.29479</v>
      </c>
      <c r="F177" s="244">
        <f t="shared" ref="F177:F187" si="298">IFERROR(E177/D177-1," ")</f>
        <v>0.05379899946</v>
      </c>
      <c r="G177" s="245">
        <f t="shared" ref="G177:G187" si="299">IFERROR(E177/C177-1," ")</f>
        <v>0.04452905052</v>
      </c>
      <c r="H177" s="361">
        <f t="shared" ref="H177:J177" si="296">H175+H176</f>
        <v>13904.76248</v>
      </c>
      <c r="I177" s="248">
        <f t="shared" si="296"/>
        <v>11505.59391</v>
      </c>
      <c r="J177" s="248">
        <f t="shared" si="296"/>
        <v>11786.15182</v>
      </c>
      <c r="K177" s="60">
        <f t="shared" ref="K177:K187" si="300">IFERROR(J177/I177-1," ")</f>
        <v>0.02438447873</v>
      </c>
      <c r="L177" s="62">
        <f t="shared" ref="L177:L187" si="301">IFERROR(J177/H177-1," ")</f>
        <v>-0.1523658288</v>
      </c>
      <c r="M177" s="361">
        <f t="shared" ref="M177:N177" si="297">M175+M176</f>
        <v>31742.52338</v>
      </c>
      <c r="N177" s="248">
        <f t="shared" si="297"/>
        <v>25344.91242</v>
      </c>
      <c r="O177" s="248">
        <f>'BMFD_senha capita'!$P$42/1000</f>
        <v>26313.29553</v>
      </c>
      <c r="P177" s="244">
        <f t="shared" ref="P177:P187" si="302">IFERROR(O177/N177-1," ")</f>
        <v>0.03820818529</v>
      </c>
      <c r="Q177" s="245">
        <f t="shared" ref="Q177:Q187" si="303">IFERROR(O177/M177-1," ")</f>
        <v>-0.1710395795</v>
      </c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393" t="s">
        <v>77</v>
      </c>
      <c r="C178" s="361">
        <f>-'BMFD_senha capita'!$I$7/1000</f>
        <v>-171.99775</v>
      </c>
      <c r="D178" s="248">
        <f>-'BMFD_senha capita'!$I$25/1000</f>
        <v>-176.07251</v>
      </c>
      <c r="E178" s="248">
        <f>-'BMFD_senha capita'!$I$43/1000</f>
        <v>-197.39068</v>
      </c>
      <c r="F178" s="244">
        <f t="shared" si="298"/>
        <v>0.1210760839</v>
      </c>
      <c r="G178" s="245">
        <f t="shared" si="299"/>
        <v>0.1476352452</v>
      </c>
      <c r="H178" s="361">
        <f>-SUM('BMFD_senha capita'!$D$7:$I$7)/1000</f>
        <v>-1146.05528</v>
      </c>
      <c r="I178" s="248">
        <f>-SUM('BMFD_senha capita'!$D$25:$I$25)/1000</f>
        <v>-2600.24213</v>
      </c>
      <c r="J178" s="248">
        <f>-SUM('BMFD_senha capita'!$D$43:$I$43)/1000+7.5</f>
        <v>-2388.97801</v>
      </c>
      <c r="K178" s="60">
        <f t="shared" si="300"/>
        <v>-0.08124786441</v>
      </c>
      <c r="L178" s="62">
        <f t="shared" si="301"/>
        <v>1.084522494</v>
      </c>
      <c r="M178" s="355">
        <v>-2362.5</v>
      </c>
      <c r="N178" s="248">
        <f>-'BMFD_senha capita'!$P$25/1000</f>
        <v>-4163.29293</v>
      </c>
      <c r="O178" s="248">
        <f>-'BMFD_senha capita'!P43/1000+7</f>
        <v>-3362.3619</v>
      </c>
      <c r="P178" s="244">
        <f t="shared" si="302"/>
        <v>-0.192379216</v>
      </c>
      <c r="Q178" s="245">
        <f t="shared" si="303"/>
        <v>0.4232219683</v>
      </c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65"/>
      <c r="B179" s="523" t="s">
        <v>80</v>
      </c>
      <c r="C179" s="433">
        <f t="shared" ref="C179:E179" si="304">C177+C178</f>
        <v>2109.69541</v>
      </c>
      <c r="D179" s="433">
        <f t="shared" si="304"/>
        <v>2085.54929</v>
      </c>
      <c r="E179" s="433">
        <f t="shared" si="304"/>
        <v>2185.90411</v>
      </c>
      <c r="F179" s="524">
        <f t="shared" si="298"/>
        <v>0.04811913124</v>
      </c>
      <c r="G179" s="525">
        <f t="shared" si="299"/>
        <v>0.03612308186</v>
      </c>
      <c r="H179" s="527">
        <f t="shared" ref="H179:J179" si="305">H177+H178</f>
        <v>12758.7072</v>
      </c>
      <c r="I179" s="433">
        <f t="shared" si="305"/>
        <v>8905.35178</v>
      </c>
      <c r="J179" s="433">
        <f t="shared" si="305"/>
        <v>9397.17381</v>
      </c>
      <c r="K179" s="429">
        <f t="shared" si="300"/>
        <v>0.05522769253</v>
      </c>
      <c r="L179" s="431">
        <f t="shared" si="301"/>
        <v>-0.2634697495</v>
      </c>
      <c r="M179" s="433">
        <f>M177+M178-1</f>
        <v>29379.02338</v>
      </c>
      <c r="N179" s="433">
        <f t="shared" ref="N179:O179" si="306">N177+N178</f>
        <v>21181.61949</v>
      </c>
      <c r="O179" s="433">
        <f t="shared" si="306"/>
        <v>22950.93363</v>
      </c>
      <c r="P179" s="529">
        <f t="shared" si="302"/>
        <v>0.08353063565</v>
      </c>
      <c r="Q179" s="530">
        <f t="shared" si="303"/>
        <v>-0.2187986192</v>
      </c>
      <c r="R179" s="165"/>
      <c r="S179" s="173"/>
      <c r="T179" s="173"/>
      <c r="U179" s="173"/>
      <c r="V179" s="173"/>
      <c r="W179" s="173"/>
      <c r="X179" s="173"/>
      <c r="Y179" s="173"/>
      <c r="Z179" s="173"/>
    </row>
    <row r="180" ht="15.75" customHeight="1">
      <c r="A180" s="1"/>
      <c r="B180" s="393" t="s">
        <v>82</v>
      </c>
      <c r="C180" s="361">
        <f>-'BMFD_senha capita'!$I$9/1000</f>
        <v>-101.22115</v>
      </c>
      <c r="D180" s="248">
        <f>-'BMFD_senha capita'!$I$27/1000</f>
        <v>-118.60052</v>
      </c>
      <c r="E180" s="248">
        <f>-'BMFD_senha capita'!$I$45/1000</f>
        <v>-116.04783</v>
      </c>
      <c r="F180" s="244">
        <f t="shared" si="298"/>
        <v>-0.02152343008</v>
      </c>
      <c r="G180" s="328">
        <f t="shared" si="299"/>
        <v>0.1464780829</v>
      </c>
      <c r="H180" s="361">
        <f>-SUM('BMFD_senha capita'!$D$9:$I$9)/1000</f>
        <v>-607.01106</v>
      </c>
      <c r="I180" s="248">
        <f>-SUM('BMFD_senha capita'!$D$27:$I$27)/1000</f>
        <v>-705.92306</v>
      </c>
      <c r="J180" s="248">
        <f>-SUM('BMFD_senha capita'!$D$45:$I$45)/1000</f>
        <v>-659.97628</v>
      </c>
      <c r="K180" s="60">
        <f t="shared" si="300"/>
        <v>-0.06508751818</v>
      </c>
      <c r="L180" s="62">
        <f t="shared" si="301"/>
        <v>0.08725577422</v>
      </c>
      <c r="M180" s="361">
        <f>-'BMFD_senha capita'!$P$9/1000</f>
        <v>-1216.0081</v>
      </c>
      <c r="N180" s="248">
        <f>-'BMFD_senha capita'!$P$27/1000</f>
        <v>-1429.54791</v>
      </c>
      <c r="O180" s="248">
        <f>-'BMFD_senha capita'!$P$45/1000</f>
        <v>-1385.32336</v>
      </c>
      <c r="P180" s="244">
        <f t="shared" si="302"/>
        <v>-0.03093603907</v>
      </c>
      <c r="Q180" s="245">
        <f t="shared" si="303"/>
        <v>0.1392385955</v>
      </c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393" t="s">
        <v>83</v>
      </c>
      <c r="C181" s="361">
        <f t="shared" ref="C181:E181" si="307">C179+C180</f>
        <v>2008.47426</v>
      </c>
      <c r="D181" s="248">
        <f t="shared" si="307"/>
        <v>1966.94877</v>
      </c>
      <c r="E181" s="248">
        <f t="shared" si="307"/>
        <v>2069.85628</v>
      </c>
      <c r="F181" s="244">
        <f t="shared" si="298"/>
        <v>0.05231834787</v>
      </c>
      <c r="G181" s="328">
        <f t="shared" si="299"/>
        <v>0.03056151688</v>
      </c>
      <c r="H181" s="361">
        <f t="shared" ref="H181:J181" si="308">H179+H180</f>
        <v>12151.69614</v>
      </c>
      <c r="I181" s="248">
        <f t="shared" si="308"/>
        <v>8199.42872</v>
      </c>
      <c r="J181" s="248">
        <f t="shared" si="308"/>
        <v>8737.19753</v>
      </c>
      <c r="K181" s="60">
        <f t="shared" si="300"/>
        <v>0.06558613147</v>
      </c>
      <c r="L181" s="62">
        <f t="shared" si="301"/>
        <v>-0.2809894661</v>
      </c>
      <c r="M181" s="361">
        <f>M179+M180+1</f>
        <v>28164.01528</v>
      </c>
      <c r="N181" s="248">
        <f t="shared" ref="N181:O181" si="309">N179+N180</f>
        <v>19752.07158</v>
      </c>
      <c r="O181" s="248">
        <f t="shared" si="309"/>
        <v>21565.61027</v>
      </c>
      <c r="P181" s="244">
        <f t="shared" si="302"/>
        <v>0.0918151133</v>
      </c>
      <c r="Q181" s="245">
        <f t="shared" si="303"/>
        <v>-0.2342849535</v>
      </c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393" t="s">
        <v>84</v>
      </c>
      <c r="C182" s="248">
        <f t="shared" ref="C182:E182" si="310">C183+C184</f>
        <v>-28.53201</v>
      </c>
      <c r="D182" s="248">
        <f t="shared" si="310"/>
        <v>-93.21367</v>
      </c>
      <c r="E182" s="248">
        <f t="shared" si="310"/>
        <v>-142.46368</v>
      </c>
      <c r="F182" s="244">
        <f t="shared" si="298"/>
        <v>0.5283560877</v>
      </c>
      <c r="G182" s="328">
        <f t="shared" si="299"/>
        <v>3.993117555</v>
      </c>
      <c r="H182" s="248">
        <f t="shared" ref="H182:J182" si="311">H183+H184</f>
        <v>-181.01779</v>
      </c>
      <c r="I182" s="248">
        <f t="shared" si="311"/>
        <v>-580.4651</v>
      </c>
      <c r="J182" s="248">
        <f t="shared" si="311"/>
        <v>-520.44261</v>
      </c>
      <c r="K182" s="60">
        <f t="shared" si="300"/>
        <v>-0.1034041323</v>
      </c>
      <c r="L182" s="62">
        <f t="shared" si="301"/>
        <v>1.875090951</v>
      </c>
      <c r="M182" s="248">
        <f t="shared" ref="M182:O182" si="312">M183+M184</f>
        <v>-143.97816</v>
      </c>
      <c r="N182" s="248">
        <f t="shared" si="312"/>
        <v>-1102.63478</v>
      </c>
      <c r="O182" s="248">
        <f t="shared" si="312"/>
        <v>-2191.49238</v>
      </c>
      <c r="P182" s="244">
        <f t="shared" si="302"/>
        <v>0.9875052191</v>
      </c>
      <c r="Q182" s="245">
        <f t="shared" si="303"/>
        <v>14.2210056</v>
      </c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393" t="s">
        <v>118</v>
      </c>
      <c r="C183" s="355">
        <f>'BMFD_senha capita'!$I$12/1000</f>
        <v>22.12674</v>
      </c>
      <c r="D183" s="57">
        <f>'BMFD_senha capita'!$I$30/1000</f>
        <v>7.69333</v>
      </c>
      <c r="E183" s="57">
        <f>'BMFD_senha capita'!$I$48/1000</f>
        <v>87.86779</v>
      </c>
      <c r="F183" s="244">
        <f t="shared" si="298"/>
        <v>10.42129481</v>
      </c>
      <c r="G183" s="328">
        <f t="shared" si="299"/>
        <v>2.971113232</v>
      </c>
      <c r="H183" s="355">
        <f>SUM('BMFD_senha capita'!$D$12:$I$12)/1000</f>
        <v>92.68715</v>
      </c>
      <c r="I183" s="57">
        <f>SUM('BMFD_senha capita'!$D$30:$I$30)/1000</f>
        <v>52.3989</v>
      </c>
      <c r="J183" s="57">
        <f>SUM('BMFD_senha capita'!$D$48:$I$48)/1000</f>
        <v>354.73324</v>
      </c>
      <c r="K183" s="60">
        <f t="shared" si="300"/>
        <v>5.769860436</v>
      </c>
      <c r="L183" s="62">
        <f t="shared" si="301"/>
        <v>2.827210568</v>
      </c>
      <c r="M183" s="355">
        <f>'BMFD_senha capita'!$P$12/1000</f>
        <v>639.75223</v>
      </c>
      <c r="N183" s="57">
        <f>'BMFD_senha capita'!$P$30/1000</f>
        <v>93.05022</v>
      </c>
      <c r="O183" s="57">
        <f>'BMFD_senha capita'!P48/1000</f>
        <v>746.33047</v>
      </c>
      <c r="P183" s="244">
        <f t="shared" si="302"/>
        <v>7.020727624</v>
      </c>
      <c r="Q183" s="245">
        <f t="shared" si="303"/>
        <v>0.1665929949</v>
      </c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393" t="s">
        <v>121</v>
      </c>
      <c r="C184" s="355">
        <f>-'BMFD_senha capita'!$I$13/1000</f>
        <v>-50.65875</v>
      </c>
      <c r="D184" s="57">
        <f>-'BMFD_senha capita'!$I$31/1000</f>
        <v>-100.907</v>
      </c>
      <c r="E184" s="57">
        <f>-'BMFD_senha capita'!$I$49/1000</f>
        <v>-230.33147</v>
      </c>
      <c r="F184" s="244">
        <f t="shared" si="298"/>
        <v>1.282611414</v>
      </c>
      <c r="G184" s="328">
        <f t="shared" si="299"/>
        <v>3.546726281</v>
      </c>
      <c r="H184" s="355">
        <f>-SUM('BMFD_senha capita'!$D$13:$I$13)/1000</f>
        <v>-273.70494</v>
      </c>
      <c r="I184" s="57">
        <f>-SUM('BMFD_senha capita'!$D$31:$I$31)/1000</f>
        <v>-632.864</v>
      </c>
      <c r="J184" s="57">
        <f>-SUM('BMFD_senha capita'!$D$49:$I$49)/1000</f>
        <v>-875.17585</v>
      </c>
      <c r="K184" s="60">
        <f t="shared" si="300"/>
        <v>0.3828813932</v>
      </c>
      <c r="L184" s="62">
        <f t="shared" si="301"/>
        <v>2.197515726</v>
      </c>
      <c r="M184" s="355">
        <f>-'BMFD_senha capita'!$P$13/1000</f>
        <v>-783.73039</v>
      </c>
      <c r="N184" s="57">
        <f>-'BMFD_senha capita'!$P$31/1000</f>
        <v>-1195.685</v>
      </c>
      <c r="O184" s="57">
        <f>-'BMFD_senha capita'!P49/1000</f>
        <v>-2937.82285</v>
      </c>
      <c r="P184" s="244">
        <f t="shared" si="302"/>
        <v>1.457020745</v>
      </c>
      <c r="Q184" s="245">
        <f t="shared" si="303"/>
        <v>2.7485121</v>
      </c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393" t="s">
        <v>86</v>
      </c>
      <c r="C185" s="361">
        <f t="shared" ref="C185:E185" si="313">C181+C182</f>
        <v>1979.94225</v>
      </c>
      <c r="D185" s="248">
        <f t="shared" si="313"/>
        <v>1873.7351</v>
      </c>
      <c r="E185" s="248">
        <f t="shared" si="313"/>
        <v>1927.3926</v>
      </c>
      <c r="F185" s="244">
        <f t="shared" si="298"/>
        <v>0.028636652</v>
      </c>
      <c r="G185" s="328">
        <f t="shared" si="299"/>
        <v>-0.02654100139</v>
      </c>
      <c r="H185" s="248">
        <f t="shared" ref="H185:J185" si="314">H181+H182</f>
        <v>11970.67835</v>
      </c>
      <c r="I185" s="248">
        <f t="shared" si="314"/>
        <v>7618.96362</v>
      </c>
      <c r="J185" s="248">
        <f t="shared" si="314"/>
        <v>8216.75492</v>
      </c>
      <c r="K185" s="60">
        <f t="shared" si="300"/>
        <v>0.07846097315</v>
      </c>
      <c r="L185" s="62">
        <f t="shared" si="301"/>
        <v>-0.3135932084</v>
      </c>
      <c r="M185" s="361">
        <f>M181+M182-1</f>
        <v>28019.03712</v>
      </c>
      <c r="N185" s="248">
        <f t="shared" ref="N185:O185" si="315">N181+N182</f>
        <v>18649.4368</v>
      </c>
      <c r="O185" s="248">
        <f t="shared" si="315"/>
        <v>19374.11789</v>
      </c>
      <c r="P185" s="244">
        <f t="shared" si="302"/>
        <v>0.03885806836</v>
      </c>
      <c r="Q185" s="245">
        <f t="shared" si="303"/>
        <v>-0.3085373417</v>
      </c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393" t="s">
        <v>87</v>
      </c>
      <c r="C186" s="361">
        <f>-'BMFD_senha capita'!$I$15/1000</f>
        <v>-263.17559</v>
      </c>
      <c r="D186" s="248">
        <f>-'BMFD_senha capita'!$I$33/1000</f>
        <v>-277.00704</v>
      </c>
      <c r="E186" s="248">
        <f>-'BMFD_senha capita'!$I$51/1000</f>
        <v>-319.37983</v>
      </c>
      <c r="F186" s="244">
        <f t="shared" si="298"/>
        <v>0.1529664733</v>
      </c>
      <c r="G186" s="328">
        <f t="shared" si="299"/>
        <v>0.2135617517</v>
      </c>
      <c r="H186" s="361">
        <f>-SUM('BMFD_senha capita'!$D$15:$I$15)/1000</f>
        <v>-1589.66218</v>
      </c>
      <c r="I186" s="248">
        <f>-SUM('BMFD_senha capita'!$D$33:$I$33)/1000</f>
        <v>-1407.76921</v>
      </c>
      <c r="J186" s="248">
        <f>-SUM('BMFD_senha capita'!$D$51:$I$51)/1000</f>
        <v>-1535.82228</v>
      </c>
      <c r="K186" s="60">
        <f t="shared" si="300"/>
        <v>0.09096169251</v>
      </c>
      <c r="L186" s="62">
        <f t="shared" si="301"/>
        <v>-0.03386876827</v>
      </c>
      <c r="M186" s="361">
        <f>-'BMFD_senha capita'!$P$15/1000</f>
        <v>-3792.51952</v>
      </c>
      <c r="N186" s="248">
        <f>-'BMFD_senha capita'!$P$33/1000</f>
        <v>-2869.62614</v>
      </c>
      <c r="O186" s="248">
        <f>-'BMFD_senha capita'!$P$51/1000</f>
        <v>-3434.23712</v>
      </c>
      <c r="P186" s="244">
        <f t="shared" si="302"/>
        <v>0.1967541946</v>
      </c>
      <c r="Q186" s="245">
        <f t="shared" si="303"/>
        <v>-0.09447081237</v>
      </c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393" t="s">
        <v>89</v>
      </c>
      <c r="C187" s="248">
        <f t="shared" ref="C187:E187" si="316">C185+C186</f>
        <v>1716.76666</v>
      </c>
      <c r="D187" s="248">
        <f t="shared" si="316"/>
        <v>1596.72806</v>
      </c>
      <c r="E187" s="248">
        <f t="shared" si="316"/>
        <v>1608.01277</v>
      </c>
      <c r="F187" s="244">
        <f t="shared" si="298"/>
        <v>0.00706739631</v>
      </c>
      <c r="G187" s="328">
        <f t="shared" si="299"/>
        <v>-0.06334809065</v>
      </c>
      <c r="H187" s="361">
        <f t="shared" ref="H187:J187" si="317">H185+H186</f>
        <v>10381.01617</v>
      </c>
      <c r="I187" s="248">
        <f t="shared" si="317"/>
        <v>6211.19441</v>
      </c>
      <c r="J187" s="248">
        <f t="shared" si="317"/>
        <v>6680.93264</v>
      </c>
      <c r="K187" s="60">
        <f t="shared" si="300"/>
        <v>0.07562768109</v>
      </c>
      <c r="L187" s="62">
        <f t="shared" si="301"/>
        <v>-0.3564278746</v>
      </c>
      <c r="M187" s="248">
        <f t="shared" ref="M187:O187" si="318">M185+M186</f>
        <v>24226.5176</v>
      </c>
      <c r="N187" s="248">
        <f t="shared" si="318"/>
        <v>15779.81066</v>
      </c>
      <c r="O187" s="248">
        <f t="shared" si="318"/>
        <v>15939.88077</v>
      </c>
      <c r="P187" s="244">
        <f t="shared" si="302"/>
        <v>0.01014398166</v>
      </c>
      <c r="Q187" s="245">
        <f t="shared" si="303"/>
        <v>-0.3420482038</v>
      </c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581" t="s">
        <v>100</v>
      </c>
      <c r="C188" s="582">
        <f t="shared" ref="C188:E188" si="319">C179/C175</f>
        <v>0.9246183698</v>
      </c>
      <c r="D188" s="583">
        <f t="shared" si="319"/>
        <v>0.9221476774</v>
      </c>
      <c r="E188" s="583">
        <f t="shared" si="319"/>
        <v>0.9171773963</v>
      </c>
      <c r="F188" s="585"/>
      <c r="G188" s="587"/>
      <c r="H188" s="582">
        <f>IFERROR(H179/H175,0)</f>
        <v>0.9175782196</v>
      </c>
      <c r="I188" s="583">
        <f t="shared" ref="I188:J188" si="320">I179/I175</f>
        <v>0.7740019203</v>
      </c>
      <c r="J188" s="583">
        <f t="shared" si="320"/>
        <v>0.7973063603</v>
      </c>
      <c r="K188" s="585"/>
      <c r="L188" s="587"/>
      <c r="M188" s="582">
        <f>IFERROR(M179/M175,0)</f>
        <v>0.9255415213</v>
      </c>
      <c r="N188" s="583">
        <f t="shared" ref="N188:O188" si="321">N179/N175</f>
        <v>0.8357345703</v>
      </c>
      <c r="O188" s="583">
        <f t="shared" si="321"/>
        <v>0.8722181379</v>
      </c>
      <c r="P188" s="585"/>
      <c r="Q188" s="587"/>
      <c r="R188" s="1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1"/>
      <c r="B189" s="1"/>
      <c r="C189" s="3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484"/>
      <c r="C190" s="3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591" t="s">
        <v>215</v>
      </c>
      <c r="C191" s="227" t="str">
        <f>C171</f>
        <v>JULHO</v>
      </c>
      <c r="D191" s="228"/>
      <c r="E191" s="228"/>
      <c r="F191" s="228"/>
      <c r="G191" s="229"/>
      <c r="H191" s="318" t="str">
        <f>H3</f>
        <v>ACUMULADO JANEIRO A JULHO</v>
      </c>
      <c r="I191" s="231"/>
      <c r="J191" s="231"/>
      <c r="K191" s="231"/>
      <c r="L191" s="232"/>
      <c r="M191" s="409" t="str">
        <f>M3</f>
        <v>RITMO</v>
      </c>
      <c r="N191" s="231"/>
      <c r="O191" s="231"/>
      <c r="P191" s="231"/>
      <c r="Q191" s="232"/>
      <c r="R191" s="1"/>
      <c r="S191" s="35"/>
      <c r="T191" s="35"/>
      <c r="U191" s="35"/>
      <c r="V191" s="35"/>
      <c r="W191" s="35"/>
      <c r="X191" s="35"/>
      <c r="Y191" s="35"/>
      <c r="Z191" s="35"/>
    </row>
    <row r="192" ht="33.0" customHeight="1">
      <c r="A192" s="1"/>
      <c r="B192" s="593"/>
      <c r="C192" s="595" t="s">
        <v>27</v>
      </c>
      <c r="D192" s="236" t="s">
        <v>30</v>
      </c>
      <c r="E192" s="236" t="s">
        <v>31</v>
      </c>
      <c r="F192" s="236" t="s">
        <v>32</v>
      </c>
      <c r="G192" s="597" t="s">
        <v>34</v>
      </c>
      <c r="H192" s="239" t="s">
        <v>27</v>
      </c>
      <c r="I192" s="240" t="s">
        <v>30</v>
      </c>
      <c r="J192" s="237" t="s">
        <v>31</v>
      </c>
      <c r="K192" s="237" t="s">
        <v>32</v>
      </c>
      <c r="L192" s="241" t="s">
        <v>34</v>
      </c>
      <c r="M192" s="595" t="s">
        <v>27</v>
      </c>
      <c r="N192" s="236" t="s">
        <v>30</v>
      </c>
      <c r="O192" s="236" t="s">
        <v>36</v>
      </c>
      <c r="P192" s="236" t="s">
        <v>38</v>
      </c>
      <c r="Q192" s="597" t="s">
        <v>39</v>
      </c>
      <c r="R192" s="1"/>
      <c r="S192" s="35"/>
      <c r="T192" s="35"/>
      <c r="U192" s="35"/>
      <c r="V192" s="35"/>
      <c r="W192" s="35"/>
      <c r="X192" s="35"/>
      <c r="Y192" s="35"/>
      <c r="Z192" s="35"/>
    </row>
    <row r="193" ht="14.25" customHeight="1">
      <c r="A193" s="1"/>
      <c r="B193" s="598" t="s">
        <v>40</v>
      </c>
      <c r="C193" s="323">
        <f>'DCL_senha capita'!$I$2/1000</f>
        <v>3939.56797</v>
      </c>
      <c r="D193" s="248">
        <f>'DCL_senha capita'!$I$21/1000</f>
        <v>4290.70406</v>
      </c>
      <c r="E193" s="248">
        <f>'DCL_senha capita'!$I$40/1000</f>
        <v>4320.62603</v>
      </c>
      <c r="F193" s="244">
        <f t="shared" ref="F193:F195" si="322">IFERROR(E193/D193-1," ")</f>
        <v>0.006973673687</v>
      </c>
      <c r="G193" s="245">
        <f t="shared" ref="G193:G195" si="323">IFERROR(E193/C193-1," ")</f>
        <v>0.09672584987</v>
      </c>
      <c r="H193" s="323">
        <f>SUM('DCL_senha capita'!$D$2:$I$2)/1000</f>
        <v>23580.81978</v>
      </c>
      <c r="I193" s="248">
        <f>SUM('DCL_senha capita'!$D$21:$I$21)/1000</f>
        <v>25509.43684</v>
      </c>
      <c r="J193" s="248">
        <f>SUM('DCL_senha capita'!$D$40:$I$40)/1000</f>
        <v>25674.58272</v>
      </c>
      <c r="K193" s="60">
        <f t="shared" ref="K193:K195" si="324">IFERROR(J193/I193-1," ")</f>
        <v>0.006473913205</v>
      </c>
      <c r="L193" s="62">
        <f t="shared" ref="L193:L195" si="325">IFERROR(J193/H193-1," ")</f>
        <v>0.08879093091</v>
      </c>
      <c r="M193" s="323">
        <f>'DCL_senha capita'!$P$2/1000</f>
        <v>48454.82594</v>
      </c>
      <c r="N193" s="248">
        <f>'DCL_senha capita'!$P$21/1000</f>
        <v>51721.40806</v>
      </c>
      <c r="O193" s="248">
        <f>'DCL_senha capita'!$P$40/1000</f>
        <v>52112.10843</v>
      </c>
      <c r="P193" s="244">
        <f t="shared" ref="P193:P195" si="326">IFERROR(O193/N193-1," ")</f>
        <v>0.007553939165</v>
      </c>
      <c r="Q193" s="245">
        <f t="shared" ref="Q193:Q195" si="327">IFERROR(O193/M193-1," ")</f>
        <v>0.07547818858</v>
      </c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598" t="s">
        <v>71</v>
      </c>
      <c r="C194" s="323">
        <f>-'DCL_senha capita'!$I$3/1000</f>
        <v>-153.08523</v>
      </c>
      <c r="D194" s="248">
        <f>-'DCL_senha capita'!$I$22/1000</f>
        <v>-174.61851</v>
      </c>
      <c r="E194" s="248">
        <f>-'DCL_senha capita'!$I$41/1000</f>
        <v>-175.41369</v>
      </c>
      <c r="F194" s="244">
        <f t="shared" si="322"/>
        <v>0.004553812766</v>
      </c>
      <c r="G194" s="245">
        <f t="shared" si="323"/>
        <v>0.1458563965</v>
      </c>
      <c r="H194" s="323">
        <f>-SUM('DCL_senha capita'!$D$3:$I$3)/1000</f>
        <v>-879.55115</v>
      </c>
      <c r="I194" s="248">
        <f>-SUM('DCL_senha capita'!$D$22:$I$22)/1000</f>
        <v>-1064.61627</v>
      </c>
      <c r="J194" s="248">
        <f>-SUM('DCL_senha capita'!$D$41:$I$41)/1000</f>
        <v>-1063.7211</v>
      </c>
      <c r="K194" s="60">
        <f t="shared" si="324"/>
        <v>-0.0008408381736</v>
      </c>
      <c r="L194" s="62">
        <f t="shared" si="325"/>
        <v>0.2093908353</v>
      </c>
      <c r="M194" s="323">
        <f>-'DCL_senha capita'!$P$3/1000</f>
        <v>-2826.95653</v>
      </c>
      <c r="N194" s="248">
        <f>-'DCL_senha capita'!$P$22/1000</f>
        <v>-2120.72861</v>
      </c>
      <c r="O194" s="248">
        <f>-'DCL_senha capita'!$P$41/1000</f>
        <v>-2128.06619</v>
      </c>
      <c r="P194" s="244">
        <f t="shared" si="326"/>
        <v>0.003459933518</v>
      </c>
      <c r="Q194" s="245">
        <f t="shared" si="327"/>
        <v>-0.2472235892</v>
      </c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12" t="s">
        <v>85</v>
      </c>
      <c r="C195" s="323">
        <f t="shared" ref="C195:E195" si="328">C193+C194</f>
        <v>3786.48274</v>
      </c>
      <c r="D195" s="248">
        <f t="shared" si="328"/>
        <v>4116.08555</v>
      </c>
      <c r="E195" s="248">
        <f t="shared" si="328"/>
        <v>4145.21234</v>
      </c>
      <c r="F195" s="244">
        <f t="shared" si="322"/>
        <v>0.007076332512</v>
      </c>
      <c r="G195" s="245">
        <f t="shared" si="323"/>
        <v>0.09473953128</v>
      </c>
      <c r="H195" s="323">
        <f t="shared" ref="H195:J195" si="329">H193+H194</f>
        <v>22701.26863</v>
      </c>
      <c r="I195" s="248">
        <f t="shared" si="329"/>
        <v>24444.82057</v>
      </c>
      <c r="J195" s="248">
        <f t="shared" si="329"/>
        <v>24610.86162</v>
      </c>
      <c r="K195" s="60">
        <f t="shared" si="324"/>
        <v>0.006792483893</v>
      </c>
      <c r="L195" s="62">
        <f t="shared" si="325"/>
        <v>0.0841183381</v>
      </c>
      <c r="M195" s="323">
        <f t="shared" ref="M195:O195" si="330">M193+M194</f>
        <v>45627.86941</v>
      </c>
      <c r="N195" s="248">
        <f t="shared" si="330"/>
        <v>49600.67945</v>
      </c>
      <c r="O195" s="248">
        <f t="shared" si="330"/>
        <v>49984.04224</v>
      </c>
      <c r="P195" s="244">
        <f t="shared" si="326"/>
        <v>0.007728982632</v>
      </c>
      <c r="Q195" s="245">
        <f t="shared" si="327"/>
        <v>0.09547175633</v>
      </c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598" t="s">
        <v>73</v>
      </c>
      <c r="C196" s="257">
        <v>0.0</v>
      </c>
      <c r="D196" s="146">
        <v>0.0</v>
      </c>
      <c r="E196" s="146">
        <v>0.0</v>
      </c>
      <c r="F196" s="146">
        <v>0.0</v>
      </c>
      <c r="G196" s="258">
        <v>0.0</v>
      </c>
      <c r="H196" s="146">
        <v>0.0</v>
      </c>
      <c r="I196" s="146">
        <v>0.0</v>
      </c>
      <c r="J196" s="146">
        <v>0.0</v>
      </c>
      <c r="K196" s="146">
        <v>0.0</v>
      </c>
      <c r="L196" s="259">
        <v>0.0</v>
      </c>
      <c r="M196" s="257">
        <v>0.0</v>
      </c>
      <c r="N196" s="146">
        <v>0.0</v>
      </c>
      <c r="O196" s="146">
        <v>0.0</v>
      </c>
      <c r="P196" s="146">
        <v>0.0</v>
      </c>
      <c r="Q196" s="146">
        <v>0.0</v>
      </c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598" t="s">
        <v>75</v>
      </c>
      <c r="C197" s="323">
        <f t="shared" ref="C197:E197" si="331">C195+C196</f>
        <v>3786.48274</v>
      </c>
      <c r="D197" s="248">
        <f t="shared" si="331"/>
        <v>4116.08555</v>
      </c>
      <c r="E197" s="248">
        <f t="shared" si="331"/>
        <v>4145.21234</v>
      </c>
      <c r="F197" s="244">
        <f t="shared" ref="F197:F208" si="334">IFERROR(E197/D197-1," ")</f>
        <v>0.007076332512</v>
      </c>
      <c r="G197" s="245">
        <f>IFERROR(E197/C197-1," ")</f>
        <v>0.09473953128</v>
      </c>
      <c r="H197" s="616">
        <f>H195</f>
        <v>22701.26863</v>
      </c>
      <c r="I197" s="248">
        <f t="shared" ref="I197:J197" si="332">I195+I196</f>
        <v>24444.82057</v>
      </c>
      <c r="J197" s="248">
        <f t="shared" si="332"/>
        <v>24610.86162</v>
      </c>
      <c r="K197" s="60">
        <f t="shared" ref="K197:K201" si="335">IFERROR(J197/I197-1," ")</f>
        <v>0.006792483893</v>
      </c>
      <c r="L197" s="62">
        <f t="shared" ref="L197:L208" si="336">IFERROR(J197/H197-1," ")</f>
        <v>0.0841183381</v>
      </c>
      <c r="M197" s="323">
        <f t="shared" ref="M197:O197" si="333">M195+M196</f>
        <v>45627.86941</v>
      </c>
      <c r="N197" s="248">
        <f t="shared" si="333"/>
        <v>49600.67945</v>
      </c>
      <c r="O197" s="248">
        <f t="shared" si="333"/>
        <v>49984.04224</v>
      </c>
      <c r="P197" s="244">
        <f t="shared" ref="P197:P208" si="337">IFERROR(O197/N197-1," ")</f>
        <v>0.007728982632</v>
      </c>
      <c r="Q197" s="245">
        <f t="shared" ref="Q197:Q208" si="338">IFERROR(O197/M197-1," ")</f>
        <v>0.09547175633</v>
      </c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598" t="s">
        <v>77</v>
      </c>
      <c r="C198" s="323">
        <f>(-'DCL_senha capita'!$I$7/1000)+ 2.911 </f>
        <v>-492.94802</v>
      </c>
      <c r="D198" s="248">
        <f>(-'DCL_senha capita'!$I$26/1000)-6.89264</f>
        <v>-738.67919</v>
      </c>
      <c r="E198" s="248">
        <f>(-'DCL_senha capita'!$I$45/1000)-112.611</f>
        <v>-609.65116</v>
      </c>
      <c r="F198" s="244">
        <f t="shared" si="334"/>
        <v>-0.1746739745</v>
      </c>
      <c r="G198" s="245">
        <f>-IFERROR(E198/C198-1," ")</f>
        <v>-0.2367453266</v>
      </c>
      <c r="H198" s="323">
        <f>-SUM('DCL_senha capita'!$D$7:$I$7)/1000+690.838</f>
        <v>-2148.72343</v>
      </c>
      <c r="I198" s="248">
        <f>-SUM('DCL_senha capita'!$D$26:$I$26)/1000-2</f>
        <v>-3634.03375</v>
      </c>
      <c r="J198" s="248">
        <f>-SUM('DCL_senha capita'!$D$45:$I$45)/1000-106.216 </f>
        <v>-3408.81154</v>
      </c>
      <c r="K198" s="60">
        <f t="shared" si="335"/>
        <v>-0.06197581682</v>
      </c>
      <c r="L198" s="62">
        <f t="shared" si="336"/>
        <v>0.5864356913</v>
      </c>
      <c r="M198" s="323">
        <f>-5278</f>
        <v>-5278</v>
      </c>
      <c r="N198" s="248">
        <f>-'DCL_senha capita'!$P$26/1000-11.104</f>
        <v>-6792.94941</v>
      </c>
      <c r="O198" s="248">
        <f>(-'DCL_senha capita'!$P$45/1000)-113</f>
        <v>-6546.77331</v>
      </c>
      <c r="P198" s="244">
        <f t="shared" si="337"/>
        <v>-0.03623994309</v>
      </c>
      <c r="Q198" s="245">
        <f t="shared" si="338"/>
        <v>0.2403890318</v>
      </c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65"/>
      <c r="B199" s="645" t="s">
        <v>80</v>
      </c>
      <c r="C199" s="646">
        <f t="shared" ref="C199:E199" si="339">C197+C198</f>
        <v>3293.53472</v>
      </c>
      <c r="D199" s="433">
        <f t="shared" si="339"/>
        <v>3377.40636</v>
      </c>
      <c r="E199" s="433">
        <f t="shared" si="339"/>
        <v>3535.56118</v>
      </c>
      <c r="F199" s="524">
        <f t="shared" si="334"/>
        <v>0.04682729975</v>
      </c>
      <c r="G199" s="525">
        <f t="shared" ref="G199:G208" si="342">IFERROR(E199/C199-1," ")</f>
        <v>0.07348532218</v>
      </c>
      <c r="H199" s="646">
        <f t="shared" ref="H199:J199" si="340">H197+H198</f>
        <v>20552.5452</v>
      </c>
      <c r="I199" s="433">
        <f t="shared" si="340"/>
        <v>20810.78682</v>
      </c>
      <c r="J199" s="433">
        <f t="shared" si="340"/>
        <v>21202.05008</v>
      </c>
      <c r="K199" s="429">
        <f t="shared" si="335"/>
        <v>0.01880098352</v>
      </c>
      <c r="L199" s="431">
        <f t="shared" si="336"/>
        <v>0.03160216283</v>
      </c>
      <c r="M199" s="646">
        <f t="shared" ref="M199:O199" si="341">M197+M198</f>
        <v>40349.86941</v>
      </c>
      <c r="N199" s="433">
        <f t="shared" si="341"/>
        <v>42807.73004</v>
      </c>
      <c r="O199" s="433">
        <f t="shared" si="341"/>
        <v>43437.26893</v>
      </c>
      <c r="P199" s="524">
        <f t="shared" si="337"/>
        <v>0.01470619651</v>
      </c>
      <c r="Q199" s="651">
        <f t="shared" si="338"/>
        <v>0.07651572521</v>
      </c>
      <c r="R199" s="165"/>
      <c r="S199" s="173"/>
      <c r="T199" s="173"/>
      <c r="U199" s="173"/>
      <c r="V199" s="173"/>
      <c r="W199" s="173"/>
      <c r="X199" s="173"/>
      <c r="Y199" s="173"/>
      <c r="Z199" s="173"/>
    </row>
    <row r="200" ht="15.75" customHeight="1">
      <c r="A200" s="1"/>
      <c r="B200" s="598" t="s">
        <v>82</v>
      </c>
      <c r="C200" s="323">
        <f>(-'DCL_senha capita'!$I$9/1000)</f>
        <v>-114.29551</v>
      </c>
      <c r="D200" s="248">
        <f>-'DCL_senha capita'!$I$28/1000</f>
        <v>-118.97394</v>
      </c>
      <c r="E200" s="248">
        <f>-'DCL_senha capita'!$I$47/1000</f>
        <v>-117.39726</v>
      </c>
      <c r="F200" s="244">
        <f t="shared" si="334"/>
        <v>-0.01325231391</v>
      </c>
      <c r="G200" s="328">
        <f t="shared" si="342"/>
        <v>0.02713798644</v>
      </c>
      <c r="H200" s="323">
        <f>-SUM('DCL_senha capita'!$D$9:$I$9)/1000</f>
        <v>-619.88706</v>
      </c>
      <c r="I200" s="248">
        <f>-SUM('DCL_senha capita'!$D$28:$I$28)/1000</f>
        <v>-713.71194</v>
      </c>
      <c r="J200" s="248">
        <f>-SUM('DCL_senha capita'!$D$47:$I$47)/1000</f>
        <v>-707.91382</v>
      </c>
      <c r="K200" s="60">
        <f t="shared" si="335"/>
        <v>-0.008123893794</v>
      </c>
      <c r="L200" s="62">
        <f t="shared" si="336"/>
        <v>0.1420045129</v>
      </c>
      <c r="M200" s="323">
        <f>(-'DCL_senha capita'!$P$9/1000)</f>
        <v>-1326.22557</v>
      </c>
      <c r="N200" s="248">
        <f>-'DCL_senha capita'!$P$28/1000</f>
        <v>-1427.10306</v>
      </c>
      <c r="O200" s="248">
        <f>-'DCL_senha capita'!$P$47/1000</f>
        <v>-1421.11766</v>
      </c>
      <c r="P200" s="244">
        <f t="shared" si="337"/>
        <v>-0.00419409093</v>
      </c>
      <c r="Q200" s="245">
        <f t="shared" si="338"/>
        <v>0.07155049046</v>
      </c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598" t="s">
        <v>83</v>
      </c>
      <c r="C201" s="323">
        <f t="shared" ref="C201:E201" si="343">C199+C200</f>
        <v>3179.23921</v>
      </c>
      <c r="D201" s="248">
        <f t="shared" si="343"/>
        <v>3258.43242</v>
      </c>
      <c r="E201" s="248">
        <f t="shared" si="343"/>
        <v>3418.16392</v>
      </c>
      <c r="F201" s="244">
        <f t="shared" si="334"/>
        <v>0.0490209645</v>
      </c>
      <c r="G201" s="328">
        <f t="shared" si="342"/>
        <v>0.07515153602</v>
      </c>
      <c r="H201" s="323">
        <f t="shared" ref="H201:J201" si="344">H199+H200</f>
        <v>19932.65814</v>
      </c>
      <c r="I201" s="248">
        <f t="shared" si="344"/>
        <v>20097.07488</v>
      </c>
      <c r="J201" s="248">
        <f t="shared" si="344"/>
        <v>20494.13626</v>
      </c>
      <c r="K201" s="60">
        <f t="shared" si="335"/>
        <v>0.01975717274</v>
      </c>
      <c r="L201" s="62">
        <f t="shared" si="336"/>
        <v>0.02816875281</v>
      </c>
      <c r="M201" s="323">
        <f t="shared" ref="M201:O201" si="345">M199+M200</f>
        <v>39023.64384</v>
      </c>
      <c r="N201" s="248">
        <f t="shared" si="345"/>
        <v>41380.62698</v>
      </c>
      <c r="O201" s="248">
        <f t="shared" si="345"/>
        <v>42016.15127</v>
      </c>
      <c r="P201" s="244">
        <f t="shared" si="337"/>
        <v>0.015358015</v>
      </c>
      <c r="Q201" s="245">
        <f t="shared" si="338"/>
        <v>0.07668446961</v>
      </c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598" t="s">
        <v>84</v>
      </c>
      <c r="C202" s="323">
        <f t="shared" ref="C202:E202" si="346">C203+C204+C205</f>
        <v>42.3125442</v>
      </c>
      <c r="D202" s="248">
        <f t="shared" si="346"/>
        <v>-207.874342</v>
      </c>
      <c r="E202" s="248">
        <f t="shared" si="346"/>
        <v>233.6770602</v>
      </c>
      <c r="F202" s="244">
        <f t="shared" si="334"/>
        <v>-2.124126518</v>
      </c>
      <c r="G202" s="328">
        <f t="shared" si="342"/>
        <v>4.522642626</v>
      </c>
      <c r="H202" s="323">
        <f t="shared" ref="H202:J202" si="347">H203+H204+H205</f>
        <v>644.5533918</v>
      </c>
      <c r="I202" s="248">
        <f t="shared" si="347"/>
        <v>-332.7335822</v>
      </c>
      <c r="J202" s="248">
        <f t="shared" si="347"/>
        <v>975.8810392</v>
      </c>
      <c r="K202" s="60">
        <f>-IFERROR(J202/I202-1," ")</f>
        <v>3.932920184</v>
      </c>
      <c r="L202" s="62">
        <f t="shared" si="336"/>
        <v>0.514042206</v>
      </c>
      <c r="M202" s="323">
        <f t="shared" ref="M202:O202" si="348">M203+M204+M205</f>
        <v>1053.892962</v>
      </c>
      <c r="N202" s="248">
        <f t="shared" si="348"/>
        <v>-960.0369382</v>
      </c>
      <c r="O202" s="248">
        <f t="shared" si="348"/>
        <v>634.3007342</v>
      </c>
      <c r="P202" s="244">
        <f t="shared" si="337"/>
        <v>-1.660704509</v>
      </c>
      <c r="Q202" s="245">
        <f t="shared" si="338"/>
        <v>-0.3981355252</v>
      </c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598" t="s">
        <v>118</v>
      </c>
      <c r="C203" s="616">
        <f>'DCL_senha capita'!$I$12/1000</f>
        <v>60.2256</v>
      </c>
      <c r="D203" s="57">
        <f>'DCL_senha capita'!$I$31/1000</f>
        <v>22.95</v>
      </c>
      <c r="E203" s="57">
        <f>'DCL_senha capita'!$I$50/1000</f>
        <v>45.9337</v>
      </c>
      <c r="F203" s="244">
        <f t="shared" si="334"/>
        <v>1.00146841</v>
      </c>
      <c r="G203" s="328">
        <f t="shared" si="342"/>
        <v>-0.2373060625</v>
      </c>
      <c r="H203" s="616">
        <f>SUM('DCL_senha capita'!$D$12:$I$12)/1000</f>
        <v>301.22015</v>
      </c>
      <c r="I203" s="57">
        <f>SUM('DCL_senha capita'!$D$31:$I$31)/1000</f>
        <v>97.7</v>
      </c>
      <c r="J203" s="57">
        <f>SUM('DCL_senha capita'!$D$50:$I$50)/1000</f>
        <v>211.55931</v>
      </c>
      <c r="K203" s="60">
        <f t="shared" ref="K203:K208" si="349">IFERROR(J203/I203-1," ")</f>
        <v>1.165397236</v>
      </c>
      <c r="L203" s="62">
        <f t="shared" si="336"/>
        <v>-0.2976588386</v>
      </c>
      <c r="M203" s="616">
        <f>'DCL_senha capita'!$P$12/1000</f>
        <v>499.33335</v>
      </c>
      <c r="N203" s="57">
        <f>'DCL_senha capita'!$P$31/1000</f>
        <v>186.4</v>
      </c>
      <c r="O203" s="57">
        <f>'DCL_senha capita'!$P$50/1000</f>
        <v>408.02012</v>
      </c>
      <c r="P203" s="244">
        <f t="shared" si="337"/>
        <v>1.188949142</v>
      </c>
      <c r="Q203" s="245">
        <f t="shared" si="338"/>
        <v>-0.1828702809</v>
      </c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598" t="s">
        <v>121</v>
      </c>
      <c r="C204" s="616">
        <f>-'DCL_senha capita'!$I$13/1000</f>
        <v>-240.35276</v>
      </c>
      <c r="D204" s="57">
        <f>-'DCL_senha capita'!$I$32/1000</f>
        <v>-545.19962</v>
      </c>
      <c r="E204" s="57">
        <f>-'DCL_senha capita'!$I$51/1000</f>
        <v>-251.28389</v>
      </c>
      <c r="F204" s="244">
        <f t="shared" si="334"/>
        <v>-0.5390974594</v>
      </c>
      <c r="G204" s="328">
        <f t="shared" si="342"/>
        <v>0.04547952767</v>
      </c>
      <c r="H204" s="616">
        <f>-SUM('DCL_senha capita'!$D$13:$I$13)/1000</f>
        <v>-1372.48448</v>
      </c>
      <c r="I204" s="57">
        <f>-SUM('DCL_senha capita'!$D$32:$I$32)/1000</f>
        <v>-1889.82764</v>
      </c>
      <c r="J204" s="57">
        <f>-SUM('DCL_senha capita'!$D$51:$I$51)/1000</f>
        <v>-1494.74932</v>
      </c>
      <c r="K204" s="60">
        <f t="shared" si="349"/>
        <v>-0.2090552131</v>
      </c>
      <c r="L204" s="62">
        <f t="shared" si="336"/>
        <v>0.08908285797</v>
      </c>
      <c r="M204" s="616">
        <f>-'DCL_senha capita'!$P$13/1000</f>
        <v>-2989.33539</v>
      </c>
      <c r="N204" s="57">
        <f>-'DCL_senha capita'!$P$32/1000</f>
        <v>-4478.55387</v>
      </c>
      <c r="O204" s="57">
        <f>-'DCL_senha capita'!$P$51/1000</f>
        <v>-4320.43555</v>
      </c>
      <c r="P204" s="244">
        <f t="shared" si="337"/>
        <v>-0.03530566442</v>
      </c>
      <c r="Q204" s="245">
        <f t="shared" si="338"/>
        <v>0.4452829764</v>
      </c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322" t="s">
        <v>146</v>
      </c>
      <c r="C205" s="616">
        <f>'DCL_D-ESPAÇO '!C18*98%</f>
        <v>222.4397042</v>
      </c>
      <c r="D205" s="57">
        <f>'DCL_D-ESPAÇO '!D18*98%</f>
        <v>314.375278</v>
      </c>
      <c r="E205" s="57">
        <f>'DCL_D-ESPAÇO '!E18*98%</f>
        <v>439.0272502</v>
      </c>
      <c r="F205" s="244">
        <f t="shared" si="334"/>
        <v>0.3965069168</v>
      </c>
      <c r="G205" s="328">
        <f t="shared" si="342"/>
        <v>0.9736910359</v>
      </c>
      <c r="H205" s="616">
        <f>'DCL_D-ESPAÇO '!H18*98%</f>
        <v>1715.817722</v>
      </c>
      <c r="I205" s="57">
        <f>'DCL_D-ESPAÇO '!I18*98%</f>
        <v>1459.394058</v>
      </c>
      <c r="J205" s="57">
        <f>'DCL_D-ESPAÇO '!J18*98%</f>
        <v>2259.071049</v>
      </c>
      <c r="K205" s="60">
        <f t="shared" si="349"/>
        <v>0.5479513824</v>
      </c>
      <c r="L205" s="62">
        <f t="shared" si="336"/>
        <v>0.3166148248</v>
      </c>
      <c r="M205" s="616">
        <f>'DCL_D-ESPAÇO '!M18*98%</f>
        <v>3543.895002</v>
      </c>
      <c r="N205" s="57">
        <f>'DCL_D-ESPAÇO '!N18*98%+1</f>
        <v>3332.116932</v>
      </c>
      <c r="O205" s="57">
        <f>'DCL_D-ESPAÇO '!O18*98%</f>
        <v>4546.716164</v>
      </c>
      <c r="P205" s="244">
        <f t="shared" si="337"/>
        <v>0.3645127879</v>
      </c>
      <c r="Q205" s="245">
        <f t="shared" si="338"/>
        <v>0.2829714654</v>
      </c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598" t="s">
        <v>86</v>
      </c>
      <c r="C206" s="323">
        <f t="shared" ref="C206:E206" si="350">C201+C202</f>
        <v>3221.551754</v>
      </c>
      <c r="D206" s="248">
        <f t="shared" si="350"/>
        <v>3050.558078</v>
      </c>
      <c r="E206" s="248">
        <f t="shared" si="350"/>
        <v>3651.84098</v>
      </c>
      <c r="F206" s="244">
        <f t="shared" si="334"/>
        <v>0.1971058694</v>
      </c>
      <c r="G206" s="328">
        <f t="shared" si="342"/>
        <v>0.1335658275</v>
      </c>
      <c r="H206" s="323">
        <f t="shared" ref="H206:J206" si="351">H201+H202</f>
        <v>20577.21153</v>
      </c>
      <c r="I206" s="248">
        <f t="shared" si="351"/>
        <v>19764.3413</v>
      </c>
      <c r="J206" s="248">
        <f t="shared" si="351"/>
        <v>21470.0173</v>
      </c>
      <c r="K206" s="60">
        <f t="shared" si="349"/>
        <v>0.08630067533</v>
      </c>
      <c r="L206" s="62">
        <f t="shared" si="336"/>
        <v>0.04338808327</v>
      </c>
      <c r="M206" s="323">
        <f>M201+M202</f>
        <v>40077.5368</v>
      </c>
      <c r="N206" s="248">
        <f>N201+N202-1</f>
        <v>40419.59004</v>
      </c>
      <c r="O206" s="248">
        <f>O201+O202</f>
        <v>42650.452</v>
      </c>
      <c r="P206" s="244">
        <f t="shared" si="337"/>
        <v>0.05519259251</v>
      </c>
      <c r="Q206" s="245">
        <f t="shared" si="338"/>
        <v>0.06419843651</v>
      </c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598" t="s">
        <v>87</v>
      </c>
      <c r="C207" s="323">
        <f>-'DCL_senha capita'!$I$15/1000</f>
        <v>-446.67046</v>
      </c>
      <c r="D207" s="248">
        <f>-'DCL_senha capita'!$I$34/1000</f>
        <v>-470.94029</v>
      </c>
      <c r="E207" s="248">
        <f>-'DCL_senha capita'!$I$54/1000</f>
        <v>-524.52251</v>
      </c>
      <c r="F207" s="244">
        <f t="shared" si="334"/>
        <v>0.113777099</v>
      </c>
      <c r="G207" s="328">
        <f t="shared" si="342"/>
        <v>0.1742941541</v>
      </c>
      <c r="H207" s="616">
        <f>-SUM('DCL_senha capita'!$D$15:$I$15)/1000</f>
        <v>-3040.84104</v>
      </c>
      <c r="I207" s="248">
        <f>-SUM('DCL_senha capita'!$D$34:$I$34)/1000</f>
        <v>-2783.28971</v>
      </c>
      <c r="J207" s="248">
        <f>-SUM('DCL_senha capita'!$D$54:$I$54)/1000</f>
        <v>-3060.4801</v>
      </c>
      <c r="K207" s="60">
        <f t="shared" si="349"/>
        <v>0.09959092257</v>
      </c>
      <c r="L207" s="62">
        <f t="shared" si="336"/>
        <v>0.00645843033</v>
      </c>
      <c r="M207" s="323">
        <f>-'DCL_senha capita'!$P$15/1000</f>
        <v>-5688.00761</v>
      </c>
      <c r="N207" s="248">
        <f>-'DCL_senha capita'!$P$34/1000</f>
        <v>-5644.11969</v>
      </c>
      <c r="O207" s="57">
        <v>-6244.0</v>
      </c>
      <c r="P207" s="244">
        <f t="shared" si="337"/>
        <v>0.1062841228</v>
      </c>
      <c r="Q207" s="245">
        <f t="shared" si="338"/>
        <v>0.0977481797</v>
      </c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12" t="s">
        <v>125</v>
      </c>
      <c r="C208" s="323">
        <f t="shared" ref="C208:E208" si="352">C206+C207</f>
        <v>2774.881294</v>
      </c>
      <c r="D208" s="248">
        <f t="shared" si="352"/>
        <v>2579.617788</v>
      </c>
      <c r="E208" s="248">
        <f t="shared" si="352"/>
        <v>3127.31847</v>
      </c>
      <c r="F208" s="244">
        <f t="shared" si="334"/>
        <v>0.2123185399</v>
      </c>
      <c r="G208" s="328">
        <f t="shared" si="342"/>
        <v>0.1270098208</v>
      </c>
      <c r="H208" s="323">
        <f t="shared" ref="H208:J208" si="353">H206+H207</f>
        <v>17536.37049</v>
      </c>
      <c r="I208" s="248">
        <f t="shared" si="353"/>
        <v>16981.05159</v>
      </c>
      <c r="J208" s="248">
        <f t="shared" si="353"/>
        <v>18409.5372</v>
      </c>
      <c r="K208" s="60">
        <f t="shared" si="349"/>
        <v>0.08412232917</v>
      </c>
      <c r="L208" s="62">
        <f t="shared" si="336"/>
        <v>0.04979175753</v>
      </c>
      <c r="M208" s="323">
        <f>M206+M207</f>
        <v>34389.52919</v>
      </c>
      <c r="N208" s="248">
        <f>N206+N207+1</f>
        <v>34776.47035</v>
      </c>
      <c r="O208" s="57">
        <f>O206+O207</f>
        <v>36406.452</v>
      </c>
      <c r="P208" s="244">
        <f t="shared" si="337"/>
        <v>0.04687024404</v>
      </c>
      <c r="Q208" s="245">
        <f t="shared" si="338"/>
        <v>0.05864932901</v>
      </c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698" t="s">
        <v>100</v>
      </c>
      <c r="C209" s="339">
        <f t="shared" ref="C209:E209" si="354">C199/C195</f>
        <v>0.8698137417</v>
      </c>
      <c r="D209" s="699">
        <f t="shared" si="354"/>
        <v>0.8205384264</v>
      </c>
      <c r="E209" s="339">
        <f t="shared" si="354"/>
        <v>0.8529264342</v>
      </c>
      <c r="F209" s="340"/>
      <c r="G209" s="341"/>
      <c r="H209" s="339">
        <f t="shared" ref="H209:J209" si="355">H199/H195</f>
        <v>0.90534787</v>
      </c>
      <c r="I209" s="339">
        <f t="shared" si="355"/>
        <v>0.8513372704</v>
      </c>
      <c r="J209" s="339">
        <f t="shared" si="355"/>
        <v>0.8614915807</v>
      </c>
      <c r="K209" s="340"/>
      <c r="L209" s="341"/>
      <c r="M209" s="338">
        <f>IFERROR(M199/M195,0)</f>
        <v>0.8843250832</v>
      </c>
      <c r="N209" s="339">
        <f t="shared" ref="N209:O209" si="356">N199/N195</f>
        <v>0.8630472509</v>
      </c>
      <c r="O209" s="339">
        <f t="shared" si="356"/>
        <v>0.8690227317</v>
      </c>
      <c r="P209" s="340"/>
      <c r="Q209" s="341"/>
      <c r="R209" s="1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"/>
      <c r="B210" s="1"/>
      <c r="C210" s="3"/>
      <c r="D210" s="3"/>
      <c r="E210" s="3"/>
      <c r="F210" s="1"/>
      <c r="G210" s="1"/>
      <c r="H210" s="1"/>
      <c r="I210" s="1"/>
      <c r="J210" s="1"/>
      <c r="K210" s="1"/>
      <c r="L210" s="1"/>
      <c r="M210" s="6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703"/>
      <c r="C211" s="704"/>
      <c r="D211" s="3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3"/>
      <c r="D212" s="244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3"/>
      <c r="D213" s="3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3"/>
      <c r="D214" s="3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3"/>
      <c r="D215" s="3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3"/>
      <c r="D216" s="3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3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3"/>
      <c r="D218" s="3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3"/>
      <c r="D219" s="3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3"/>
      <c r="D220" s="3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3"/>
      <c r="D221" s="3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35"/>
      <c r="C222" s="439"/>
      <c r="D222" s="439"/>
      <c r="E222" s="439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1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1"/>
      <c r="B223" s="35"/>
      <c r="C223" s="439"/>
      <c r="D223" s="439"/>
      <c r="E223" s="439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1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"/>
      <c r="B224" s="35"/>
      <c r="C224" s="439"/>
      <c r="D224" s="439"/>
      <c r="E224" s="439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1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1"/>
      <c r="B225" s="35"/>
      <c r="C225" s="439"/>
      <c r="D225" s="439"/>
      <c r="E225" s="439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1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"/>
      <c r="B226" s="35"/>
      <c r="C226" s="439"/>
      <c r="D226" s="439"/>
      <c r="E226" s="439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1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1"/>
      <c r="B227" s="35"/>
      <c r="C227" s="439"/>
      <c r="D227" s="439"/>
      <c r="E227" s="439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1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"/>
      <c r="B228" s="35"/>
      <c r="C228" s="439"/>
      <c r="D228" s="439"/>
      <c r="E228" s="439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1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1"/>
      <c r="B229" s="35"/>
      <c r="C229" s="439"/>
      <c r="D229" s="439"/>
      <c r="E229" s="439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1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"/>
      <c r="B230" s="35"/>
      <c r="C230" s="439"/>
      <c r="D230" s="439"/>
      <c r="E230" s="439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1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1"/>
      <c r="B231" s="35"/>
      <c r="C231" s="439"/>
      <c r="D231" s="439"/>
      <c r="E231" s="439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1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"/>
      <c r="B232" s="35"/>
      <c r="C232" s="439"/>
      <c r="D232" s="439"/>
      <c r="E232" s="439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1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1"/>
      <c r="B233" s="35"/>
      <c r="C233" s="439"/>
      <c r="D233" s="439"/>
      <c r="E233" s="439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1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"/>
      <c r="B234" s="35"/>
      <c r="C234" s="439"/>
      <c r="D234" s="439"/>
      <c r="E234" s="439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1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1"/>
      <c r="B235" s="35"/>
      <c r="C235" s="439"/>
      <c r="D235" s="439"/>
      <c r="E235" s="439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1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"/>
      <c r="B236" s="35"/>
      <c r="C236" s="439"/>
      <c r="D236" s="439"/>
      <c r="E236" s="439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1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1"/>
      <c r="B237" s="35"/>
      <c r="C237" s="439"/>
      <c r="D237" s="439"/>
      <c r="E237" s="439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1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"/>
      <c r="B238" s="35"/>
      <c r="C238" s="439"/>
      <c r="D238" s="439"/>
      <c r="E238" s="439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1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1"/>
      <c r="B239" s="35"/>
      <c r="C239" s="439"/>
      <c r="D239" s="439"/>
      <c r="E239" s="439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1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"/>
      <c r="B240" s="35"/>
      <c r="C240" s="439"/>
      <c r="D240" s="439"/>
      <c r="E240" s="439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1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1"/>
      <c r="B241" s="35"/>
      <c r="C241" s="439"/>
      <c r="D241" s="439"/>
      <c r="E241" s="439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1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"/>
      <c r="B242" s="35"/>
      <c r="C242" s="439"/>
      <c r="D242" s="439"/>
      <c r="E242" s="439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1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1"/>
      <c r="B243" s="35"/>
      <c r="C243" s="439"/>
      <c r="D243" s="439"/>
      <c r="E243" s="439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1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"/>
      <c r="B244" s="35"/>
      <c r="C244" s="439"/>
      <c r="D244" s="439"/>
      <c r="E244" s="439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1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1"/>
      <c r="B245" s="35"/>
      <c r="C245" s="439"/>
      <c r="D245" s="439"/>
      <c r="E245" s="439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1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"/>
      <c r="B246" s="35"/>
      <c r="C246" s="439"/>
      <c r="D246" s="439"/>
      <c r="E246" s="439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1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1"/>
      <c r="B247" s="35"/>
      <c r="C247" s="439"/>
      <c r="D247" s="439"/>
      <c r="E247" s="439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1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1"/>
      <c r="B248" s="35"/>
      <c r="C248" s="439"/>
      <c r="D248" s="439"/>
      <c r="E248" s="439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1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1"/>
      <c r="B249" s="35"/>
      <c r="C249" s="439"/>
      <c r="D249" s="439"/>
      <c r="E249" s="439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1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1"/>
      <c r="B250" s="35"/>
      <c r="C250" s="439"/>
      <c r="D250" s="439"/>
      <c r="E250" s="439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1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1"/>
      <c r="B251" s="35"/>
      <c r="C251" s="439"/>
      <c r="D251" s="439"/>
      <c r="E251" s="439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1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1"/>
      <c r="B252" s="35"/>
      <c r="C252" s="439"/>
      <c r="D252" s="439"/>
      <c r="E252" s="439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1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1"/>
      <c r="B253" s="35"/>
      <c r="C253" s="439"/>
      <c r="D253" s="439"/>
      <c r="E253" s="439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1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1"/>
      <c r="B254" s="35"/>
      <c r="C254" s="439"/>
      <c r="D254" s="439"/>
      <c r="E254" s="439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1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1"/>
      <c r="B255" s="35"/>
      <c r="C255" s="439"/>
      <c r="D255" s="439"/>
      <c r="E255" s="439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1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1"/>
      <c r="B256" s="35"/>
      <c r="C256" s="439"/>
      <c r="D256" s="439"/>
      <c r="E256" s="439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1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1"/>
      <c r="B257" s="35"/>
      <c r="C257" s="439"/>
      <c r="D257" s="439"/>
      <c r="E257" s="439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1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1"/>
      <c r="B258" s="35"/>
      <c r="C258" s="439"/>
      <c r="D258" s="439"/>
      <c r="E258" s="439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1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1"/>
      <c r="B259" s="35"/>
      <c r="C259" s="439"/>
      <c r="D259" s="439"/>
      <c r="E259" s="439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1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1"/>
      <c r="B260" s="35"/>
      <c r="C260" s="439"/>
      <c r="D260" s="439"/>
      <c r="E260" s="439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1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1"/>
      <c r="B261" s="35"/>
      <c r="C261" s="439"/>
      <c r="D261" s="439"/>
      <c r="E261" s="439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1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1"/>
      <c r="B262" s="35"/>
      <c r="C262" s="439"/>
      <c r="D262" s="439"/>
      <c r="E262" s="439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1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1"/>
      <c r="B263" s="35"/>
      <c r="C263" s="439"/>
      <c r="D263" s="439"/>
      <c r="E263" s="439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1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1"/>
      <c r="B264" s="35"/>
      <c r="C264" s="439"/>
      <c r="D264" s="439"/>
      <c r="E264" s="439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1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1"/>
      <c r="B265" s="35"/>
      <c r="C265" s="439"/>
      <c r="D265" s="439"/>
      <c r="E265" s="439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1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1"/>
      <c r="B266" s="35"/>
      <c r="C266" s="439"/>
      <c r="D266" s="439"/>
      <c r="E266" s="439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1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1"/>
      <c r="B267" s="35"/>
      <c r="C267" s="439"/>
      <c r="D267" s="439"/>
      <c r="E267" s="439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1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1"/>
      <c r="B268" s="35"/>
      <c r="C268" s="439"/>
      <c r="D268" s="439"/>
      <c r="E268" s="439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1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1"/>
      <c r="B269" s="35"/>
      <c r="C269" s="439"/>
      <c r="D269" s="439"/>
      <c r="E269" s="439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1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"/>
      <c r="B270" s="35"/>
      <c r="C270" s="439"/>
      <c r="D270" s="439"/>
      <c r="E270" s="439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1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1"/>
      <c r="B271" s="35"/>
      <c r="C271" s="439"/>
      <c r="D271" s="439"/>
      <c r="E271" s="439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1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"/>
      <c r="B272" s="35"/>
      <c r="C272" s="439"/>
      <c r="D272" s="439"/>
      <c r="E272" s="439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1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1"/>
      <c r="B273" s="35"/>
      <c r="C273" s="439"/>
      <c r="D273" s="439"/>
      <c r="E273" s="439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1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"/>
      <c r="B274" s="35"/>
      <c r="C274" s="439"/>
      <c r="D274" s="439"/>
      <c r="E274" s="439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1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1"/>
      <c r="B275" s="35"/>
      <c r="C275" s="439"/>
      <c r="D275" s="439"/>
      <c r="E275" s="439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1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"/>
      <c r="B276" s="35"/>
      <c r="C276" s="439"/>
      <c r="D276" s="439"/>
      <c r="E276" s="439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1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1"/>
      <c r="B277" s="35"/>
      <c r="C277" s="439"/>
      <c r="D277" s="439"/>
      <c r="E277" s="439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1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"/>
      <c r="B278" s="35"/>
      <c r="C278" s="439"/>
      <c r="D278" s="439"/>
      <c r="E278" s="439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1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1"/>
      <c r="B279" s="35"/>
      <c r="C279" s="439"/>
      <c r="D279" s="439"/>
      <c r="E279" s="439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1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"/>
      <c r="B280" s="35"/>
      <c r="C280" s="439"/>
      <c r="D280" s="439"/>
      <c r="E280" s="439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1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1"/>
      <c r="B281" s="35"/>
      <c r="C281" s="439"/>
      <c r="D281" s="439"/>
      <c r="E281" s="439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1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"/>
      <c r="B282" s="35"/>
      <c r="C282" s="439"/>
      <c r="D282" s="439"/>
      <c r="E282" s="439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1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1"/>
      <c r="B283" s="35"/>
      <c r="C283" s="439"/>
      <c r="D283" s="439"/>
      <c r="E283" s="439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1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"/>
      <c r="B284" s="35"/>
      <c r="C284" s="439"/>
      <c r="D284" s="439"/>
      <c r="E284" s="439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1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1"/>
      <c r="B285" s="35"/>
      <c r="C285" s="439"/>
      <c r="D285" s="439"/>
      <c r="E285" s="439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1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"/>
      <c r="B286" s="35"/>
      <c r="C286" s="439"/>
      <c r="D286" s="439"/>
      <c r="E286" s="439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1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1"/>
      <c r="B287" s="35"/>
      <c r="C287" s="439"/>
      <c r="D287" s="439"/>
      <c r="E287" s="439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1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"/>
      <c r="B288" s="35"/>
      <c r="C288" s="439"/>
      <c r="D288" s="439"/>
      <c r="E288" s="439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1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1"/>
      <c r="B289" s="35"/>
      <c r="C289" s="439"/>
      <c r="D289" s="439"/>
      <c r="E289" s="439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1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"/>
      <c r="B290" s="35"/>
      <c r="C290" s="439"/>
      <c r="D290" s="439"/>
      <c r="E290" s="439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1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1"/>
      <c r="B291" s="35"/>
      <c r="C291" s="439"/>
      <c r="D291" s="439"/>
      <c r="E291" s="439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1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"/>
      <c r="B292" s="35"/>
      <c r="C292" s="439"/>
      <c r="D292" s="439"/>
      <c r="E292" s="439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1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1"/>
      <c r="B293" s="35"/>
      <c r="C293" s="439"/>
      <c r="D293" s="439"/>
      <c r="E293" s="439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1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"/>
      <c r="B294" s="35"/>
      <c r="C294" s="439"/>
      <c r="D294" s="439"/>
      <c r="E294" s="439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1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1"/>
      <c r="B295" s="35"/>
      <c r="C295" s="439"/>
      <c r="D295" s="439"/>
      <c r="E295" s="439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1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"/>
      <c r="B296" s="35"/>
      <c r="C296" s="439"/>
      <c r="D296" s="439"/>
      <c r="E296" s="439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1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1"/>
      <c r="B297" s="35"/>
      <c r="C297" s="439"/>
      <c r="D297" s="439"/>
      <c r="E297" s="439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1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"/>
      <c r="B298" s="35"/>
      <c r="C298" s="439"/>
      <c r="D298" s="439"/>
      <c r="E298" s="439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1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1"/>
      <c r="B299" s="35"/>
      <c r="C299" s="439"/>
      <c r="D299" s="439"/>
      <c r="E299" s="439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1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"/>
      <c r="B300" s="35"/>
      <c r="C300" s="439"/>
      <c r="D300" s="439"/>
      <c r="E300" s="439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1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1"/>
      <c r="B301" s="35"/>
      <c r="C301" s="439"/>
      <c r="D301" s="439"/>
      <c r="E301" s="439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1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"/>
      <c r="B302" s="35"/>
      <c r="C302" s="439"/>
      <c r="D302" s="439"/>
      <c r="E302" s="439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1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1"/>
      <c r="B303" s="35"/>
      <c r="C303" s="439"/>
      <c r="D303" s="439"/>
      <c r="E303" s="439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1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"/>
      <c r="B304" s="35"/>
      <c r="C304" s="439"/>
      <c r="D304" s="439"/>
      <c r="E304" s="439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1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1"/>
      <c r="B305" s="35"/>
      <c r="C305" s="439"/>
      <c r="D305" s="439"/>
      <c r="E305" s="439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1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"/>
      <c r="B306" s="35"/>
      <c r="C306" s="439"/>
      <c r="D306" s="439"/>
      <c r="E306" s="439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1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1"/>
      <c r="B307" s="35"/>
      <c r="C307" s="439"/>
      <c r="D307" s="439"/>
      <c r="E307" s="439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1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"/>
      <c r="B308" s="35"/>
      <c r="C308" s="439"/>
      <c r="D308" s="439"/>
      <c r="E308" s="439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1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1"/>
      <c r="B309" s="35"/>
      <c r="C309" s="439"/>
      <c r="D309" s="439"/>
      <c r="E309" s="439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1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"/>
      <c r="B310" s="35"/>
      <c r="C310" s="439"/>
      <c r="D310" s="439"/>
      <c r="E310" s="439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1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1"/>
      <c r="B311" s="35"/>
      <c r="C311" s="439"/>
      <c r="D311" s="439"/>
      <c r="E311" s="439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1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"/>
      <c r="B312" s="35"/>
      <c r="C312" s="439"/>
      <c r="D312" s="439"/>
      <c r="E312" s="439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1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1"/>
      <c r="B313" s="35"/>
      <c r="C313" s="439"/>
      <c r="D313" s="439"/>
      <c r="E313" s="439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1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"/>
      <c r="B314" s="35"/>
      <c r="C314" s="439"/>
      <c r="D314" s="439"/>
      <c r="E314" s="439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1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1"/>
      <c r="B315" s="35"/>
      <c r="C315" s="439"/>
      <c r="D315" s="439"/>
      <c r="E315" s="439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1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"/>
      <c r="B316" s="35"/>
      <c r="C316" s="439"/>
      <c r="D316" s="439"/>
      <c r="E316" s="439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1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1"/>
      <c r="B317" s="35"/>
      <c r="C317" s="439"/>
      <c r="D317" s="439"/>
      <c r="E317" s="439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1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"/>
      <c r="B318" s="35"/>
      <c r="C318" s="439"/>
      <c r="D318" s="439"/>
      <c r="E318" s="439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1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1"/>
      <c r="B319" s="35"/>
      <c r="C319" s="439"/>
      <c r="D319" s="439"/>
      <c r="E319" s="439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1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"/>
      <c r="B320" s="35"/>
      <c r="C320" s="439"/>
      <c r="D320" s="439"/>
      <c r="E320" s="439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1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1"/>
      <c r="B321" s="35"/>
      <c r="C321" s="439"/>
      <c r="D321" s="439"/>
      <c r="E321" s="439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1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"/>
      <c r="B322" s="35"/>
      <c r="C322" s="439"/>
      <c r="D322" s="439"/>
      <c r="E322" s="439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1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1"/>
      <c r="B323" s="35"/>
      <c r="C323" s="439"/>
      <c r="D323" s="439"/>
      <c r="E323" s="439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1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"/>
      <c r="B324" s="35"/>
      <c r="C324" s="439"/>
      <c r="D324" s="439"/>
      <c r="E324" s="439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1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1"/>
      <c r="B325" s="35"/>
      <c r="C325" s="439"/>
      <c r="D325" s="439"/>
      <c r="E325" s="439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1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"/>
      <c r="B326" s="35"/>
      <c r="C326" s="439"/>
      <c r="D326" s="439"/>
      <c r="E326" s="439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1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1"/>
      <c r="B327" s="35"/>
      <c r="C327" s="439"/>
      <c r="D327" s="439"/>
      <c r="E327" s="439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1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"/>
      <c r="B328" s="35"/>
      <c r="C328" s="439"/>
      <c r="D328" s="439"/>
      <c r="E328" s="439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1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1"/>
      <c r="B329" s="35"/>
      <c r="C329" s="439"/>
      <c r="D329" s="439"/>
      <c r="E329" s="439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1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"/>
      <c r="B330" s="35"/>
      <c r="C330" s="439"/>
      <c r="D330" s="439"/>
      <c r="E330" s="439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1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1"/>
      <c r="B331" s="35"/>
      <c r="C331" s="439"/>
      <c r="D331" s="439"/>
      <c r="E331" s="439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1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"/>
      <c r="B332" s="35"/>
      <c r="C332" s="439"/>
      <c r="D332" s="439"/>
      <c r="E332" s="439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1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1"/>
      <c r="B333" s="35"/>
      <c r="C333" s="439"/>
      <c r="D333" s="439"/>
      <c r="E333" s="439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1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"/>
      <c r="B334" s="35"/>
      <c r="C334" s="439"/>
      <c r="D334" s="439"/>
      <c r="E334" s="439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1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1"/>
      <c r="B335" s="35"/>
      <c r="C335" s="439"/>
      <c r="D335" s="439"/>
      <c r="E335" s="439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1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"/>
      <c r="B336" s="35"/>
      <c r="C336" s="439"/>
      <c r="D336" s="439"/>
      <c r="E336" s="439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1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1"/>
      <c r="B337" s="35"/>
      <c r="C337" s="439"/>
      <c r="D337" s="439"/>
      <c r="E337" s="439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1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"/>
      <c r="B338" s="35"/>
      <c r="C338" s="439"/>
      <c r="D338" s="439"/>
      <c r="E338" s="439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1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1"/>
      <c r="B339" s="35"/>
      <c r="C339" s="439"/>
      <c r="D339" s="439"/>
      <c r="E339" s="439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1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"/>
      <c r="B340" s="35"/>
      <c r="C340" s="439"/>
      <c r="D340" s="439"/>
      <c r="E340" s="439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1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1"/>
      <c r="B341" s="35"/>
      <c r="C341" s="439"/>
      <c r="D341" s="439"/>
      <c r="E341" s="439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1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"/>
      <c r="B342" s="35"/>
      <c r="C342" s="439"/>
      <c r="D342" s="439"/>
      <c r="E342" s="439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1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1"/>
      <c r="B343" s="35"/>
      <c r="C343" s="439"/>
      <c r="D343" s="439"/>
      <c r="E343" s="439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1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"/>
      <c r="B344" s="35"/>
      <c r="C344" s="439"/>
      <c r="D344" s="439"/>
      <c r="E344" s="439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1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1"/>
      <c r="B345" s="35"/>
      <c r="C345" s="439"/>
      <c r="D345" s="439"/>
      <c r="E345" s="439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1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1"/>
      <c r="B346" s="35"/>
      <c r="C346" s="439"/>
      <c r="D346" s="439"/>
      <c r="E346" s="439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1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1"/>
      <c r="B347" s="35"/>
      <c r="C347" s="439"/>
      <c r="D347" s="439"/>
      <c r="E347" s="439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1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1"/>
      <c r="B348" s="35"/>
      <c r="C348" s="439"/>
      <c r="D348" s="439"/>
      <c r="E348" s="439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1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1"/>
      <c r="B349" s="35"/>
      <c r="C349" s="439"/>
      <c r="D349" s="439"/>
      <c r="E349" s="439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1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1"/>
      <c r="B350" s="35"/>
      <c r="C350" s="439"/>
      <c r="D350" s="439"/>
      <c r="E350" s="439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1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1"/>
      <c r="B351" s="35"/>
      <c r="C351" s="439"/>
      <c r="D351" s="439"/>
      <c r="E351" s="439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1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1"/>
      <c r="B352" s="35"/>
      <c r="C352" s="439"/>
      <c r="D352" s="439"/>
      <c r="E352" s="439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1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1"/>
      <c r="B353" s="35"/>
      <c r="C353" s="439"/>
      <c r="D353" s="439"/>
      <c r="E353" s="439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1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1"/>
      <c r="B354" s="35"/>
      <c r="C354" s="439"/>
      <c r="D354" s="439"/>
      <c r="E354" s="439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1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1"/>
      <c r="B355" s="35"/>
      <c r="C355" s="439"/>
      <c r="D355" s="439"/>
      <c r="E355" s="439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1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1"/>
      <c r="B356" s="35"/>
      <c r="C356" s="439"/>
      <c r="D356" s="439"/>
      <c r="E356" s="439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1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1"/>
      <c r="B357" s="35"/>
      <c r="C357" s="439"/>
      <c r="D357" s="439"/>
      <c r="E357" s="439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1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1"/>
      <c r="B358" s="35"/>
      <c r="C358" s="439"/>
      <c r="D358" s="439"/>
      <c r="E358" s="439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1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1"/>
      <c r="B359" s="35"/>
      <c r="C359" s="439"/>
      <c r="D359" s="439"/>
      <c r="E359" s="439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1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1"/>
      <c r="B360" s="35"/>
      <c r="C360" s="439"/>
      <c r="D360" s="439"/>
      <c r="E360" s="439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1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1"/>
      <c r="B361" s="35"/>
      <c r="C361" s="439"/>
      <c r="D361" s="439"/>
      <c r="E361" s="439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1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1"/>
      <c r="B362" s="35"/>
      <c r="C362" s="439"/>
      <c r="D362" s="439"/>
      <c r="E362" s="439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1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1"/>
      <c r="B363" s="35"/>
      <c r="C363" s="439"/>
      <c r="D363" s="439"/>
      <c r="E363" s="439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1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1"/>
      <c r="B364" s="35"/>
      <c r="C364" s="439"/>
      <c r="D364" s="439"/>
      <c r="E364" s="439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1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1"/>
      <c r="B365" s="35"/>
      <c r="C365" s="439"/>
      <c r="D365" s="439"/>
      <c r="E365" s="439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1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1"/>
      <c r="B366" s="35"/>
      <c r="C366" s="439"/>
      <c r="D366" s="439"/>
      <c r="E366" s="439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1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1"/>
      <c r="B367" s="35"/>
      <c r="C367" s="439"/>
      <c r="D367" s="439"/>
      <c r="E367" s="439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1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1"/>
      <c r="B368" s="35"/>
      <c r="C368" s="439"/>
      <c r="D368" s="439"/>
      <c r="E368" s="439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1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1"/>
      <c r="B369" s="35"/>
      <c r="C369" s="439"/>
      <c r="D369" s="439"/>
      <c r="E369" s="439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1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1"/>
      <c r="B370" s="35"/>
      <c r="C370" s="439"/>
      <c r="D370" s="439"/>
      <c r="E370" s="439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1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1"/>
      <c r="B371" s="35"/>
      <c r="C371" s="439"/>
      <c r="D371" s="439"/>
      <c r="E371" s="439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1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1"/>
      <c r="B372" s="35"/>
      <c r="C372" s="439"/>
      <c r="D372" s="439"/>
      <c r="E372" s="439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1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1"/>
      <c r="B373" s="35"/>
      <c r="C373" s="439"/>
      <c r="D373" s="439"/>
      <c r="E373" s="439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1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1"/>
      <c r="B374" s="35"/>
      <c r="C374" s="439"/>
      <c r="D374" s="439"/>
      <c r="E374" s="439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1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1"/>
      <c r="B375" s="35"/>
      <c r="C375" s="439"/>
      <c r="D375" s="439"/>
      <c r="E375" s="439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1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1"/>
      <c r="B376" s="35"/>
      <c r="C376" s="439"/>
      <c r="D376" s="439"/>
      <c r="E376" s="439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1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1"/>
      <c r="B377" s="35"/>
      <c r="C377" s="439"/>
      <c r="D377" s="439"/>
      <c r="E377" s="439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1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1"/>
      <c r="B378" s="35"/>
      <c r="C378" s="439"/>
      <c r="D378" s="439"/>
      <c r="E378" s="439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1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1"/>
      <c r="B379" s="35"/>
      <c r="C379" s="439"/>
      <c r="D379" s="439"/>
      <c r="E379" s="439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1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1"/>
      <c r="B380" s="35"/>
      <c r="C380" s="439"/>
      <c r="D380" s="439"/>
      <c r="E380" s="439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1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1"/>
      <c r="B381" s="35"/>
      <c r="C381" s="439"/>
      <c r="D381" s="439"/>
      <c r="E381" s="439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1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1"/>
      <c r="B382" s="35"/>
      <c r="C382" s="439"/>
      <c r="D382" s="439"/>
      <c r="E382" s="439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1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1"/>
      <c r="B383" s="35"/>
      <c r="C383" s="439"/>
      <c r="D383" s="439"/>
      <c r="E383" s="439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1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1"/>
      <c r="B384" s="35"/>
      <c r="C384" s="439"/>
      <c r="D384" s="439"/>
      <c r="E384" s="439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1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1"/>
      <c r="B385" s="35"/>
      <c r="C385" s="439"/>
      <c r="D385" s="439"/>
      <c r="E385" s="439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1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1"/>
      <c r="B386" s="35"/>
      <c r="C386" s="439"/>
      <c r="D386" s="439"/>
      <c r="E386" s="439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1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1"/>
      <c r="B387" s="35"/>
      <c r="C387" s="439"/>
      <c r="D387" s="439"/>
      <c r="E387" s="439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1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1"/>
      <c r="B388" s="35"/>
      <c r="C388" s="439"/>
      <c r="D388" s="439"/>
      <c r="E388" s="439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1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1"/>
      <c r="B389" s="35"/>
      <c r="C389" s="439"/>
      <c r="D389" s="439"/>
      <c r="E389" s="439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1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1"/>
      <c r="B390" s="35"/>
      <c r="C390" s="439"/>
      <c r="D390" s="439"/>
      <c r="E390" s="439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1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1"/>
      <c r="B391" s="35"/>
      <c r="C391" s="439"/>
      <c r="D391" s="439"/>
      <c r="E391" s="439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1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1"/>
      <c r="B392" s="35"/>
      <c r="C392" s="439"/>
      <c r="D392" s="439"/>
      <c r="E392" s="439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1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1"/>
      <c r="B393" s="35"/>
      <c r="C393" s="439"/>
      <c r="D393" s="439"/>
      <c r="E393" s="439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1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1"/>
      <c r="B394" s="35"/>
      <c r="C394" s="439"/>
      <c r="D394" s="439"/>
      <c r="E394" s="439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1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1"/>
      <c r="B395" s="35"/>
      <c r="C395" s="439"/>
      <c r="D395" s="439"/>
      <c r="E395" s="439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1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1"/>
      <c r="B396" s="35"/>
      <c r="C396" s="439"/>
      <c r="D396" s="439"/>
      <c r="E396" s="439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1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1"/>
      <c r="B397" s="35"/>
      <c r="C397" s="439"/>
      <c r="D397" s="439"/>
      <c r="E397" s="439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1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1"/>
      <c r="B398" s="35"/>
      <c r="C398" s="439"/>
      <c r="D398" s="439"/>
      <c r="E398" s="439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1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1"/>
      <c r="B399" s="35"/>
      <c r="C399" s="439"/>
      <c r="D399" s="439"/>
      <c r="E399" s="439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1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1"/>
      <c r="B400" s="35"/>
      <c r="C400" s="439"/>
      <c r="D400" s="439"/>
      <c r="E400" s="439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1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1"/>
      <c r="B401" s="35"/>
      <c r="C401" s="439"/>
      <c r="D401" s="439"/>
      <c r="E401" s="439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1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1"/>
      <c r="B402" s="35"/>
      <c r="C402" s="439"/>
      <c r="D402" s="439"/>
      <c r="E402" s="439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1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1"/>
      <c r="B403" s="35"/>
      <c r="C403" s="439"/>
      <c r="D403" s="439"/>
      <c r="E403" s="439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1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1"/>
      <c r="B404" s="35"/>
      <c r="C404" s="439"/>
      <c r="D404" s="439"/>
      <c r="E404" s="439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1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1"/>
      <c r="B405" s="35"/>
      <c r="C405" s="439"/>
      <c r="D405" s="439"/>
      <c r="E405" s="439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1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1"/>
      <c r="B406" s="35"/>
      <c r="C406" s="439"/>
      <c r="D406" s="439"/>
      <c r="E406" s="439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1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1"/>
      <c r="B407" s="35"/>
      <c r="C407" s="439"/>
      <c r="D407" s="439"/>
      <c r="E407" s="439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1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1"/>
      <c r="B408" s="35"/>
      <c r="C408" s="439"/>
      <c r="D408" s="439"/>
      <c r="E408" s="439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1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1"/>
      <c r="B409" s="35"/>
      <c r="C409" s="439"/>
      <c r="D409" s="439"/>
      <c r="E409" s="439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1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1"/>
      <c r="B410" s="35"/>
      <c r="C410" s="439"/>
      <c r="D410" s="439"/>
      <c r="E410" s="439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1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1"/>
      <c r="B411" s="35"/>
      <c r="C411" s="439"/>
      <c r="D411" s="439"/>
      <c r="E411" s="439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1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1"/>
      <c r="B412" s="35"/>
      <c r="C412" s="439"/>
      <c r="D412" s="439"/>
      <c r="E412" s="439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1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1"/>
      <c r="B413" s="35"/>
      <c r="C413" s="439"/>
      <c r="D413" s="439"/>
      <c r="E413" s="439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1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1"/>
      <c r="B414" s="35"/>
      <c r="C414" s="439"/>
      <c r="D414" s="439"/>
      <c r="E414" s="439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1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1"/>
      <c r="B415" s="35"/>
      <c r="C415" s="439"/>
      <c r="D415" s="439"/>
      <c r="E415" s="439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1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1"/>
      <c r="B416" s="35"/>
      <c r="C416" s="439"/>
      <c r="D416" s="439"/>
      <c r="E416" s="439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1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1"/>
      <c r="B417" s="35"/>
      <c r="C417" s="439"/>
      <c r="D417" s="439"/>
      <c r="E417" s="439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1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1"/>
      <c r="B418" s="35"/>
      <c r="C418" s="439"/>
      <c r="D418" s="439"/>
      <c r="E418" s="439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1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1"/>
      <c r="B419" s="35"/>
      <c r="C419" s="439"/>
      <c r="D419" s="439"/>
      <c r="E419" s="439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1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1"/>
      <c r="B420" s="35"/>
      <c r="C420" s="439"/>
      <c r="D420" s="439"/>
      <c r="E420" s="439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1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1"/>
      <c r="B421" s="35"/>
      <c r="C421" s="439"/>
      <c r="D421" s="439"/>
      <c r="E421" s="439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1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1"/>
      <c r="B422" s="35"/>
      <c r="C422" s="439"/>
      <c r="D422" s="439"/>
      <c r="E422" s="439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1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1"/>
      <c r="B423" s="35"/>
      <c r="C423" s="439"/>
      <c r="D423" s="439"/>
      <c r="E423" s="439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1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1"/>
      <c r="B424" s="35"/>
      <c r="C424" s="439"/>
      <c r="D424" s="439"/>
      <c r="E424" s="439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1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1"/>
      <c r="B425" s="35"/>
      <c r="C425" s="439"/>
      <c r="D425" s="439"/>
      <c r="E425" s="439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1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1"/>
      <c r="B426" s="35"/>
      <c r="C426" s="439"/>
      <c r="D426" s="439"/>
      <c r="E426" s="439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1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1"/>
      <c r="B427" s="35"/>
      <c r="C427" s="439"/>
      <c r="D427" s="439"/>
      <c r="E427" s="439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1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1"/>
      <c r="B428" s="35"/>
      <c r="C428" s="439"/>
      <c r="D428" s="439"/>
      <c r="E428" s="439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1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1"/>
      <c r="B429" s="35"/>
      <c r="C429" s="439"/>
      <c r="D429" s="439"/>
      <c r="E429" s="439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1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1"/>
      <c r="B430" s="35"/>
      <c r="C430" s="439"/>
      <c r="D430" s="439"/>
      <c r="E430" s="439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1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1"/>
      <c r="B431" s="35"/>
      <c r="C431" s="439"/>
      <c r="D431" s="439"/>
      <c r="E431" s="439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1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1"/>
      <c r="B432" s="35"/>
      <c r="C432" s="439"/>
      <c r="D432" s="439"/>
      <c r="E432" s="439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1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1"/>
      <c r="B433" s="35"/>
      <c r="C433" s="439"/>
      <c r="D433" s="439"/>
      <c r="E433" s="439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1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1"/>
      <c r="B434" s="35"/>
      <c r="C434" s="439"/>
      <c r="D434" s="439"/>
      <c r="E434" s="439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1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1"/>
      <c r="B435" s="35"/>
      <c r="C435" s="439"/>
      <c r="D435" s="439"/>
      <c r="E435" s="439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1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1"/>
      <c r="B436" s="35"/>
      <c r="C436" s="439"/>
      <c r="D436" s="439"/>
      <c r="E436" s="439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1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1"/>
      <c r="B437" s="35"/>
      <c r="C437" s="439"/>
      <c r="D437" s="439"/>
      <c r="E437" s="439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1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1"/>
      <c r="B438" s="35"/>
      <c r="C438" s="439"/>
      <c r="D438" s="439"/>
      <c r="E438" s="439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1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1"/>
      <c r="B439" s="35"/>
      <c r="C439" s="439"/>
      <c r="D439" s="439"/>
      <c r="E439" s="439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1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1"/>
      <c r="B440" s="35"/>
      <c r="C440" s="439"/>
      <c r="D440" s="439"/>
      <c r="E440" s="439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1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1"/>
      <c r="B441" s="35"/>
      <c r="C441" s="439"/>
      <c r="D441" s="439"/>
      <c r="E441" s="439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1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1"/>
      <c r="B442" s="35"/>
      <c r="C442" s="439"/>
      <c r="D442" s="439"/>
      <c r="E442" s="439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1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1"/>
      <c r="B443" s="35"/>
      <c r="C443" s="439"/>
      <c r="D443" s="439"/>
      <c r="E443" s="439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1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1"/>
      <c r="B444" s="35"/>
      <c r="C444" s="439"/>
      <c r="D444" s="439"/>
      <c r="E444" s="439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1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1"/>
      <c r="B445" s="35"/>
      <c r="C445" s="439"/>
      <c r="D445" s="439"/>
      <c r="E445" s="439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1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1"/>
      <c r="B446" s="35"/>
      <c r="C446" s="439"/>
      <c r="D446" s="439"/>
      <c r="E446" s="439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1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1"/>
      <c r="B447" s="35"/>
      <c r="C447" s="439"/>
      <c r="D447" s="439"/>
      <c r="E447" s="439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1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1"/>
      <c r="B448" s="35"/>
      <c r="C448" s="439"/>
      <c r="D448" s="439"/>
      <c r="E448" s="439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1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1"/>
      <c r="B449" s="35"/>
      <c r="C449" s="439"/>
      <c r="D449" s="439"/>
      <c r="E449" s="439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1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1"/>
      <c r="B450" s="35"/>
      <c r="C450" s="439"/>
      <c r="D450" s="439"/>
      <c r="E450" s="439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1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1"/>
      <c r="B451" s="35"/>
      <c r="C451" s="439"/>
      <c r="D451" s="439"/>
      <c r="E451" s="439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1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1"/>
      <c r="B452" s="35"/>
      <c r="C452" s="439"/>
      <c r="D452" s="439"/>
      <c r="E452" s="439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1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1"/>
      <c r="B453" s="35"/>
      <c r="C453" s="439"/>
      <c r="D453" s="439"/>
      <c r="E453" s="439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1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1"/>
      <c r="B454" s="35"/>
      <c r="C454" s="439"/>
      <c r="D454" s="439"/>
      <c r="E454" s="439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1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1"/>
      <c r="B455" s="35"/>
      <c r="C455" s="439"/>
      <c r="D455" s="439"/>
      <c r="E455" s="439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1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1"/>
      <c r="B456" s="35"/>
      <c r="C456" s="439"/>
      <c r="D456" s="439"/>
      <c r="E456" s="439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1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1"/>
      <c r="B457" s="35"/>
      <c r="C457" s="439"/>
      <c r="D457" s="439"/>
      <c r="E457" s="439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1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1"/>
      <c r="B458" s="35"/>
      <c r="C458" s="439"/>
      <c r="D458" s="439"/>
      <c r="E458" s="439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1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1"/>
      <c r="B459" s="35"/>
      <c r="C459" s="439"/>
      <c r="D459" s="439"/>
      <c r="E459" s="439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1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1"/>
      <c r="B460" s="35"/>
      <c r="C460" s="439"/>
      <c r="D460" s="439"/>
      <c r="E460" s="439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1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1"/>
      <c r="B461" s="35"/>
      <c r="C461" s="439"/>
      <c r="D461" s="439"/>
      <c r="E461" s="439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1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1"/>
      <c r="B462" s="35"/>
      <c r="C462" s="439"/>
      <c r="D462" s="439"/>
      <c r="E462" s="439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1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1"/>
      <c r="B463" s="35"/>
      <c r="C463" s="439"/>
      <c r="D463" s="439"/>
      <c r="E463" s="439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1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1"/>
      <c r="B464" s="35"/>
      <c r="C464" s="439"/>
      <c r="D464" s="439"/>
      <c r="E464" s="439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1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1"/>
      <c r="B465" s="35"/>
      <c r="C465" s="439"/>
      <c r="D465" s="439"/>
      <c r="E465" s="439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1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1"/>
      <c r="B466" s="35"/>
      <c r="C466" s="439"/>
      <c r="D466" s="439"/>
      <c r="E466" s="439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1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1"/>
      <c r="B467" s="35"/>
      <c r="C467" s="439"/>
      <c r="D467" s="439"/>
      <c r="E467" s="439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1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1"/>
      <c r="B468" s="35"/>
      <c r="C468" s="439"/>
      <c r="D468" s="439"/>
      <c r="E468" s="439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1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1"/>
      <c r="B469" s="35"/>
      <c r="C469" s="439"/>
      <c r="D469" s="439"/>
      <c r="E469" s="439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1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1"/>
      <c r="B470" s="35"/>
      <c r="C470" s="439"/>
      <c r="D470" s="439"/>
      <c r="E470" s="439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1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1"/>
      <c r="B471" s="35"/>
      <c r="C471" s="439"/>
      <c r="D471" s="439"/>
      <c r="E471" s="439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1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1"/>
      <c r="B472" s="35"/>
      <c r="C472" s="439"/>
      <c r="D472" s="439"/>
      <c r="E472" s="439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1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1"/>
      <c r="B473" s="35"/>
      <c r="C473" s="439"/>
      <c r="D473" s="439"/>
      <c r="E473" s="439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1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1"/>
      <c r="B474" s="35"/>
      <c r="C474" s="439"/>
      <c r="D474" s="439"/>
      <c r="E474" s="439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1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1"/>
      <c r="B475" s="35"/>
      <c r="C475" s="439"/>
      <c r="D475" s="439"/>
      <c r="E475" s="439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1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1"/>
      <c r="B476" s="35"/>
      <c r="C476" s="439"/>
      <c r="D476" s="439"/>
      <c r="E476" s="439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1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1"/>
      <c r="B477" s="35"/>
      <c r="C477" s="439"/>
      <c r="D477" s="439"/>
      <c r="E477" s="439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1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1"/>
      <c r="B478" s="35"/>
      <c r="C478" s="439"/>
      <c r="D478" s="439"/>
      <c r="E478" s="439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1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1"/>
      <c r="B479" s="35"/>
      <c r="C479" s="439"/>
      <c r="D479" s="439"/>
      <c r="E479" s="439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1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1"/>
      <c r="B480" s="35"/>
      <c r="C480" s="439"/>
      <c r="D480" s="439"/>
      <c r="E480" s="439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1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1"/>
      <c r="B481" s="35"/>
      <c r="C481" s="439"/>
      <c r="D481" s="439"/>
      <c r="E481" s="439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1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1"/>
      <c r="B482" s="35"/>
      <c r="C482" s="439"/>
      <c r="D482" s="439"/>
      <c r="E482" s="439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1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1"/>
      <c r="B483" s="35"/>
      <c r="C483" s="439"/>
      <c r="D483" s="439"/>
      <c r="E483" s="439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1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1"/>
      <c r="B484" s="35"/>
      <c r="C484" s="439"/>
      <c r="D484" s="439"/>
      <c r="E484" s="439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1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1"/>
      <c r="B485" s="35"/>
      <c r="C485" s="439"/>
      <c r="D485" s="439"/>
      <c r="E485" s="439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1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1"/>
      <c r="B486" s="35"/>
      <c r="C486" s="439"/>
      <c r="D486" s="439"/>
      <c r="E486" s="439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1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1"/>
      <c r="B487" s="35"/>
      <c r="C487" s="439"/>
      <c r="D487" s="439"/>
      <c r="E487" s="439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1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1"/>
      <c r="B488" s="35"/>
      <c r="C488" s="439"/>
      <c r="D488" s="439"/>
      <c r="E488" s="439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1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1"/>
      <c r="B489" s="35"/>
      <c r="C489" s="439"/>
      <c r="D489" s="439"/>
      <c r="E489" s="439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1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1"/>
      <c r="B490" s="35"/>
      <c r="C490" s="439"/>
      <c r="D490" s="439"/>
      <c r="E490" s="439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1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1"/>
      <c r="B491" s="35"/>
      <c r="C491" s="439"/>
      <c r="D491" s="439"/>
      <c r="E491" s="439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1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1"/>
      <c r="B492" s="35"/>
      <c r="C492" s="439"/>
      <c r="D492" s="439"/>
      <c r="E492" s="439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1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1"/>
      <c r="B493" s="35"/>
      <c r="C493" s="439"/>
      <c r="D493" s="439"/>
      <c r="E493" s="439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1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1"/>
      <c r="B494" s="35"/>
      <c r="C494" s="439"/>
      <c r="D494" s="439"/>
      <c r="E494" s="439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1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1"/>
      <c r="B495" s="35"/>
      <c r="C495" s="439"/>
      <c r="D495" s="439"/>
      <c r="E495" s="439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1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1"/>
      <c r="B496" s="35"/>
      <c r="C496" s="439"/>
      <c r="D496" s="439"/>
      <c r="E496" s="439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1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1"/>
      <c r="B497" s="35"/>
      <c r="C497" s="439"/>
      <c r="D497" s="439"/>
      <c r="E497" s="439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1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1"/>
      <c r="B498" s="35"/>
      <c r="C498" s="439"/>
      <c r="D498" s="439"/>
      <c r="E498" s="439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1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1"/>
      <c r="B499" s="35"/>
      <c r="C499" s="439"/>
      <c r="D499" s="439"/>
      <c r="E499" s="439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1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1"/>
      <c r="B500" s="35"/>
      <c r="C500" s="439"/>
      <c r="D500" s="439"/>
      <c r="E500" s="439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1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1"/>
      <c r="B501" s="35"/>
      <c r="C501" s="439"/>
      <c r="D501" s="439"/>
      <c r="E501" s="439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1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1"/>
      <c r="B502" s="35"/>
      <c r="C502" s="439"/>
      <c r="D502" s="439"/>
      <c r="E502" s="439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1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1"/>
      <c r="B503" s="35"/>
      <c r="C503" s="439"/>
      <c r="D503" s="439"/>
      <c r="E503" s="439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1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1"/>
      <c r="B504" s="35"/>
      <c r="C504" s="439"/>
      <c r="D504" s="439"/>
      <c r="E504" s="439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1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1"/>
      <c r="B505" s="35"/>
      <c r="C505" s="439"/>
      <c r="D505" s="439"/>
      <c r="E505" s="439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1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1"/>
      <c r="B506" s="35"/>
      <c r="C506" s="439"/>
      <c r="D506" s="439"/>
      <c r="E506" s="439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1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1"/>
      <c r="B507" s="35"/>
      <c r="C507" s="439"/>
      <c r="D507" s="439"/>
      <c r="E507" s="439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1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1"/>
      <c r="B508" s="35"/>
      <c r="C508" s="439"/>
      <c r="D508" s="439"/>
      <c r="E508" s="439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1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1"/>
      <c r="B509" s="35"/>
      <c r="C509" s="439"/>
      <c r="D509" s="439"/>
      <c r="E509" s="439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1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1"/>
      <c r="B510" s="35"/>
      <c r="C510" s="439"/>
      <c r="D510" s="439"/>
      <c r="E510" s="439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1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1"/>
      <c r="B511" s="35"/>
      <c r="C511" s="439"/>
      <c r="D511" s="439"/>
      <c r="E511" s="439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1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1"/>
      <c r="B512" s="35"/>
      <c r="C512" s="439"/>
      <c r="D512" s="439"/>
      <c r="E512" s="439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1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1"/>
      <c r="B513" s="35"/>
      <c r="C513" s="439"/>
      <c r="D513" s="439"/>
      <c r="E513" s="439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1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1"/>
      <c r="B514" s="35"/>
      <c r="C514" s="439"/>
      <c r="D514" s="439"/>
      <c r="E514" s="439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1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1"/>
      <c r="B515" s="35"/>
      <c r="C515" s="439"/>
      <c r="D515" s="439"/>
      <c r="E515" s="439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1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1"/>
      <c r="B516" s="35"/>
      <c r="C516" s="439"/>
      <c r="D516" s="439"/>
      <c r="E516" s="439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1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1"/>
      <c r="B517" s="35"/>
      <c r="C517" s="439"/>
      <c r="D517" s="439"/>
      <c r="E517" s="439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1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1"/>
      <c r="B518" s="35"/>
      <c r="C518" s="439"/>
      <c r="D518" s="439"/>
      <c r="E518" s="439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1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1"/>
      <c r="B519" s="35"/>
      <c r="C519" s="439"/>
      <c r="D519" s="439"/>
      <c r="E519" s="439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1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1"/>
      <c r="B520" s="35"/>
      <c r="C520" s="439"/>
      <c r="D520" s="439"/>
      <c r="E520" s="439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1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1"/>
      <c r="B521" s="35"/>
      <c r="C521" s="439"/>
      <c r="D521" s="439"/>
      <c r="E521" s="439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1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1"/>
      <c r="B522" s="35"/>
      <c r="C522" s="439"/>
      <c r="D522" s="439"/>
      <c r="E522" s="439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1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1"/>
      <c r="B523" s="35"/>
      <c r="C523" s="439"/>
      <c r="D523" s="439"/>
      <c r="E523" s="439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1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1"/>
      <c r="B524" s="35"/>
      <c r="C524" s="439"/>
      <c r="D524" s="439"/>
      <c r="E524" s="439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1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1"/>
      <c r="B525" s="35"/>
      <c r="C525" s="439"/>
      <c r="D525" s="439"/>
      <c r="E525" s="439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1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1"/>
      <c r="B526" s="35"/>
      <c r="C526" s="439"/>
      <c r="D526" s="439"/>
      <c r="E526" s="439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1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1"/>
      <c r="B527" s="35"/>
      <c r="C527" s="439"/>
      <c r="D527" s="439"/>
      <c r="E527" s="439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1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1"/>
      <c r="B528" s="35"/>
      <c r="C528" s="439"/>
      <c r="D528" s="439"/>
      <c r="E528" s="439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1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1"/>
      <c r="B529" s="35"/>
      <c r="C529" s="439"/>
      <c r="D529" s="439"/>
      <c r="E529" s="439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1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1"/>
      <c r="B530" s="35"/>
      <c r="C530" s="439"/>
      <c r="D530" s="439"/>
      <c r="E530" s="439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1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1"/>
      <c r="B531" s="35"/>
      <c r="C531" s="439"/>
      <c r="D531" s="439"/>
      <c r="E531" s="439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1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1"/>
      <c r="B532" s="35"/>
      <c r="C532" s="439"/>
      <c r="D532" s="439"/>
      <c r="E532" s="439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1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1"/>
      <c r="B533" s="35"/>
      <c r="C533" s="439"/>
      <c r="D533" s="439"/>
      <c r="E533" s="439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1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1"/>
      <c r="B534" s="35"/>
      <c r="C534" s="439"/>
      <c r="D534" s="439"/>
      <c r="E534" s="439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1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1"/>
      <c r="B535" s="35"/>
      <c r="C535" s="439"/>
      <c r="D535" s="439"/>
      <c r="E535" s="439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1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1"/>
      <c r="B536" s="35"/>
      <c r="C536" s="439"/>
      <c r="D536" s="439"/>
      <c r="E536" s="439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1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1"/>
      <c r="B537" s="35"/>
      <c r="C537" s="439"/>
      <c r="D537" s="439"/>
      <c r="E537" s="439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1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1"/>
      <c r="B538" s="35"/>
      <c r="C538" s="439"/>
      <c r="D538" s="439"/>
      <c r="E538" s="439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1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1"/>
      <c r="B539" s="35"/>
      <c r="C539" s="439"/>
      <c r="D539" s="439"/>
      <c r="E539" s="439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1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1"/>
      <c r="B540" s="35"/>
      <c r="C540" s="439"/>
      <c r="D540" s="439"/>
      <c r="E540" s="439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1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1"/>
      <c r="B541" s="35"/>
      <c r="C541" s="439"/>
      <c r="D541" s="439"/>
      <c r="E541" s="439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1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1"/>
      <c r="B542" s="35"/>
      <c r="C542" s="439"/>
      <c r="D542" s="439"/>
      <c r="E542" s="439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1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1"/>
      <c r="B543" s="35"/>
      <c r="C543" s="439"/>
      <c r="D543" s="439"/>
      <c r="E543" s="439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1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1"/>
      <c r="B544" s="35"/>
      <c r="C544" s="439"/>
      <c r="D544" s="439"/>
      <c r="E544" s="439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1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1"/>
      <c r="B545" s="35"/>
      <c r="C545" s="439"/>
      <c r="D545" s="439"/>
      <c r="E545" s="439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1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1"/>
      <c r="B546" s="35"/>
      <c r="C546" s="439"/>
      <c r="D546" s="439"/>
      <c r="E546" s="439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1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1"/>
      <c r="B547" s="35"/>
      <c r="C547" s="439"/>
      <c r="D547" s="439"/>
      <c r="E547" s="439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1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1"/>
      <c r="B548" s="35"/>
      <c r="C548" s="439"/>
      <c r="D548" s="439"/>
      <c r="E548" s="439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1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1"/>
      <c r="B549" s="35"/>
      <c r="C549" s="439"/>
      <c r="D549" s="439"/>
      <c r="E549" s="439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1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1"/>
      <c r="B550" s="35"/>
      <c r="C550" s="439"/>
      <c r="D550" s="439"/>
      <c r="E550" s="439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1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1"/>
      <c r="B551" s="35"/>
      <c r="C551" s="439"/>
      <c r="D551" s="439"/>
      <c r="E551" s="439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1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1"/>
      <c r="B552" s="35"/>
      <c r="C552" s="439"/>
      <c r="D552" s="439"/>
      <c r="E552" s="439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1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1"/>
      <c r="B553" s="35"/>
      <c r="C553" s="439"/>
      <c r="D553" s="439"/>
      <c r="E553" s="439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1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1"/>
      <c r="B554" s="35"/>
      <c r="C554" s="439"/>
      <c r="D554" s="439"/>
      <c r="E554" s="439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1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1"/>
      <c r="B555" s="35"/>
      <c r="C555" s="439"/>
      <c r="D555" s="439"/>
      <c r="E555" s="439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1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1"/>
      <c r="B556" s="35"/>
      <c r="C556" s="439"/>
      <c r="D556" s="439"/>
      <c r="E556" s="439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1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1"/>
      <c r="B557" s="35"/>
      <c r="C557" s="439"/>
      <c r="D557" s="439"/>
      <c r="E557" s="439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1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1"/>
      <c r="B558" s="35"/>
      <c r="C558" s="439"/>
      <c r="D558" s="439"/>
      <c r="E558" s="439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1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1"/>
      <c r="B559" s="35"/>
      <c r="C559" s="439"/>
      <c r="D559" s="439"/>
      <c r="E559" s="439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1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1"/>
      <c r="B560" s="35"/>
      <c r="C560" s="439"/>
      <c r="D560" s="439"/>
      <c r="E560" s="439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1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1"/>
      <c r="B561" s="35"/>
      <c r="C561" s="439"/>
      <c r="D561" s="439"/>
      <c r="E561" s="439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1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1"/>
      <c r="B562" s="35"/>
      <c r="C562" s="439"/>
      <c r="D562" s="439"/>
      <c r="E562" s="439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1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1"/>
      <c r="B563" s="35"/>
      <c r="C563" s="439"/>
      <c r="D563" s="439"/>
      <c r="E563" s="439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1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1"/>
      <c r="B564" s="35"/>
      <c r="C564" s="439"/>
      <c r="D564" s="439"/>
      <c r="E564" s="439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1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1"/>
      <c r="B565" s="35"/>
      <c r="C565" s="439"/>
      <c r="D565" s="439"/>
      <c r="E565" s="439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1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1"/>
      <c r="B566" s="35"/>
      <c r="C566" s="439"/>
      <c r="D566" s="439"/>
      <c r="E566" s="439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1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1"/>
      <c r="B567" s="35"/>
      <c r="C567" s="439"/>
      <c r="D567" s="439"/>
      <c r="E567" s="439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1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1"/>
      <c r="B568" s="35"/>
      <c r="C568" s="439"/>
      <c r="D568" s="439"/>
      <c r="E568" s="439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1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1"/>
      <c r="B569" s="35"/>
      <c r="C569" s="439"/>
      <c r="D569" s="439"/>
      <c r="E569" s="439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1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1"/>
      <c r="B570" s="35"/>
      <c r="C570" s="439"/>
      <c r="D570" s="439"/>
      <c r="E570" s="439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1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1"/>
      <c r="B571" s="35"/>
      <c r="C571" s="439"/>
      <c r="D571" s="439"/>
      <c r="E571" s="439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1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1"/>
      <c r="B572" s="35"/>
      <c r="C572" s="439"/>
      <c r="D572" s="439"/>
      <c r="E572" s="439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1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1"/>
      <c r="B573" s="35"/>
      <c r="C573" s="439"/>
      <c r="D573" s="439"/>
      <c r="E573" s="439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1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1"/>
      <c r="B574" s="35"/>
      <c r="C574" s="439"/>
      <c r="D574" s="439"/>
      <c r="E574" s="439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1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1"/>
      <c r="B575" s="35"/>
      <c r="C575" s="439"/>
      <c r="D575" s="439"/>
      <c r="E575" s="439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1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1"/>
      <c r="B576" s="35"/>
      <c r="C576" s="439"/>
      <c r="D576" s="439"/>
      <c r="E576" s="439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1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1"/>
      <c r="B577" s="35"/>
      <c r="C577" s="439"/>
      <c r="D577" s="439"/>
      <c r="E577" s="439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1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1"/>
      <c r="B578" s="35"/>
      <c r="C578" s="439"/>
      <c r="D578" s="439"/>
      <c r="E578" s="439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1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1"/>
      <c r="B579" s="35"/>
      <c r="C579" s="439"/>
      <c r="D579" s="439"/>
      <c r="E579" s="439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1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1"/>
      <c r="B580" s="35"/>
      <c r="C580" s="439"/>
      <c r="D580" s="439"/>
      <c r="E580" s="439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1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1"/>
      <c r="B581" s="35"/>
      <c r="C581" s="439"/>
      <c r="D581" s="439"/>
      <c r="E581" s="439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1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1"/>
      <c r="B582" s="35"/>
      <c r="C582" s="439"/>
      <c r="D582" s="439"/>
      <c r="E582" s="439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1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1"/>
      <c r="B583" s="35"/>
      <c r="C583" s="439"/>
      <c r="D583" s="439"/>
      <c r="E583" s="439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1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1"/>
      <c r="B584" s="35"/>
      <c r="C584" s="439"/>
      <c r="D584" s="439"/>
      <c r="E584" s="439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1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1"/>
      <c r="B585" s="35"/>
      <c r="C585" s="439"/>
      <c r="D585" s="439"/>
      <c r="E585" s="439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1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1"/>
      <c r="B586" s="35"/>
      <c r="C586" s="439"/>
      <c r="D586" s="439"/>
      <c r="E586" s="439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1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1"/>
      <c r="B587" s="35"/>
      <c r="C587" s="439"/>
      <c r="D587" s="439"/>
      <c r="E587" s="439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1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1"/>
      <c r="B588" s="35"/>
      <c r="C588" s="439"/>
      <c r="D588" s="439"/>
      <c r="E588" s="439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1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1"/>
      <c r="B589" s="35"/>
      <c r="C589" s="439"/>
      <c r="D589" s="439"/>
      <c r="E589" s="439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1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1"/>
      <c r="B590" s="35"/>
      <c r="C590" s="439"/>
      <c r="D590" s="439"/>
      <c r="E590" s="439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1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1"/>
      <c r="B591" s="35"/>
      <c r="C591" s="439"/>
      <c r="D591" s="439"/>
      <c r="E591" s="439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1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1"/>
      <c r="B592" s="35"/>
      <c r="C592" s="439"/>
      <c r="D592" s="439"/>
      <c r="E592" s="439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1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1"/>
      <c r="B593" s="35"/>
      <c r="C593" s="439"/>
      <c r="D593" s="439"/>
      <c r="E593" s="439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1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1"/>
      <c r="B594" s="35"/>
      <c r="C594" s="439"/>
      <c r="D594" s="439"/>
      <c r="E594" s="439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1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1"/>
      <c r="B595" s="35"/>
      <c r="C595" s="439"/>
      <c r="D595" s="439"/>
      <c r="E595" s="439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1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1"/>
      <c r="B596" s="35"/>
      <c r="C596" s="439"/>
      <c r="D596" s="439"/>
      <c r="E596" s="439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1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1"/>
      <c r="B597" s="35"/>
      <c r="C597" s="439"/>
      <c r="D597" s="439"/>
      <c r="E597" s="439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1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1"/>
      <c r="B598" s="35"/>
      <c r="C598" s="439"/>
      <c r="D598" s="439"/>
      <c r="E598" s="439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1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1"/>
      <c r="B599" s="35"/>
      <c r="C599" s="439"/>
      <c r="D599" s="439"/>
      <c r="E599" s="439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1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1"/>
      <c r="B600" s="35"/>
      <c r="C600" s="439"/>
      <c r="D600" s="439"/>
      <c r="E600" s="439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1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1"/>
      <c r="B601" s="35"/>
      <c r="C601" s="439"/>
      <c r="D601" s="439"/>
      <c r="E601" s="439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1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1"/>
      <c r="B602" s="35"/>
      <c r="C602" s="439"/>
      <c r="D602" s="439"/>
      <c r="E602" s="439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1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1"/>
      <c r="B603" s="35"/>
      <c r="C603" s="439"/>
      <c r="D603" s="439"/>
      <c r="E603" s="439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1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1"/>
      <c r="B604" s="35"/>
      <c r="C604" s="439"/>
      <c r="D604" s="439"/>
      <c r="E604" s="439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1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1"/>
      <c r="B605" s="35"/>
      <c r="C605" s="439"/>
      <c r="D605" s="439"/>
      <c r="E605" s="439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1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1"/>
      <c r="B606" s="35"/>
      <c r="C606" s="439"/>
      <c r="D606" s="439"/>
      <c r="E606" s="439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1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1"/>
      <c r="B607" s="35"/>
      <c r="C607" s="439"/>
      <c r="D607" s="439"/>
      <c r="E607" s="439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1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1"/>
      <c r="B608" s="35"/>
      <c r="C608" s="439"/>
      <c r="D608" s="439"/>
      <c r="E608" s="439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1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1"/>
      <c r="B609" s="35"/>
      <c r="C609" s="439"/>
      <c r="D609" s="439"/>
      <c r="E609" s="439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1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1"/>
      <c r="B610" s="35"/>
      <c r="C610" s="439"/>
      <c r="D610" s="439"/>
      <c r="E610" s="439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1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1"/>
      <c r="B611" s="35"/>
      <c r="C611" s="439"/>
      <c r="D611" s="439"/>
      <c r="E611" s="439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1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1"/>
      <c r="B612" s="35"/>
      <c r="C612" s="439"/>
      <c r="D612" s="439"/>
      <c r="E612" s="439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1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1"/>
      <c r="B613" s="35"/>
      <c r="C613" s="439"/>
      <c r="D613" s="439"/>
      <c r="E613" s="439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1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1"/>
      <c r="B614" s="35"/>
      <c r="C614" s="439"/>
      <c r="D614" s="439"/>
      <c r="E614" s="439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1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1"/>
      <c r="B615" s="35"/>
      <c r="C615" s="439"/>
      <c r="D615" s="439"/>
      <c r="E615" s="439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1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1"/>
      <c r="B616" s="35"/>
      <c r="C616" s="439"/>
      <c r="D616" s="439"/>
      <c r="E616" s="439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1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1"/>
      <c r="B617" s="35"/>
      <c r="C617" s="439"/>
      <c r="D617" s="439"/>
      <c r="E617" s="439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1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1"/>
      <c r="B618" s="35"/>
      <c r="C618" s="439"/>
      <c r="D618" s="439"/>
      <c r="E618" s="439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1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1"/>
      <c r="B619" s="35"/>
      <c r="C619" s="439"/>
      <c r="D619" s="439"/>
      <c r="E619" s="439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1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1"/>
      <c r="B620" s="35"/>
      <c r="C620" s="439"/>
      <c r="D620" s="439"/>
      <c r="E620" s="439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1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1"/>
      <c r="B621" s="35"/>
      <c r="C621" s="439"/>
      <c r="D621" s="439"/>
      <c r="E621" s="439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1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1"/>
      <c r="B622" s="35"/>
      <c r="C622" s="439"/>
      <c r="D622" s="439"/>
      <c r="E622" s="439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1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1"/>
      <c r="B623" s="35"/>
      <c r="C623" s="439"/>
      <c r="D623" s="439"/>
      <c r="E623" s="439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1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1"/>
      <c r="B624" s="35"/>
      <c r="C624" s="439"/>
      <c r="D624" s="439"/>
      <c r="E624" s="439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1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1"/>
      <c r="B625" s="35"/>
      <c r="C625" s="439"/>
      <c r="D625" s="439"/>
      <c r="E625" s="439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1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1"/>
      <c r="B626" s="35"/>
      <c r="C626" s="439"/>
      <c r="D626" s="439"/>
      <c r="E626" s="439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1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1"/>
      <c r="B627" s="35"/>
      <c r="C627" s="439"/>
      <c r="D627" s="439"/>
      <c r="E627" s="439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1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1"/>
      <c r="B628" s="35"/>
      <c r="C628" s="439"/>
      <c r="D628" s="439"/>
      <c r="E628" s="439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1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1"/>
      <c r="B629" s="35"/>
      <c r="C629" s="439"/>
      <c r="D629" s="439"/>
      <c r="E629" s="439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1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1"/>
      <c r="B630" s="35"/>
      <c r="C630" s="439"/>
      <c r="D630" s="439"/>
      <c r="E630" s="439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1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1"/>
      <c r="B631" s="35"/>
      <c r="C631" s="439"/>
      <c r="D631" s="439"/>
      <c r="E631" s="439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1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1"/>
      <c r="B632" s="35"/>
      <c r="C632" s="439"/>
      <c r="D632" s="439"/>
      <c r="E632" s="439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1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1"/>
      <c r="B633" s="35"/>
      <c r="C633" s="439"/>
      <c r="D633" s="439"/>
      <c r="E633" s="439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1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1"/>
      <c r="B634" s="35"/>
      <c r="C634" s="439"/>
      <c r="D634" s="439"/>
      <c r="E634" s="439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1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1"/>
      <c r="B635" s="35"/>
      <c r="C635" s="439"/>
      <c r="D635" s="439"/>
      <c r="E635" s="439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1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1"/>
      <c r="B636" s="35"/>
      <c r="C636" s="439"/>
      <c r="D636" s="439"/>
      <c r="E636" s="439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1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1"/>
      <c r="B637" s="35"/>
      <c r="C637" s="439"/>
      <c r="D637" s="439"/>
      <c r="E637" s="439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1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1"/>
      <c r="B638" s="35"/>
      <c r="C638" s="439"/>
      <c r="D638" s="439"/>
      <c r="E638" s="439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1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1"/>
      <c r="B639" s="35"/>
      <c r="C639" s="439"/>
      <c r="D639" s="439"/>
      <c r="E639" s="439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1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1"/>
      <c r="B640" s="35"/>
      <c r="C640" s="439"/>
      <c r="D640" s="439"/>
      <c r="E640" s="439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1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1"/>
      <c r="B641" s="35"/>
      <c r="C641" s="439"/>
      <c r="D641" s="439"/>
      <c r="E641" s="439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1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1"/>
      <c r="B642" s="35"/>
      <c r="C642" s="439"/>
      <c r="D642" s="439"/>
      <c r="E642" s="439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1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1"/>
      <c r="B643" s="35"/>
      <c r="C643" s="439"/>
      <c r="D643" s="439"/>
      <c r="E643" s="439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1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1"/>
      <c r="B644" s="35"/>
      <c r="C644" s="439"/>
      <c r="D644" s="439"/>
      <c r="E644" s="439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1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1"/>
      <c r="B645" s="35"/>
      <c r="C645" s="439"/>
      <c r="D645" s="439"/>
      <c r="E645" s="439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1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1"/>
      <c r="B646" s="35"/>
      <c r="C646" s="439"/>
      <c r="D646" s="439"/>
      <c r="E646" s="439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1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1"/>
      <c r="B647" s="35"/>
      <c r="C647" s="439"/>
      <c r="D647" s="439"/>
      <c r="E647" s="439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1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1"/>
      <c r="B648" s="35"/>
      <c r="C648" s="439"/>
      <c r="D648" s="439"/>
      <c r="E648" s="439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1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1"/>
      <c r="B649" s="35"/>
      <c r="C649" s="439"/>
      <c r="D649" s="439"/>
      <c r="E649" s="439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1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1"/>
      <c r="B650" s="35"/>
      <c r="C650" s="439"/>
      <c r="D650" s="439"/>
      <c r="E650" s="439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1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1"/>
      <c r="B651" s="35"/>
      <c r="C651" s="439"/>
      <c r="D651" s="439"/>
      <c r="E651" s="439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1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1"/>
      <c r="B652" s="35"/>
      <c r="C652" s="439"/>
      <c r="D652" s="439"/>
      <c r="E652" s="439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1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1"/>
      <c r="B653" s="35"/>
      <c r="C653" s="439"/>
      <c r="D653" s="439"/>
      <c r="E653" s="439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1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1"/>
      <c r="B654" s="35"/>
      <c r="C654" s="439"/>
      <c r="D654" s="439"/>
      <c r="E654" s="439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1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1"/>
      <c r="B655" s="35"/>
      <c r="C655" s="439"/>
      <c r="D655" s="439"/>
      <c r="E655" s="439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1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1"/>
      <c r="B656" s="35"/>
      <c r="C656" s="439"/>
      <c r="D656" s="439"/>
      <c r="E656" s="439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1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1"/>
      <c r="B657" s="35"/>
      <c r="C657" s="439"/>
      <c r="D657" s="439"/>
      <c r="E657" s="439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1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1"/>
      <c r="B658" s="35"/>
      <c r="C658" s="439"/>
      <c r="D658" s="439"/>
      <c r="E658" s="439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1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1"/>
      <c r="B659" s="35"/>
      <c r="C659" s="439"/>
      <c r="D659" s="439"/>
      <c r="E659" s="439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1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1"/>
      <c r="B660" s="35"/>
      <c r="C660" s="439"/>
      <c r="D660" s="439"/>
      <c r="E660" s="439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1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1"/>
      <c r="B661" s="35"/>
      <c r="C661" s="439"/>
      <c r="D661" s="439"/>
      <c r="E661" s="439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1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1"/>
      <c r="B662" s="35"/>
      <c r="C662" s="439"/>
      <c r="D662" s="439"/>
      <c r="E662" s="439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1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1"/>
      <c r="B663" s="35"/>
      <c r="C663" s="439"/>
      <c r="D663" s="439"/>
      <c r="E663" s="439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1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1"/>
      <c r="B664" s="35"/>
      <c r="C664" s="439"/>
      <c r="D664" s="439"/>
      <c r="E664" s="439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1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1"/>
      <c r="B665" s="35"/>
      <c r="C665" s="439"/>
      <c r="D665" s="439"/>
      <c r="E665" s="439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1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1"/>
      <c r="B666" s="35"/>
      <c r="C666" s="439"/>
      <c r="D666" s="439"/>
      <c r="E666" s="439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1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1"/>
      <c r="B667" s="35"/>
      <c r="C667" s="439"/>
      <c r="D667" s="439"/>
      <c r="E667" s="439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1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1"/>
      <c r="B668" s="35"/>
      <c r="C668" s="439"/>
      <c r="D668" s="439"/>
      <c r="E668" s="439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1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1"/>
      <c r="B669" s="35"/>
      <c r="C669" s="439"/>
      <c r="D669" s="439"/>
      <c r="E669" s="439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1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1"/>
      <c r="B670" s="35"/>
      <c r="C670" s="439"/>
      <c r="D670" s="439"/>
      <c r="E670" s="439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1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1"/>
      <c r="B671" s="35"/>
      <c r="C671" s="439"/>
      <c r="D671" s="439"/>
      <c r="E671" s="439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1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1"/>
      <c r="B672" s="35"/>
      <c r="C672" s="439"/>
      <c r="D672" s="439"/>
      <c r="E672" s="439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1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1"/>
      <c r="B673" s="35"/>
      <c r="C673" s="439"/>
      <c r="D673" s="439"/>
      <c r="E673" s="439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1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1"/>
      <c r="B674" s="35"/>
      <c r="C674" s="439"/>
      <c r="D674" s="439"/>
      <c r="E674" s="439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1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1"/>
      <c r="B675" s="35"/>
      <c r="C675" s="439"/>
      <c r="D675" s="439"/>
      <c r="E675" s="439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1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1"/>
      <c r="B676" s="35"/>
      <c r="C676" s="439"/>
      <c r="D676" s="439"/>
      <c r="E676" s="439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1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1"/>
      <c r="B677" s="35"/>
      <c r="C677" s="439"/>
      <c r="D677" s="439"/>
      <c r="E677" s="439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1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1"/>
      <c r="B678" s="35"/>
      <c r="C678" s="439"/>
      <c r="D678" s="439"/>
      <c r="E678" s="439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1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1"/>
      <c r="B679" s="35"/>
      <c r="C679" s="439"/>
      <c r="D679" s="439"/>
      <c r="E679" s="439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1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1"/>
      <c r="B680" s="35"/>
      <c r="C680" s="439"/>
      <c r="D680" s="439"/>
      <c r="E680" s="439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1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1"/>
      <c r="B681" s="35"/>
      <c r="C681" s="439"/>
      <c r="D681" s="439"/>
      <c r="E681" s="439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1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1"/>
      <c r="B682" s="35"/>
      <c r="C682" s="439"/>
      <c r="D682" s="439"/>
      <c r="E682" s="439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1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1"/>
      <c r="B683" s="35"/>
      <c r="C683" s="439"/>
      <c r="D683" s="439"/>
      <c r="E683" s="439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1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1"/>
      <c r="B684" s="35"/>
      <c r="C684" s="439"/>
      <c r="D684" s="439"/>
      <c r="E684" s="439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1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1"/>
      <c r="B685" s="35"/>
      <c r="C685" s="439"/>
      <c r="D685" s="439"/>
      <c r="E685" s="439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1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1"/>
      <c r="B686" s="35"/>
      <c r="C686" s="439"/>
      <c r="D686" s="439"/>
      <c r="E686" s="439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1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1"/>
      <c r="B687" s="35"/>
      <c r="C687" s="439"/>
      <c r="D687" s="439"/>
      <c r="E687" s="439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1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1"/>
      <c r="B688" s="35"/>
      <c r="C688" s="439"/>
      <c r="D688" s="439"/>
      <c r="E688" s="439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1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1"/>
      <c r="B689" s="35"/>
      <c r="C689" s="439"/>
      <c r="D689" s="439"/>
      <c r="E689" s="439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1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1"/>
      <c r="B690" s="35"/>
      <c r="C690" s="439"/>
      <c r="D690" s="439"/>
      <c r="E690" s="439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1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1"/>
      <c r="B691" s="35"/>
      <c r="C691" s="439"/>
      <c r="D691" s="439"/>
      <c r="E691" s="439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1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1"/>
      <c r="B692" s="35"/>
      <c r="C692" s="439"/>
      <c r="D692" s="439"/>
      <c r="E692" s="439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1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1"/>
      <c r="B693" s="35"/>
      <c r="C693" s="439"/>
      <c r="D693" s="439"/>
      <c r="E693" s="439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1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1"/>
      <c r="B694" s="35"/>
      <c r="C694" s="439"/>
      <c r="D694" s="439"/>
      <c r="E694" s="439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1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1"/>
      <c r="B695" s="35"/>
      <c r="C695" s="439"/>
      <c r="D695" s="439"/>
      <c r="E695" s="439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1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1"/>
      <c r="B696" s="35"/>
      <c r="C696" s="439"/>
      <c r="D696" s="439"/>
      <c r="E696" s="439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1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1"/>
      <c r="B697" s="35"/>
      <c r="C697" s="439"/>
      <c r="D697" s="439"/>
      <c r="E697" s="439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1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1"/>
      <c r="B698" s="35"/>
      <c r="C698" s="439"/>
      <c r="D698" s="439"/>
      <c r="E698" s="439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1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1"/>
      <c r="B699" s="35"/>
      <c r="C699" s="439"/>
      <c r="D699" s="439"/>
      <c r="E699" s="439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1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1"/>
      <c r="B700" s="35"/>
      <c r="C700" s="439"/>
      <c r="D700" s="439"/>
      <c r="E700" s="439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1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1"/>
      <c r="B701" s="35"/>
      <c r="C701" s="439"/>
      <c r="D701" s="439"/>
      <c r="E701" s="439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1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1"/>
      <c r="B702" s="35"/>
      <c r="C702" s="439"/>
      <c r="D702" s="439"/>
      <c r="E702" s="439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1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1"/>
      <c r="B703" s="35"/>
      <c r="C703" s="439"/>
      <c r="D703" s="439"/>
      <c r="E703" s="439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1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1"/>
      <c r="B704" s="35"/>
      <c r="C704" s="439"/>
      <c r="D704" s="439"/>
      <c r="E704" s="439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1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1"/>
      <c r="B705" s="35"/>
      <c r="C705" s="439"/>
      <c r="D705" s="439"/>
      <c r="E705" s="439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1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1"/>
      <c r="B706" s="35"/>
      <c r="C706" s="439"/>
      <c r="D706" s="439"/>
      <c r="E706" s="439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1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1"/>
      <c r="B707" s="35"/>
      <c r="C707" s="439"/>
      <c r="D707" s="439"/>
      <c r="E707" s="439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1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1"/>
      <c r="B708" s="35"/>
      <c r="C708" s="439"/>
      <c r="D708" s="439"/>
      <c r="E708" s="439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1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1"/>
      <c r="B709" s="35"/>
      <c r="C709" s="439"/>
      <c r="D709" s="439"/>
      <c r="E709" s="439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1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1"/>
      <c r="B710" s="35"/>
      <c r="C710" s="439"/>
      <c r="D710" s="439"/>
      <c r="E710" s="439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1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1"/>
      <c r="B711" s="35"/>
      <c r="C711" s="439"/>
      <c r="D711" s="439"/>
      <c r="E711" s="439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1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1"/>
      <c r="B712" s="35"/>
      <c r="C712" s="439"/>
      <c r="D712" s="439"/>
      <c r="E712" s="439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1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1"/>
      <c r="B713" s="35"/>
      <c r="C713" s="439"/>
      <c r="D713" s="439"/>
      <c r="E713" s="439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1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1"/>
      <c r="B714" s="35"/>
      <c r="C714" s="439"/>
      <c r="D714" s="439"/>
      <c r="E714" s="439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1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1"/>
      <c r="B715" s="35"/>
      <c r="C715" s="439"/>
      <c r="D715" s="439"/>
      <c r="E715" s="439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1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1"/>
      <c r="B716" s="35"/>
      <c r="C716" s="439"/>
      <c r="D716" s="439"/>
      <c r="E716" s="439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1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1"/>
      <c r="B717" s="35"/>
      <c r="C717" s="439"/>
      <c r="D717" s="439"/>
      <c r="E717" s="439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1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1"/>
      <c r="B718" s="35"/>
      <c r="C718" s="439"/>
      <c r="D718" s="439"/>
      <c r="E718" s="439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1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1"/>
      <c r="B719" s="35"/>
      <c r="C719" s="439"/>
      <c r="D719" s="439"/>
      <c r="E719" s="439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1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1"/>
      <c r="B720" s="35"/>
      <c r="C720" s="439"/>
      <c r="D720" s="439"/>
      <c r="E720" s="439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1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1"/>
      <c r="B721" s="35"/>
      <c r="C721" s="439"/>
      <c r="D721" s="439"/>
      <c r="E721" s="439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1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1"/>
      <c r="B722" s="35"/>
      <c r="C722" s="439"/>
      <c r="D722" s="439"/>
      <c r="E722" s="439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1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1"/>
      <c r="B723" s="35"/>
      <c r="C723" s="439"/>
      <c r="D723" s="439"/>
      <c r="E723" s="439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1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1"/>
      <c r="B724" s="35"/>
      <c r="C724" s="439"/>
      <c r="D724" s="439"/>
      <c r="E724" s="439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1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1"/>
      <c r="B725" s="35"/>
      <c r="C725" s="439"/>
      <c r="D725" s="439"/>
      <c r="E725" s="439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1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1"/>
      <c r="B726" s="35"/>
      <c r="C726" s="439"/>
      <c r="D726" s="439"/>
      <c r="E726" s="439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1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1"/>
      <c r="B727" s="35"/>
      <c r="C727" s="439"/>
      <c r="D727" s="439"/>
      <c r="E727" s="439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1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1"/>
      <c r="B728" s="35"/>
      <c r="C728" s="439"/>
      <c r="D728" s="439"/>
      <c r="E728" s="439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1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1"/>
      <c r="B729" s="35"/>
      <c r="C729" s="439"/>
      <c r="D729" s="439"/>
      <c r="E729" s="439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1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1"/>
      <c r="B730" s="35"/>
      <c r="C730" s="439"/>
      <c r="D730" s="439"/>
      <c r="E730" s="439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1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1"/>
      <c r="B731" s="35"/>
      <c r="C731" s="439"/>
      <c r="D731" s="439"/>
      <c r="E731" s="439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1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1"/>
      <c r="B732" s="35"/>
      <c r="C732" s="439"/>
      <c r="D732" s="439"/>
      <c r="E732" s="439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1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1"/>
      <c r="B733" s="35"/>
      <c r="C733" s="439"/>
      <c r="D733" s="439"/>
      <c r="E733" s="439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1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1"/>
      <c r="B734" s="35"/>
      <c r="C734" s="439"/>
      <c r="D734" s="439"/>
      <c r="E734" s="439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1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1"/>
      <c r="B735" s="35"/>
      <c r="C735" s="439"/>
      <c r="D735" s="439"/>
      <c r="E735" s="439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1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1"/>
      <c r="B736" s="35"/>
      <c r="C736" s="439"/>
      <c r="D736" s="439"/>
      <c r="E736" s="439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1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1"/>
      <c r="B737" s="35"/>
      <c r="C737" s="439"/>
      <c r="D737" s="439"/>
      <c r="E737" s="439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1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1"/>
      <c r="B738" s="35"/>
      <c r="C738" s="439"/>
      <c r="D738" s="439"/>
      <c r="E738" s="439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1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1"/>
      <c r="B739" s="35"/>
      <c r="C739" s="439"/>
      <c r="D739" s="439"/>
      <c r="E739" s="439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1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1"/>
      <c r="B740" s="35"/>
      <c r="C740" s="439"/>
      <c r="D740" s="439"/>
      <c r="E740" s="439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1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1"/>
      <c r="B741" s="35"/>
      <c r="C741" s="439"/>
      <c r="D741" s="439"/>
      <c r="E741" s="439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1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1"/>
      <c r="B742" s="35"/>
      <c r="C742" s="439"/>
      <c r="D742" s="439"/>
      <c r="E742" s="439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1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1"/>
      <c r="B743" s="35"/>
      <c r="C743" s="439"/>
      <c r="D743" s="439"/>
      <c r="E743" s="439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1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1"/>
      <c r="B744" s="35"/>
      <c r="C744" s="439"/>
      <c r="D744" s="439"/>
      <c r="E744" s="439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1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1"/>
      <c r="B745" s="35"/>
      <c r="C745" s="439"/>
      <c r="D745" s="439"/>
      <c r="E745" s="439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1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1"/>
      <c r="B746" s="35"/>
      <c r="C746" s="439"/>
      <c r="D746" s="439"/>
      <c r="E746" s="439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1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1"/>
      <c r="B747" s="35"/>
      <c r="C747" s="439"/>
      <c r="D747" s="439"/>
      <c r="E747" s="439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1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1"/>
      <c r="B748" s="35"/>
      <c r="C748" s="439"/>
      <c r="D748" s="439"/>
      <c r="E748" s="439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1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1"/>
      <c r="B749" s="35"/>
      <c r="C749" s="439"/>
      <c r="D749" s="439"/>
      <c r="E749" s="439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1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1"/>
      <c r="B750" s="35"/>
      <c r="C750" s="439"/>
      <c r="D750" s="439"/>
      <c r="E750" s="439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1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1"/>
      <c r="B751" s="35"/>
      <c r="C751" s="439"/>
      <c r="D751" s="439"/>
      <c r="E751" s="439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1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1"/>
      <c r="B752" s="35"/>
      <c r="C752" s="439"/>
      <c r="D752" s="439"/>
      <c r="E752" s="439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1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1"/>
      <c r="B753" s="35"/>
      <c r="C753" s="439"/>
      <c r="D753" s="439"/>
      <c r="E753" s="439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1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1"/>
      <c r="B754" s="35"/>
      <c r="C754" s="439"/>
      <c r="D754" s="439"/>
      <c r="E754" s="439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1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1"/>
      <c r="B755" s="35"/>
      <c r="C755" s="439"/>
      <c r="D755" s="439"/>
      <c r="E755" s="439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1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1"/>
      <c r="B756" s="35"/>
      <c r="C756" s="439"/>
      <c r="D756" s="439"/>
      <c r="E756" s="439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1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1"/>
      <c r="B757" s="35"/>
      <c r="C757" s="439"/>
      <c r="D757" s="439"/>
      <c r="E757" s="439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1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1"/>
      <c r="B758" s="35"/>
      <c r="C758" s="439"/>
      <c r="D758" s="439"/>
      <c r="E758" s="439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1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1"/>
      <c r="B759" s="35"/>
      <c r="C759" s="439"/>
      <c r="D759" s="439"/>
      <c r="E759" s="439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1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1"/>
      <c r="B760" s="35"/>
      <c r="C760" s="439"/>
      <c r="D760" s="439"/>
      <c r="E760" s="439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1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1"/>
      <c r="B761" s="35"/>
      <c r="C761" s="439"/>
      <c r="D761" s="439"/>
      <c r="E761" s="439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1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1"/>
      <c r="B762" s="35"/>
      <c r="C762" s="439"/>
      <c r="D762" s="439"/>
      <c r="E762" s="439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1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1"/>
      <c r="B763" s="35"/>
      <c r="C763" s="439"/>
      <c r="D763" s="439"/>
      <c r="E763" s="439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1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1"/>
      <c r="B764" s="35"/>
      <c r="C764" s="439"/>
      <c r="D764" s="439"/>
      <c r="E764" s="439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1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1"/>
      <c r="B765" s="35"/>
      <c r="C765" s="439"/>
      <c r="D765" s="439"/>
      <c r="E765" s="439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1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1"/>
      <c r="B766" s="35"/>
      <c r="C766" s="439"/>
      <c r="D766" s="439"/>
      <c r="E766" s="439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1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1"/>
      <c r="B767" s="35"/>
      <c r="C767" s="439"/>
      <c r="D767" s="439"/>
      <c r="E767" s="439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1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1"/>
      <c r="B768" s="35"/>
      <c r="C768" s="439"/>
      <c r="D768" s="439"/>
      <c r="E768" s="439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1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1"/>
      <c r="B769" s="35"/>
      <c r="C769" s="439"/>
      <c r="D769" s="439"/>
      <c r="E769" s="439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1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1"/>
      <c r="B770" s="35"/>
      <c r="C770" s="439"/>
      <c r="D770" s="439"/>
      <c r="E770" s="439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1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1"/>
      <c r="B771" s="35"/>
      <c r="C771" s="439"/>
      <c r="D771" s="439"/>
      <c r="E771" s="439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1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1"/>
      <c r="B772" s="35"/>
      <c r="C772" s="439"/>
      <c r="D772" s="439"/>
      <c r="E772" s="439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1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1"/>
      <c r="B773" s="35"/>
      <c r="C773" s="439"/>
      <c r="D773" s="439"/>
      <c r="E773" s="439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1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1"/>
      <c r="B774" s="35"/>
      <c r="C774" s="439"/>
      <c r="D774" s="439"/>
      <c r="E774" s="439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1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1"/>
      <c r="B775" s="35"/>
      <c r="C775" s="439"/>
      <c r="D775" s="439"/>
      <c r="E775" s="439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1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1"/>
      <c r="B776" s="35"/>
      <c r="C776" s="439"/>
      <c r="D776" s="439"/>
      <c r="E776" s="439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1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1"/>
      <c r="B777" s="35"/>
      <c r="C777" s="439"/>
      <c r="D777" s="439"/>
      <c r="E777" s="439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1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1"/>
      <c r="B778" s="35"/>
      <c r="C778" s="439"/>
      <c r="D778" s="439"/>
      <c r="E778" s="439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1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1"/>
      <c r="B779" s="35"/>
      <c r="C779" s="439"/>
      <c r="D779" s="439"/>
      <c r="E779" s="439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1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1"/>
      <c r="B780" s="35"/>
      <c r="C780" s="439"/>
      <c r="D780" s="439"/>
      <c r="E780" s="439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1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1"/>
      <c r="B781" s="35"/>
      <c r="C781" s="439"/>
      <c r="D781" s="439"/>
      <c r="E781" s="439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1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1"/>
      <c r="B782" s="35"/>
      <c r="C782" s="439"/>
      <c r="D782" s="439"/>
      <c r="E782" s="439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1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1"/>
      <c r="B783" s="35"/>
      <c r="C783" s="439"/>
      <c r="D783" s="439"/>
      <c r="E783" s="439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1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1"/>
      <c r="B784" s="35"/>
      <c r="C784" s="439"/>
      <c r="D784" s="439"/>
      <c r="E784" s="439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1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1"/>
      <c r="B785" s="35"/>
      <c r="C785" s="439"/>
      <c r="D785" s="439"/>
      <c r="E785" s="439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1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1"/>
      <c r="B786" s="35"/>
      <c r="C786" s="439"/>
      <c r="D786" s="439"/>
      <c r="E786" s="439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1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1"/>
      <c r="B787" s="35"/>
      <c r="C787" s="439"/>
      <c r="D787" s="439"/>
      <c r="E787" s="439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1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1"/>
      <c r="B788" s="35"/>
      <c r="C788" s="439"/>
      <c r="D788" s="439"/>
      <c r="E788" s="439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1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1"/>
      <c r="B789" s="35"/>
      <c r="C789" s="439"/>
      <c r="D789" s="439"/>
      <c r="E789" s="439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1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1"/>
      <c r="B790" s="35"/>
      <c r="C790" s="439"/>
      <c r="D790" s="439"/>
      <c r="E790" s="439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1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1"/>
      <c r="B791" s="35"/>
      <c r="C791" s="439"/>
      <c r="D791" s="439"/>
      <c r="E791" s="439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1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1"/>
      <c r="B792" s="35"/>
      <c r="C792" s="439"/>
      <c r="D792" s="439"/>
      <c r="E792" s="439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1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1"/>
      <c r="B793" s="35"/>
      <c r="C793" s="439"/>
      <c r="D793" s="439"/>
      <c r="E793" s="439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1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1"/>
      <c r="B794" s="35"/>
      <c r="C794" s="439"/>
      <c r="D794" s="439"/>
      <c r="E794" s="439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1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1"/>
      <c r="B795" s="35"/>
      <c r="C795" s="439"/>
      <c r="D795" s="439"/>
      <c r="E795" s="439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1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1"/>
      <c r="B796" s="35"/>
      <c r="C796" s="439"/>
      <c r="D796" s="439"/>
      <c r="E796" s="439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1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1"/>
      <c r="B797" s="35"/>
      <c r="C797" s="439"/>
      <c r="D797" s="439"/>
      <c r="E797" s="439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1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1"/>
      <c r="B798" s="35"/>
      <c r="C798" s="439"/>
      <c r="D798" s="439"/>
      <c r="E798" s="439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1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1"/>
      <c r="B799" s="35"/>
      <c r="C799" s="439"/>
      <c r="D799" s="439"/>
      <c r="E799" s="439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1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1"/>
      <c r="B800" s="35"/>
      <c r="C800" s="439"/>
      <c r="D800" s="439"/>
      <c r="E800" s="439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1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1"/>
      <c r="B801" s="35"/>
      <c r="C801" s="439"/>
      <c r="D801" s="439"/>
      <c r="E801" s="439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1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1"/>
      <c r="B802" s="35"/>
      <c r="C802" s="439"/>
      <c r="D802" s="439"/>
      <c r="E802" s="439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1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1"/>
      <c r="B803" s="35"/>
      <c r="C803" s="439"/>
      <c r="D803" s="439"/>
      <c r="E803" s="439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1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1"/>
      <c r="B804" s="35"/>
      <c r="C804" s="439"/>
      <c r="D804" s="439"/>
      <c r="E804" s="439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1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1"/>
      <c r="B805" s="35"/>
      <c r="C805" s="439"/>
      <c r="D805" s="439"/>
      <c r="E805" s="439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1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1"/>
      <c r="B806" s="35"/>
      <c r="C806" s="439"/>
      <c r="D806" s="439"/>
      <c r="E806" s="439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1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1"/>
      <c r="B807" s="35"/>
      <c r="C807" s="439"/>
      <c r="D807" s="439"/>
      <c r="E807" s="439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1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1"/>
      <c r="B808" s="35"/>
      <c r="C808" s="439"/>
      <c r="D808" s="439"/>
      <c r="E808" s="439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1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1"/>
      <c r="B809" s="35"/>
      <c r="C809" s="439"/>
      <c r="D809" s="439"/>
      <c r="E809" s="439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1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1"/>
      <c r="B810" s="35"/>
      <c r="C810" s="439"/>
      <c r="D810" s="439"/>
      <c r="E810" s="439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1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1"/>
      <c r="B811" s="35"/>
      <c r="C811" s="439"/>
      <c r="D811" s="439"/>
      <c r="E811" s="439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1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1"/>
      <c r="B812" s="35"/>
      <c r="C812" s="439"/>
      <c r="D812" s="439"/>
      <c r="E812" s="439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1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1"/>
      <c r="B813" s="35"/>
      <c r="C813" s="439"/>
      <c r="D813" s="439"/>
      <c r="E813" s="439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1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1"/>
      <c r="B814" s="35"/>
      <c r="C814" s="439"/>
      <c r="D814" s="439"/>
      <c r="E814" s="439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1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1"/>
      <c r="B815" s="35"/>
      <c r="C815" s="439"/>
      <c r="D815" s="439"/>
      <c r="E815" s="439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1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1"/>
      <c r="B816" s="35"/>
      <c r="C816" s="439"/>
      <c r="D816" s="439"/>
      <c r="E816" s="439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1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1"/>
      <c r="B817" s="35"/>
      <c r="C817" s="439"/>
      <c r="D817" s="439"/>
      <c r="E817" s="439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1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1"/>
      <c r="B818" s="35"/>
      <c r="C818" s="439"/>
      <c r="D818" s="439"/>
      <c r="E818" s="439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1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1"/>
      <c r="B819" s="35"/>
      <c r="C819" s="439"/>
      <c r="D819" s="439"/>
      <c r="E819" s="439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1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1"/>
      <c r="B820" s="35"/>
      <c r="C820" s="439"/>
      <c r="D820" s="439"/>
      <c r="E820" s="439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1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1"/>
      <c r="B821" s="35"/>
      <c r="C821" s="439"/>
      <c r="D821" s="439"/>
      <c r="E821" s="439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1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1"/>
      <c r="B822" s="35"/>
      <c r="C822" s="439"/>
      <c r="D822" s="439"/>
      <c r="E822" s="439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1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1"/>
      <c r="B823" s="35"/>
      <c r="C823" s="439"/>
      <c r="D823" s="439"/>
      <c r="E823" s="439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1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1"/>
      <c r="B824" s="35"/>
      <c r="C824" s="439"/>
      <c r="D824" s="439"/>
      <c r="E824" s="439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1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1"/>
      <c r="B825" s="35"/>
      <c r="C825" s="439"/>
      <c r="D825" s="439"/>
      <c r="E825" s="439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1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1"/>
      <c r="B826" s="35"/>
      <c r="C826" s="439"/>
      <c r="D826" s="439"/>
      <c r="E826" s="439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1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1"/>
      <c r="B827" s="35"/>
      <c r="C827" s="439"/>
      <c r="D827" s="439"/>
      <c r="E827" s="439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1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1"/>
      <c r="B828" s="35"/>
      <c r="C828" s="439"/>
      <c r="D828" s="439"/>
      <c r="E828" s="439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1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1"/>
      <c r="B829" s="35"/>
      <c r="C829" s="439"/>
      <c r="D829" s="439"/>
      <c r="E829" s="439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1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1"/>
      <c r="B830" s="35"/>
      <c r="C830" s="439"/>
      <c r="D830" s="439"/>
      <c r="E830" s="439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1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1"/>
      <c r="B831" s="35"/>
      <c r="C831" s="439"/>
      <c r="D831" s="439"/>
      <c r="E831" s="439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1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1"/>
      <c r="B832" s="35"/>
      <c r="C832" s="439"/>
      <c r="D832" s="439"/>
      <c r="E832" s="439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1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1"/>
      <c r="B833" s="35"/>
      <c r="C833" s="439"/>
      <c r="D833" s="439"/>
      <c r="E833" s="439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1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1"/>
      <c r="B834" s="35"/>
      <c r="C834" s="439"/>
      <c r="D834" s="439"/>
      <c r="E834" s="439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1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1"/>
      <c r="B835" s="35"/>
      <c r="C835" s="439"/>
      <c r="D835" s="439"/>
      <c r="E835" s="439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1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1"/>
      <c r="B836" s="35"/>
      <c r="C836" s="439"/>
      <c r="D836" s="439"/>
      <c r="E836" s="439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1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1"/>
      <c r="B837" s="35"/>
      <c r="C837" s="439"/>
      <c r="D837" s="439"/>
      <c r="E837" s="439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1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1"/>
      <c r="B838" s="35"/>
      <c r="C838" s="439"/>
      <c r="D838" s="439"/>
      <c r="E838" s="439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1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1"/>
      <c r="B839" s="35"/>
      <c r="C839" s="439"/>
      <c r="D839" s="439"/>
      <c r="E839" s="439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1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1"/>
      <c r="B840" s="35"/>
      <c r="C840" s="439"/>
      <c r="D840" s="439"/>
      <c r="E840" s="439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1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1"/>
      <c r="B841" s="35"/>
      <c r="C841" s="439"/>
      <c r="D841" s="439"/>
      <c r="E841" s="439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1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1"/>
      <c r="B842" s="35"/>
      <c r="C842" s="439"/>
      <c r="D842" s="439"/>
      <c r="E842" s="439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1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1"/>
      <c r="B843" s="35"/>
      <c r="C843" s="439"/>
      <c r="D843" s="439"/>
      <c r="E843" s="439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1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1"/>
      <c r="B844" s="35"/>
      <c r="C844" s="439"/>
      <c r="D844" s="439"/>
      <c r="E844" s="439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1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1"/>
      <c r="B845" s="35"/>
      <c r="C845" s="439"/>
      <c r="D845" s="439"/>
      <c r="E845" s="439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1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1"/>
      <c r="B846" s="35"/>
      <c r="C846" s="439"/>
      <c r="D846" s="439"/>
      <c r="E846" s="439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1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1"/>
      <c r="B847" s="35"/>
      <c r="C847" s="439"/>
      <c r="D847" s="439"/>
      <c r="E847" s="439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1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1"/>
      <c r="B848" s="35"/>
      <c r="C848" s="439"/>
      <c r="D848" s="439"/>
      <c r="E848" s="439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1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1"/>
      <c r="B849" s="35"/>
      <c r="C849" s="439"/>
      <c r="D849" s="439"/>
      <c r="E849" s="439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1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1"/>
      <c r="B850" s="35"/>
      <c r="C850" s="439"/>
      <c r="D850" s="439"/>
      <c r="E850" s="439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1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1"/>
      <c r="B851" s="35"/>
      <c r="C851" s="439"/>
      <c r="D851" s="439"/>
      <c r="E851" s="439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1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1"/>
      <c r="B852" s="35"/>
      <c r="C852" s="439"/>
      <c r="D852" s="439"/>
      <c r="E852" s="439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1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1"/>
      <c r="B853" s="35"/>
      <c r="C853" s="439"/>
      <c r="D853" s="439"/>
      <c r="E853" s="439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1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1"/>
      <c r="B854" s="35"/>
      <c r="C854" s="439"/>
      <c r="D854" s="439"/>
      <c r="E854" s="439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1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1"/>
      <c r="B855" s="35"/>
      <c r="C855" s="439"/>
      <c r="D855" s="439"/>
      <c r="E855" s="439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1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1"/>
      <c r="B856" s="35"/>
      <c r="C856" s="439"/>
      <c r="D856" s="439"/>
      <c r="E856" s="439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1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1"/>
      <c r="B857" s="35"/>
      <c r="C857" s="439"/>
      <c r="D857" s="439"/>
      <c r="E857" s="439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1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1"/>
      <c r="B858" s="35"/>
      <c r="C858" s="439"/>
      <c r="D858" s="439"/>
      <c r="E858" s="439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1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1"/>
      <c r="B859" s="35"/>
      <c r="C859" s="439"/>
      <c r="D859" s="439"/>
      <c r="E859" s="439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1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1"/>
      <c r="B860" s="35"/>
      <c r="C860" s="439"/>
      <c r="D860" s="439"/>
      <c r="E860" s="439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1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1"/>
      <c r="B861" s="35"/>
      <c r="C861" s="439"/>
      <c r="D861" s="439"/>
      <c r="E861" s="439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1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1"/>
      <c r="B862" s="35"/>
      <c r="C862" s="439"/>
      <c r="D862" s="439"/>
      <c r="E862" s="439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1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1"/>
      <c r="B863" s="35"/>
      <c r="C863" s="439"/>
      <c r="D863" s="439"/>
      <c r="E863" s="439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1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1"/>
      <c r="B864" s="35"/>
      <c r="C864" s="439"/>
      <c r="D864" s="439"/>
      <c r="E864" s="439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1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1"/>
      <c r="B865" s="35"/>
      <c r="C865" s="439"/>
      <c r="D865" s="439"/>
      <c r="E865" s="439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1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1"/>
      <c r="B866" s="35"/>
      <c r="C866" s="439"/>
      <c r="D866" s="439"/>
      <c r="E866" s="439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1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1"/>
      <c r="B867" s="35"/>
      <c r="C867" s="439"/>
      <c r="D867" s="439"/>
      <c r="E867" s="439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1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1"/>
      <c r="B868" s="35"/>
      <c r="C868" s="439"/>
      <c r="D868" s="439"/>
      <c r="E868" s="439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1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1"/>
      <c r="B869" s="35"/>
      <c r="C869" s="439"/>
      <c r="D869" s="439"/>
      <c r="E869" s="439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1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1"/>
      <c r="B870" s="35"/>
      <c r="C870" s="439"/>
      <c r="D870" s="439"/>
      <c r="E870" s="439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1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1"/>
      <c r="B871" s="35"/>
      <c r="C871" s="439"/>
      <c r="D871" s="439"/>
      <c r="E871" s="439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1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1"/>
      <c r="B872" s="35"/>
      <c r="C872" s="439"/>
      <c r="D872" s="439"/>
      <c r="E872" s="439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1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1"/>
      <c r="B873" s="35"/>
      <c r="C873" s="439"/>
      <c r="D873" s="439"/>
      <c r="E873" s="439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1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1"/>
      <c r="B874" s="35"/>
      <c r="C874" s="439"/>
      <c r="D874" s="439"/>
      <c r="E874" s="439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1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1"/>
      <c r="B875" s="35"/>
      <c r="C875" s="439"/>
      <c r="D875" s="439"/>
      <c r="E875" s="439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1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1"/>
      <c r="B876" s="35"/>
      <c r="C876" s="439"/>
      <c r="D876" s="439"/>
      <c r="E876" s="439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1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1"/>
      <c r="B877" s="35"/>
      <c r="C877" s="439"/>
      <c r="D877" s="439"/>
      <c r="E877" s="439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1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1"/>
      <c r="B878" s="35"/>
      <c r="C878" s="439"/>
      <c r="D878" s="439"/>
      <c r="E878" s="439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1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1"/>
      <c r="B879" s="35"/>
      <c r="C879" s="439"/>
      <c r="D879" s="439"/>
      <c r="E879" s="439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1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1"/>
      <c r="B880" s="35"/>
      <c r="C880" s="439"/>
      <c r="D880" s="439"/>
      <c r="E880" s="439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1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1"/>
      <c r="B881" s="35"/>
      <c r="C881" s="439"/>
      <c r="D881" s="439"/>
      <c r="E881" s="439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1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1"/>
      <c r="B882" s="35"/>
      <c r="C882" s="439"/>
      <c r="D882" s="439"/>
      <c r="E882" s="439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1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1"/>
      <c r="B883" s="35"/>
      <c r="C883" s="439"/>
      <c r="D883" s="439"/>
      <c r="E883" s="439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1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1"/>
      <c r="B884" s="35"/>
      <c r="C884" s="439"/>
      <c r="D884" s="439"/>
      <c r="E884" s="439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1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1"/>
      <c r="B885" s="35"/>
      <c r="C885" s="439"/>
      <c r="D885" s="439"/>
      <c r="E885" s="439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1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1"/>
      <c r="B886" s="35"/>
      <c r="C886" s="439"/>
      <c r="D886" s="439"/>
      <c r="E886" s="439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1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1"/>
      <c r="B887" s="35"/>
      <c r="C887" s="439"/>
      <c r="D887" s="439"/>
      <c r="E887" s="439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1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1"/>
      <c r="B888" s="35"/>
      <c r="C888" s="439"/>
      <c r="D888" s="439"/>
      <c r="E888" s="439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1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1"/>
      <c r="B889" s="35"/>
      <c r="C889" s="439"/>
      <c r="D889" s="439"/>
      <c r="E889" s="439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1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1"/>
      <c r="B890" s="35"/>
      <c r="C890" s="439"/>
      <c r="D890" s="439"/>
      <c r="E890" s="439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1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1"/>
      <c r="B891" s="35"/>
      <c r="C891" s="439"/>
      <c r="D891" s="439"/>
      <c r="E891" s="439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1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1"/>
      <c r="B892" s="35"/>
      <c r="C892" s="439"/>
      <c r="D892" s="439"/>
      <c r="E892" s="439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1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1"/>
      <c r="B893" s="35"/>
      <c r="C893" s="439"/>
      <c r="D893" s="439"/>
      <c r="E893" s="439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1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1"/>
      <c r="B894" s="35"/>
      <c r="C894" s="439"/>
      <c r="D894" s="439"/>
      <c r="E894" s="439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1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1"/>
      <c r="B895" s="35"/>
      <c r="C895" s="439"/>
      <c r="D895" s="439"/>
      <c r="E895" s="439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1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1"/>
      <c r="B896" s="35"/>
      <c r="C896" s="439"/>
      <c r="D896" s="439"/>
      <c r="E896" s="439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1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1"/>
      <c r="B897" s="35"/>
      <c r="C897" s="439"/>
      <c r="D897" s="439"/>
      <c r="E897" s="439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1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1"/>
      <c r="B898" s="35"/>
      <c r="C898" s="439"/>
      <c r="D898" s="439"/>
      <c r="E898" s="439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1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1"/>
      <c r="B899" s="35"/>
      <c r="C899" s="439"/>
      <c r="D899" s="439"/>
      <c r="E899" s="439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1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1"/>
      <c r="B900" s="35"/>
      <c r="C900" s="439"/>
      <c r="D900" s="439"/>
      <c r="E900" s="439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1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1"/>
      <c r="B901" s="35"/>
      <c r="C901" s="439"/>
      <c r="D901" s="439"/>
      <c r="E901" s="439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1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1"/>
      <c r="B902" s="35"/>
      <c r="C902" s="439"/>
      <c r="D902" s="439"/>
      <c r="E902" s="439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1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1"/>
      <c r="B903" s="35"/>
      <c r="C903" s="439"/>
      <c r="D903" s="439"/>
      <c r="E903" s="439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1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1"/>
      <c r="B904" s="35"/>
      <c r="C904" s="439"/>
      <c r="D904" s="439"/>
      <c r="E904" s="439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1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1"/>
      <c r="B905" s="35"/>
      <c r="C905" s="439"/>
      <c r="D905" s="439"/>
      <c r="E905" s="439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1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1"/>
      <c r="B906" s="35"/>
      <c r="C906" s="439"/>
      <c r="D906" s="439"/>
      <c r="E906" s="439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1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1"/>
      <c r="B907" s="35"/>
      <c r="C907" s="439"/>
      <c r="D907" s="439"/>
      <c r="E907" s="439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1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1"/>
      <c r="B908" s="35"/>
      <c r="C908" s="439"/>
      <c r="D908" s="439"/>
      <c r="E908" s="439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1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1"/>
      <c r="B909" s="35"/>
      <c r="C909" s="439"/>
      <c r="D909" s="439"/>
      <c r="E909" s="439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1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1"/>
      <c r="B910" s="35"/>
      <c r="C910" s="439"/>
      <c r="D910" s="439"/>
      <c r="E910" s="439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1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1"/>
      <c r="B911" s="35"/>
      <c r="C911" s="439"/>
      <c r="D911" s="439"/>
      <c r="E911" s="439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1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1"/>
      <c r="B912" s="35"/>
      <c r="C912" s="439"/>
      <c r="D912" s="439"/>
      <c r="E912" s="439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1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1"/>
      <c r="B913" s="35"/>
      <c r="C913" s="439"/>
      <c r="D913" s="439"/>
      <c r="E913" s="439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1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1"/>
      <c r="B914" s="35"/>
      <c r="C914" s="439"/>
      <c r="D914" s="439"/>
      <c r="E914" s="439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1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1"/>
      <c r="B915" s="35"/>
      <c r="C915" s="439"/>
      <c r="D915" s="439"/>
      <c r="E915" s="439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1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1"/>
      <c r="B916" s="35"/>
      <c r="C916" s="439"/>
      <c r="D916" s="439"/>
      <c r="E916" s="439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1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1"/>
      <c r="B917" s="35"/>
      <c r="C917" s="439"/>
      <c r="D917" s="439"/>
      <c r="E917" s="439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1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1"/>
      <c r="B918" s="35"/>
      <c r="C918" s="439"/>
      <c r="D918" s="439"/>
      <c r="E918" s="439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1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1"/>
      <c r="B919" s="35"/>
      <c r="C919" s="439"/>
      <c r="D919" s="439"/>
      <c r="E919" s="439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1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1"/>
      <c r="B920" s="35"/>
      <c r="C920" s="439"/>
      <c r="D920" s="439"/>
      <c r="E920" s="439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1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1"/>
      <c r="B921" s="35"/>
      <c r="C921" s="439"/>
      <c r="D921" s="439"/>
      <c r="E921" s="439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1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1"/>
      <c r="B922" s="35"/>
      <c r="C922" s="439"/>
      <c r="D922" s="439"/>
      <c r="E922" s="439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1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1"/>
      <c r="B923" s="35"/>
      <c r="C923" s="439"/>
      <c r="D923" s="439"/>
      <c r="E923" s="439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1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1"/>
      <c r="B924" s="35"/>
      <c r="C924" s="439"/>
      <c r="D924" s="439"/>
      <c r="E924" s="439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1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1"/>
      <c r="B925" s="35"/>
      <c r="C925" s="439"/>
      <c r="D925" s="439"/>
      <c r="E925" s="439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1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1"/>
      <c r="B926" s="35"/>
      <c r="C926" s="439"/>
      <c r="D926" s="439"/>
      <c r="E926" s="439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1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1"/>
      <c r="B927" s="35"/>
      <c r="C927" s="439"/>
      <c r="D927" s="439"/>
      <c r="E927" s="439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1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1"/>
      <c r="B928" s="35"/>
      <c r="C928" s="439"/>
      <c r="D928" s="439"/>
      <c r="E928" s="439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1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1"/>
      <c r="B929" s="35"/>
      <c r="C929" s="439"/>
      <c r="D929" s="439"/>
      <c r="E929" s="439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1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1"/>
      <c r="B930" s="35"/>
      <c r="C930" s="439"/>
      <c r="D930" s="439"/>
      <c r="E930" s="439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1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1"/>
      <c r="B931" s="35"/>
      <c r="C931" s="439"/>
      <c r="D931" s="439"/>
      <c r="E931" s="439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1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1"/>
      <c r="B932" s="35"/>
      <c r="C932" s="439"/>
      <c r="D932" s="439"/>
      <c r="E932" s="439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1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1"/>
      <c r="B933" s="35"/>
      <c r="C933" s="439"/>
      <c r="D933" s="439"/>
      <c r="E933" s="439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1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1"/>
      <c r="B934" s="35"/>
      <c r="C934" s="439"/>
      <c r="D934" s="439"/>
      <c r="E934" s="439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1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1"/>
      <c r="B935" s="35"/>
      <c r="C935" s="439"/>
      <c r="D935" s="439"/>
      <c r="E935" s="439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1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1"/>
      <c r="B936" s="35"/>
      <c r="C936" s="439"/>
      <c r="D936" s="439"/>
      <c r="E936" s="439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1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1"/>
      <c r="B937" s="35"/>
      <c r="C937" s="439"/>
      <c r="D937" s="439"/>
      <c r="E937" s="439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1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1"/>
      <c r="B938" s="35"/>
      <c r="C938" s="439"/>
      <c r="D938" s="439"/>
      <c r="E938" s="439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1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1"/>
      <c r="B939" s="35"/>
      <c r="C939" s="439"/>
      <c r="D939" s="439"/>
      <c r="E939" s="439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1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1"/>
      <c r="B940" s="35"/>
      <c r="C940" s="439"/>
      <c r="D940" s="439"/>
      <c r="E940" s="439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1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1"/>
      <c r="B941" s="35"/>
      <c r="C941" s="439"/>
      <c r="D941" s="439"/>
      <c r="E941" s="439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1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1"/>
      <c r="B942" s="35"/>
      <c r="C942" s="439"/>
      <c r="D942" s="439"/>
      <c r="E942" s="439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1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1"/>
      <c r="B943" s="35"/>
      <c r="C943" s="439"/>
      <c r="D943" s="439"/>
      <c r="E943" s="439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1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1"/>
      <c r="B944" s="35"/>
      <c r="C944" s="439"/>
      <c r="D944" s="439"/>
      <c r="E944" s="439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1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1"/>
      <c r="B945" s="35"/>
      <c r="C945" s="439"/>
      <c r="D945" s="439"/>
      <c r="E945" s="439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1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1"/>
      <c r="B946" s="35"/>
      <c r="C946" s="439"/>
      <c r="D946" s="439"/>
      <c r="E946" s="439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1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1"/>
      <c r="B947" s="35"/>
      <c r="C947" s="439"/>
      <c r="D947" s="439"/>
      <c r="E947" s="439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1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1"/>
      <c r="B948" s="35"/>
      <c r="C948" s="439"/>
      <c r="D948" s="439"/>
      <c r="E948" s="439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1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1"/>
      <c r="B949" s="35"/>
      <c r="C949" s="439"/>
      <c r="D949" s="439"/>
      <c r="E949" s="439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1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1"/>
      <c r="B950" s="35"/>
      <c r="C950" s="439"/>
      <c r="D950" s="439"/>
      <c r="E950" s="439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1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1"/>
      <c r="B951" s="35"/>
      <c r="C951" s="439"/>
      <c r="D951" s="439"/>
      <c r="E951" s="439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1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1"/>
      <c r="B952" s="35"/>
      <c r="C952" s="439"/>
      <c r="D952" s="439"/>
      <c r="E952" s="439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1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1"/>
      <c r="B953" s="35"/>
      <c r="C953" s="439"/>
      <c r="D953" s="439"/>
      <c r="E953" s="439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1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1"/>
      <c r="B954" s="35"/>
      <c r="C954" s="439"/>
      <c r="D954" s="439"/>
      <c r="E954" s="439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1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1"/>
      <c r="B955" s="35"/>
      <c r="C955" s="439"/>
      <c r="D955" s="439"/>
      <c r="E955" s="439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1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1"/>
      <c r="B956" s="35"/>
      <c r="C956" s="439"/>
      <c r="D956" s="439"/>
      <c r="E956" s="439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1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1"/>
      <c r="B957" s="35"/>
      <c r="C957" s="439"/>
      <c r="D957" s="439"/>
      <c r="E957" s="439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1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1"/>
      <c r="B958" s="35"/>
      <c r="C958" s="439"/>
      <c r="D958" s="439"/>
      <c r="E958" s="439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1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1"/>
      <c r="B959" s="35"/>
      <c r="C959" s="439"/>
      <c r="D959" s="439"/>
      <c r="E959" s="439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1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1"/>
      <c r="B960" s="35"/>
      <c r="C960" s="439"/>
      <c r="D960" s="439"/>
      <c r="E960" s="439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1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1"/>
      <c r="B961" s="35"/>
      <c r="C961" s="439"/>
      <c r="D961" s="439"/>
      <c r="E961" s="439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1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1"/>
      <c r="B962" s="35"/>
      <c r="C962" s="439"/>
      <c r="D962" s="439"/>
      <c r="E962" s="439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1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1"/>
      <c r="B963" s="35"/>
      <c r="C963" s="439"/>
      <c r="D963" s="439"/>
      <c r="E963" s="439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1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1"/>
      <c r="B964" s="35"/>
      <c r="C964" s="439"/>
      <c r="D964" s="439"/>
      <c r="E964" s="439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1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1"/>
      <c r="B965" s="35"/>
      <c r="C965" s="439"/>
      <c r="D965" s="439"/>
      <c r="E965" s="439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1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1"/>
      <c r="B966" s="35"/>
      <c r="C966" s="439"/>
      <c r="D966" s="439"/>
      <c r="E966" s="439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1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1"/>
      <c r="B967" s="35"/>
      <c r="C967" s="439"/>
      <c r="D967" s="439"/>
      <c r="E967" s="439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1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1"/>
      <c r="B968" s="35"/>
      <c r="C968" s="439"/>
      <c r="D968" s="439"/>
      <c r="E968" s="439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1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1"/>
      <c r="B969" s="35"/>
      <c r="C969" s="439"/>
      <c r="D969" s="439"/>
      <c r="E969" s="439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1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1"/>
      <c r="B970" s="35"/>
      <c r="C970" s="439"/>
      <c r="D970" s="439"/>
      <c r="E970" s="439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1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1"/>
      <c r="B971" s="35"/>
      <c r="C971" s="439"/>
      <c r="D971" s="439"/>
      <c r="E971" s="439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1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1"/>
      <c r="B972" s="35"/>
      <c r="C972" s="439"/>
      <c r="D972" s="439"/>
      <c r="E972" s="439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1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1"/>
      <c r="B973" s="35"/>
      <c r="C973" s="439"/>
      <c r="D973" s="439"/>
      <c r="E973" s="439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1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1"/>
      <c r="B974" s="35"/>
      <c r="C974" s="439"/>
      <c r="D974" s="439"/>
      <c r="E974" s="439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1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1"/>
      <c r="B975" s="35"/>
      <c r="C975" s="439"/>
      <c r="D975" s="439"/>
      <c r="E975" s="439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1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1"/>
      <c r="B976" s="35"/>
      <c r="C976" s="439"/>
      <c r="D976" s="439"/>
      <c r="E976" s="439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1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1"/>
      <c r="B977" s="35"/>
      <c r="C977" s="439"/>
      <c r="D977" s="439"/>
      <c r="E977" s="439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1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1"/>
      <c r="B978" s="35"/>
      <c r="C978" s="439"/>
      <c r="D978" s="439"/>
      <c r="E978" s="439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1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1"/>
      <c r="B979" s="35"/>
      <c r="C979" s="439"/>
      <c r="D979" s="439"/>
      <c r="E979" s="439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1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1"/>
      <c r="B980" s="35"/>
      <c r="C980" s="439"/>
      <c r="D980" s="439"/>
      <c r="E980" s="439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1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1"/>
      <c r="B981" s="35"/>
      <c r="C981" s="439"/>
      <c r="D981" s="439"/>
      <c r="E981" s="439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1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1"/>
      <c r="B982" s="35"/>
      <c r="C982" s="439"/>
      <c r="D982" s="439"/>
      <c r="E982" s="439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1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1"/>
      <c r="B983" s="35"/>
      <c r="C983" s="439"/>
      <c r="D983" s="439"/>
      <c r="E983" s="439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1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1"/>
      <c r="B984" s="35"/>
      <c r="C984" s="439"/>
      <c r="D984" s="439"/>
      <c r="E984" s="439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1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1"/>
      <c r="B985" s="35"/>
      <c r="C985" s="439"/>
      <c r="D985" s="439"/>
      <c r="E985" s="439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1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1"/>
      <c r="B986" s="35"/>
      <c r="C986" s="439"/>
      <c r="D986" s="439"/>
      <c r="E986" s="439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1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1"/>
      <c r="B987" s="35"/>
      <c r="C987" s="439"/>
      <c r="D987" s="439"/>
      <c r="E987" s="439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1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1"/>
      <c r="B988" s="35"/>
      <c r="C988" s="439"/>
      <c r="D988" s="439"/>
      <c r="E988" s="439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1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1"/>
      <c r="B989" s="35"/>
      <c r="C989" s="439"/>
      <c r="D989" s="439"/>
      <c r="E989" s="439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1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1"/>
      <c r="B990" s="35"/>
      <c r="C990" s="439"/>
      <c r="D990" s="439"/>
      <c r="E990" s="439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1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1"/>
      <c r="B991" s="35"/>
      <c r="C991" s="439"/>
      <c r="D991" s="439"/>
      <c r="E991" s="439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1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1"/>
      <c r="B992" s="35"/>
      <c r="C992" s="439"/>
      <c r="D992" s="439"/>
      <c r="E992" s="439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1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1"/>
      <c r="B993" s="35"/>
      <c r="C993" s="439"/>
      <c r="D993" s="439"/>
      <c r="E993" s="439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1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1"/>
      <c r="B994" s="35"/>
      <c r="C994" s="439"/>
      <c r="D994" s="439"/>
      <c r="E994" s="439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1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1"/>
      <c r="B995" s="35"/>
      <c r="C995" s="439"/>
      <c r="D995" s="439"/>
      <c r="E995" s="439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1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1"/>
      <c r="B996" s="35"/>
      <c r="C996" s="439"/>
      <c r="D996" s="439"/>
      <c r="E996" s="439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1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1"/>
      <c r="B997" s="35"/>
      <c r="C997" s="439"/>
      <c r="D997" s="439"/>
      <c r="E997" s="439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1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1"/>
      <c r="B998" s="35"/>
      <c r="C998" s="439"/>
      <c r="D998" s="439"/>
      <c r="E998" s="439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1"/>
      <c r="S998" s="35"/>
      <c r="T998" s="35"/>
      <c r="U998" s="35"/>
      <c r="V998" s="35"/>
      <c r="W998" s="35"/>
      <c r="X998" s="35"/>
      <c r="Y998" s="35"/>
      <c r="Z998" s="35"/>
    </row>
  </sheetData>
  <mergeCells count="42">
    <mergeCell ref="B3:B4"/>
    <mergeCell ref="C3:G3"/>
    <mergeCell ref="H3:L3"/>
    <mergeCell ref="M3:Q3"/>
    <mergeCell ref="C23:G23"/>
    <mergeCell ref="H23:L23"/>
    <mergeCell ref="M23:Q23"/>
    <mergeCell ref="B23:B24"/>
    <mergeCell ref="B43:B44"/>
    <mergeCell ref="C43:G43"/>
    <mergeCell ref="H43:L43"/>
    <mergeCell ref="M43:Q43"/>
    <mergeCell ref="B62:Q62"/>
    <mergeCell ref="B65:B66"/>
    <mergeCell ref="M65:Q65"/>
    <mergeCell ref="C65:G65"/>
    <mergeCell ref="H65:L65"/>
    <mergeCell ref="B87:B88"/>
    <mergeCell ref="C87:G87"/>
    <mergeCell ref="H87:L87"/>
    <mergeCell ref="M87:Q87"/>
    <mergeCell ref="B107:B108"/>
    <mergeCell ref="M107:Q107"/>
    <mergeCell ref="C107:G107"/>
    <mergeCell ref="H107:L107"/>
    <mergeCell ref="B129:B130"/>
    <mergeCell ref="C129:G129"/>
    <mergeCell ref="H129:L129"/>
    <mergeCell ref="M129:Q129"/>
    <mergeCell ref="B148:D148"/>
    <mergeCell ref="B171:B172"/>
    <mergeCell ref="B191:B192"/>
    <mergeCell ref="C191:G191"/>
    <mergeCell ref="H191:L191"/>
    <mergeCell ref="M191:Q191"/>
    <mergeCell ref="B152:B153"/>
    <mergeCell ref="C152:G152"/>
    <mergeCell ref="H152:L152"/>
    <mergeCell ref="M152:Q152"/>
    <mergeCell ref="C171:G171"/>
    <mergeCell ref="H171:L171"/>
    <mergeCell ref="M171:Q1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32.43"/>
    <col customWidth="1" min="3" max="5" width="11.29"/>
    <col customWidth="1" min="6" max="6" width="11.43"/>
    <col customWidth="1" min="7" max="7" width="13.29"/>
    <col customWidth="1" min="8" max="10" width="11.29"/>
    <col customWidth="1" min="11" max="12" width="11.86"/>
    <col customWidth="1" min="13" max="15" width="11.29"/>
    <col customWidth="1" min="16" max="17" width="13.29"/>
    <col customWidth="1" min="18" max="18" width="0.86"/>
    <col customWidth="1" min="19" max="19" width="14.86"/>
    <col customWidth="1" min="20" max="20" width="1.86"/>
    <col customWidth="1" min="21" max="21" width="14.71"/>
    <col customWidth="1" min="22" max="26" width="17.57"/>
  </cols>
  <sheetData>
    <row r="1">
      <c r="R1" s="1"/>
    </row>
    <row r="2" ht="15.0" customHeight="1">
      <c r="B2" s="408" t="s">
        <v>167</v>
      </c>
      <c r="C2" s="227" t="s">
        <v>123</v>
      </c>
      <c r="D2" s="228"/>
      <c r="E2" s="228"/>
      <c r="F2" s="228"/>
      <c r="G2" s="229"/>
      <c r="H2" s="318" t="s">
        <v>124</v>
      </c>
      <c r="I2" s="231"/>
      <c r="J2" s="231"/>
      <c r="K2" s="231"/>
      <c r="L2" s="232"/>
      <c r="M2" s="409" t="s">
        <v>3</v>
      </c>
      <c r="N2" s="231"/>
      <c r="O2" s="231"/>
      <c r="P2" s="231"/>
      <c r="Q2" s="232"/>
      <c r="R2" s="410"/>
    </row>
    <row r="3" ht="33.0" customHeight="1">
      <c r="B3" s="411"/>
      <c r="C3" s="234" t="s">
        <v>27</v>
      </c>
      <c r="D3" s="235" t="s">
        <v>30</v>
      </c>
      <c r="E3" s="236" t="s">
        <v>31</v>
      </c>
      <c r="F3" s="237" t="s">
        <v>32</v>
      </c>
      <c r="G3" s="238" t="s">
        <v>34</v>
      </c>
      <c r="H3" s="237" t="s">
        <v>27</v>
      </c>
      <c r="I3" s="237" t="s">
        <v>30</v>
      </c>
      <c r="J3" s="237" t="s">
        <v>31</v>
      </c>
      <c r="K3" s="237" t="s">
        <v>32</v>
      </c>
      <c r="L3" s="412" t="s">
        <v>34</v>
      </c>
      <c r="M3" s="234" t="s">
        <v>27</v>
      </c>
      <c r="N3" s="235" t="s">
        <v>30</v>
      </c>
      <c r="O3" s="236" t="s">
        <v>36</v>
      </c>
      <c r="P3" s="237" t="s">
        <v>38</v>
      </c>
      <c r="Q3" s="238" t="s">
        <v>39</v>
      </c>
      <c r="R3" s="413"/>
    </row>
    <row r="4">
      <c r="A4" s="414"/>
      <c r="B4" s="415" t="s">
        <v>40</v>
      </c>
      <c r="C4" s="416">
        <f>'DRE DCL E D-ESPAÇO'!B4/1000</f>
        <v>929.60876</v>
      </c>
      <c r="D4" s="57">
        <f>'DRE DCL E D-ESPAÇO'!C4/1000</f>
        <v>1174.46119</v>
      </c>
      <c r="E4" s="57">
        <f>'DRE DCL E D-ESPAÇO'!D4/1000</f>
        <v>1189.40498</v>
      </c>
      <c r="F4" s="357">
        <f t="shared" ref="F4:F6" si="1">IFERROR(E4/D4-1," ")</f>
        <v>0.01272395387</v>
      </c>
      <c r="G4" s="417">
        <f t="shared" ref="G4:G6" si="2">IFERROR(E4/C4-1," ")</f>
        <v>0.2794683432</v>
      </c>
      <c r="H4" s="416">
        <f>'DRE DCL E D-ESPAÇO'!H4/1000</f>
        <v>5653.60858</v>
      </c>
      <c r="I4" s="57">
        <f>'DRE DCL E D-ESPAÇO'!I4/1000</f>
        <v>6676.43245</v>
      </c>
      <c r="J4" s="418">
        <f>'DRE DCL E D-ESPAÇO'!J4/1000</f>
        <v>7037.30685</v>
      </c>
      <c r="K4" s="60">
        <f t="shared" ref="K4:K6" si="3">IFERROR(J4/I4-1," ")</f>
        <v>0.05405198101</v>
      </c>
      <c r="L4" s="62">
        <f t="shared" ref="L4:L6" si="4">IFERROR(J4/H4-1," ")</f>
        <v>0.2447460326</v>
      </c>
      <c r="M4" s="57">
        <f>'DRE DCL E D-ESPAÇO'!N4/1000</f>
        <v>12163.89057</v>
      </c>
      <c r="N4" s="57">
        <f>'DRE DCL E D-ESPAÇO'!O4/1000</f>
        <v>13536.55194</v>
      </c>
      <c r="O4" s="57">
        <f>'DRE DCL E D-ESPAÇO'!P4/1000</f>
        <v>14158.809</v>
      </c>
      <c r="P4" s="357">
        <f t="shared" ref="P4:P6" si="5">IFERROR(O4/N4-1," ")</f>
        <v>0.04596865308</v>
      </c>
      <c r="Q4" s="417">
        <f t="shared" ref="Q4:Q6" si="6">IFERROR(O4/M4-1," ")</f>
        <v>0.1640033194</v>
      </c>
      <c r="R4" s="357"/>
      <c r="S4" s="414"/>
      <c r="T4" s="414"/>
      <c r="U4" s="414"/>
      <c r="V4" s="414"/>
      <c r="W4" s="414"/>
      <c r="X4" s="414"/>
      <c r="Y4" s="414"/>
      <c r="Z4" s="414"/>
    </row>
    <row r="5">
      <c r="A5" s="414"/>
      <c r="B5" s="415" t="s">
        <v>71</v>
      </c>
      <c r="C5" s="416">
        <f>-'DRE DCL E D-ESPAÇO'!B5/1000</f>
        <v>-51.48516</v>
      </c>
      <c r="D5" s="419">
        <f>-'DRE DCL E D-ESPAÇO'!C5/1000</f>
        <v>-74.83227</v>
      </c>
      <c r="E5" s="419">
        <f>-'DRE DCL E D-ESPAÇO'!D5/1000</f>
        <v>-62.78813</v>
      </c>
      <c r="F5" s="357">
        <f t="shared" si="1"/>
        <v>-0.1609484785</v>
      </c>
      <c r="G5" s="417">
        <f t="shared" si="2"/>
        <v>0.2195384068</v>
      </c>
      <c r="H5" s="416">
        <f>-'DRE DCL E D-ESPAÇO'!H5/1000</f>
        <v>-323.6601</v>
      </c>
      <c r="I5" s="419">
        <f>-'DRE DCL E D-ESPAÇO'!I5/1000</f>
        <v>-430.04734</v>
      </c>
      <c r="J5" s="419">
        <f>-'DRE DCL E D-ESPAÇO'!J5/1000</f>
        <v>-509.34007</v>
      </c>
      <c r="K5" s="60">
        <f t="shared" si="3"/>
        <v>0.1843813986</v>
      </c>
      <c r="L5" s="62">
        <f t="shared" si="4"/>
        <v>0.5736881685</v>
      </c>
      <c r="M5" s="57">
        <f>-'DRE DCL E D-ESPAÇO'!N5/1000</f>
        <v>-799.44911</v>
      </c>
      <c r="N5" s="57">
        <f>-'DRE DCL E D-ESPAÇO'!O5/1000</f>
        <v>-879.06409</v>
      </c>
      <c r="O5" s="57">
        <f>-'DRE DCL E D-ESPAÇO'!P5/1000</f>
        <v>-945.916</v>
      </c>
      <c r="P5" s="357">
        <f t="shared" si="5"/>
        <v>0.07604896021</v>
      </c>
      <c r="Q5" s="417">
        <f t="shared" si="6"/>
        <v>0.183209773</v>
      </c>
      <c r="R5" s="357"/>
      <c r="S5" s="414"/>
      <c r="T5" s="414"/>
      <c r="U5" s="414"/>
      <c r="V5" s="414"/>
      <c r="W5" s="414"/>
      <c r="X5" s="414"/>
      <c r="Y5" s="414"/>
      <c r="Z5" s="414"/>
    </row>
    <row r="6">
      <c r="A6" s="414"/>
      <c r="B6" s="420" t="s">
        <v>85</v>
      </c>
      <c r="C6" s="421">
        <f t="shared" ref="C6:E6" si="7">C4+C5</f>
        <v>878.1236</v>
      </c>
      <c r="D6" s="389">
        <f t="shared" si="7"/>
        <v>1099.62892</v>
      </c>
      <c r="E6" s="389">
        <f t="shared" si="7"/>
        <v>1126.61685</v>
      </c>
      <c r="F6" s="357">
        <f t="shared" si="1"/>
        <v>0.02454276121</v>
      </c>
      <c r="G6" s="417">
        <f t="shared" si="2"/>
        <v>0.2829820882</v>
      </c>
      <c r="H6" s="421">
        <f t="shared" ref="H6:J6" si="8">H4+H5</f>
        <v>5329.94848</v>
      </c>
      <c r="I6" s="389">
        <f t="shared" si="8"/>
        <v>6246.38511</v>
      </c>
      <c r="J6" s="389">
        <f t="shared" si="8"/>
        <v>6527.96678</v>
      </c>
      <c r="K6" s="60">
        <f t="shared" si="3"/>
        <v>0.04507914018</v>
      </c>
      <c r="L6" s="62">
        <f t="shared" si="4"/>
        <v>0.2247710845</v>
      </c>
      <c r="M6" s="422">
        <f t="shared" ref="M6:O6" si="9">M4+M5</f>
        <v>11364.44146</v>
      </c>
      <c r="N6" s="248">
        <f t="shared" si="9"/>
        <v>12657.48785</v>
      </c>
      <c r="O6" s="248">
        <f t="shared" si="9"/>
        <v>13212.893</v>
      </c>
      <c r="P6" s="357">
        <f t="shared" si="5"/>
        <v>0.04387957204</v>
      </c>
      <c r="Q6" s="417">
        <f t="shared" si="6"/>
        <v>0.1626522119</v>
      </c>
      <c r="R6" s="357"/>
      <c r="S6" s="414"/>
      <c r="T6" s="414"/>
      <c r="U6" s="414"/>
      <c r="V6" s="414"/>
      <c r="W6" s="414"/>
      <c r="X6" s="414"/>
      <c r="Y6" s="414"/>
      <c r="Z6" s="414"/>
    </row>
    <row r="7">
      <c r="A7" s="414"/>
      <c r="B7" s="415" t="s">
        <v>73</v>
      </c>
      <c r="C7" s="146">
        <v>0.0</v>
      </c>
      <c r="D7" s="146">
        <v>0.0</v>
      </c>
      <c r="E7" s="146">
        <v>0.0</v>
      </c>
      <c r="F7" s="146">
        <v>0.0</v>
      </c>
      <c r="G7" s="146">
        <v>0.0</v>
      </c>
      <c r="H7" s="146">
        <v>0.0</v>
      </c>
      <c r="I7" s="146">
        <v>0.0</v>
      </c>
      <c r="J7" s="146">
        <v>0.0</v>
      </c>
      <c r="K7" s="146">
        <v>0.0</v>
      </c>
      <c r="L7" s="146">
        <v>0.0</v>
      </c>
      <c r="M7" s="146">
        <v>0.0</v>
      </c>
      <c r="N7" s="146">
        <v>0.0</v>
      </c>
      <c r="O7" s="146">
        <v>0.0</v>
      </c>
      <c r="P7" s="146">
        <v>0.0</v>
      </c>
      <c r="Q7" s="146">
        <v>0.0</v>
      </c>
      <c r="R7" s="357"/>
      <c r="S7" s="414"/>
      <c r="T7" s="414"/>
      <c r="U7" s="414"/>
      <c r="V7" s="414"/>
      <c r="W7" s="414"/>
      <c r="X7" s="414"/>
      <c r="Y7" s="414"/>
      <c r="Z7" s="414"/>
    </row>
    <row r="8">
      <c r="A8" s="414"/>
      <c r="B8" s="415" t="s">
        <v>75</v>
      </c>
      <c r="C8" s="421">
        <f t="shared" ref="C8:E8" si="10">C6+C7</f>
        <v>878.1236</v>
      </c>
      <c r="D8" s="389">
        <f t="shared" si="10"/>
        <v>1099.62892</v>
      </c>
      <c r="E8" s="389">
        <f t="shared" si="10"/>
        <v>1126.61685</v>
      </c>
      <c r="F8" s="357">
        <f t="shared" ref="F8:F18" si="13">IFERROR(E8/D8-1," ")</f>
        <v>0.02454276121</v>
      </c>
      <c r="G8" s="417">
        <f t="shared" ref="G8:G18" si="14">IFERROR(E8/C8-1," ")</f>
        <v>0.2829820882</v>
      </c>
      <c r="H8" s="421">
        <f t="shared" ref="H8:J8" si="11">H6</f>
        <v>5329.94848</v>
      </c>
      <c r="I8" s="389">
        <f t="shared" si="11"/>
        <v>6246.38511</v>
      </c>
      <c r="J8" s="389">
        <f t="shared" si="11"/>
        <v>6527.96678</v>
      </c>
      <c r="K8" s="60">
        <f t="shared" ref="K8:K18" si="15">IFERROR(J8/I8-1," ")</f>
        <v>0.04507914018</v>
      </c>
      <c r="L8" s="62">
        <f t="shared" ref="L8:L18" si="16">IFERROR(J8/H8-1," ")</f>
        <v>0.2247710845</v>
      </c>
      <c r="M8" s="422">
        <f t="shared" ref="M8:O8" si="12">M6+M7</f>
        <v>11364.44146</v>
      </c>
      <c r="N8" s="248">
        <f t="shared" si="12"/>
        <v>12657.48785</v>
      </c>
      <c r="O8" s="248">
        <f t="shared" si="12"/>
        <v>13212.893</v>
      </c>
      <c r="P8" s="357">
        <f t="shared" ref="P8:P18" si="17">IFERROR(O8/N8-1," ")</f>
        <v>0.04387957204</v>
      </c>
      <c r="Q8" s="417">
        <f t="shared" ref="Q8:Q18" si="18">IFERROR(O8/M8-1," ")</f>
        <v>0.1626522119</v>
      </c>
      <c r="R8" s="357"/>
      <c r="S8" s="414"/>
      <c r="T8" s="414"/>
      <c r="U8" s="414"/>
      <c r="V8" s="414"/>
      <c r="W8" s="414"/>
      <c r="X8" s="414"/>
      <c r="Y8" s="414"/>
      <c r="Z8" s="414"/>
    </row>
    <row r="9">
      <c r="A9" s="414"/>
      <c r="B9" s="415" t="s">
        <v>77</v>
      </c>
      <c r="C9" s="423">
        <f>-'DRE DCL E D-ESPAÇO'!B7/1000+'DRE DCL E D-ESPAÇO'!B11/1000</f>
        <v>-418.40528</v>
      </c>
      <c r="D9" s="57">
        <f>-'DRE DCL E D-ESPAÇO'!C7/1000+'DRE DCL E D-ESPAÇO'!C11/1000</f>
        <v>-436.56753</v>
      </c>
      <c r="E9" s="57">
        <f>-'DRE DCL E D-ESPAÇO'!D7/1000+'DRE DCL E D-ESPAÇO'!D11/1000</f>
        <v>-353.18054</v>
      </c>
      <c r="F9" s="357">
        <f t="shared" si="13"/>
        <v>-0.1910059367</v>
      </c>
      <c r="G9" s="417">
        <f t="shared" si="14"/>
        <v>-0.1558889027</v>
      </c>
      <c r="H9" s="389">
        <f>-'DRE DCL E D-ESPAÇO'!H7/1000+'DRE DCL E D-ESPAÇO'!H11/1000</f>
        <v>-2163.84983</v>
      </c>
      <c r="I9" s="389">
        <f>-'DRE DCL E D-ESPAÇO'!I7/1000+'DRE DCL E D-ESPAÇO'!I11/1000</f>
        <v>-2686.02006</v>
      </c>
      <c r="J9" s="389">
        <f>-'DRE DCL E D-ESPAÇO'!J7/1000+'DRE DCL E D-ESPAÇO'!J11/1000</f>
        <v>-2258.54533</v>
      </c>
      <c r="K9" s="60">
        <f t="shared" si="15"/>
        <v>-0.1591480035</v>
      </c>
      <c r="L9" s="62">
        <f t="shared" si="16"/>
        <v>0.04376251008</v>
      </c>
      <c r="M9" s="57">
        <f>-'DRE DCL E D-ESPAÇO'!N7/1000+'DRE DCL E D-ESPAÇO'!N11/1000</f>
        <v>-4444.18766</v>
      </c>
      <c r="N9" s="57">
        <f>-'DRE DCL E D-ESPAÇO'!O7/1000+'DRE DCL E D-ESPAÇO'!O11/1000+0.6</f>
        <v>-5191.1278</v>
      </c>
      <c r="O9" s="57">
        <f>-'DRE DCL E D-ESPAÇO'!P7/1000+'DRE DCL E D-ESPAÇO'!P11/1000</f>
        <v>-4570.001</v>
      </c>
      <c r="P9" s="357">
        <f t="shared" si="17"/>
        <v>-0.1196516102</v>
      </c>
      <c r="Q9" s="417">
        <f t="shared" si="18"/>
        <v>0.02830963713</v>
      </c>
      <c r="R9" s="357"/>
      <c r="S9" s="414"/>
      <c r="T9" s="414"/>
      <c r="U9" s="414"/>
      <c r="V9" s="414"/>
      <c r="W9" s="414"/>
      <c r="X9" s="414"/>
      <c r="Y9" s="414"/>
      <c r="Z9" s="414"/>
    </row>
    <row r="10">
      <c r="A10" s="414"/>
      <c r="B10" s="424" t="s">
        <v>80</v>
      </c>
      <c r="C10" s="425">
        <f t="shared" ref="C10:E10" si="19">C8+C9</f>
        <v>459.71832</v>
      </c>
      <c r="D10" s="426">
        <f t="shared" si="19"/>
        <v>663.06139</v>
      </c>
      <c r="E10" s="426">
        <f t="shared" si="19"/>
        <v>773.43631</v>
      </c>
      <c r="F10" s="427">
        <f t="shared" si="13"/>
        <v>0.1664625956</v>
      </c>
      <c r="G10" s="428">
        <f t="shared" si="14"/>
        <v>0.6824135049</v>
      </c>
      <c r="H10" s="425">
        <f t="shared" ref="H10:J10" si="20">H8+H9</f>
        <v>3166.09865</v>
      </c>
      <c r="I10" s="426">
        <f t="shared" si="20"/>
        <v>3560.36505</v>
      </c>
      <c r="J10" s="426">
        <f t="shared" si="20"/>
        <v>4269.42145</v>
      </c>
      <c r="K10" s="429">
        <f t="shared" si="15"/>
        <v>0.1991527245</v>
      </c>
      <c r="L10" s="431">
        <f t="shared" si="16"/>
        <v>0.3484802345</v>
      </c>
      <c r="M10" s="432">
        <f t="shared" ref="M10:O10" si="21">M8+M9</f>
        <v>6920.2538</v>
      </c>
      <c r="N10" s="433">
        <f t="shared" si="21"/>
        <v>7466.36005</v>
      </c>
      <c r="O10" s="433">
        <f t="shared" si="21"/>
        <v>8642.892</v>
      </c>
      <c r="P10" s="427">
        <f t="shared" si="17"/>
        <v>0.1575777142</v>
      </c>
      <c r="Q10" s="428">
        <f t="shared" si="18"/>
        <v>0.2489270263</v>
      </c>
      <c r="R10" s="435"/>
      <c r="S10" s="414"/>
      <c r="T10" s="414"/>
      <c r="U10" s="414"/>
      <c r="V10" s="414"/>
      <c r="W10" s="414"/>
      <c r="X10" s="414"/>
      <c r="Y10" s="414"/>
      <c r="Z10" s="414"/>
    </row>
    <row r="11">
      <c r="A11" s="414"/>
      <c r="B11" s="415" t="s">
        <v>82</v>
      </c>
      <c r="C11" s="416">
        <f>-'DRE DCL E D-ESPAÇO'!B9/1000</f>
        <v>-89.33857</v>
      </c>
      <c r="D11" s="419">
        <f>-'DRE DCL E D-ESPAÇO'!C9/1000</f>
        <v>-107.87608</v>
      </c>
      <c r="E11" s="419">
        <f>-'DRE DCL E D-ESPAÇO'!D9/1000</f>
        <v>-109.47557</v>
      </c>
      <c r="F11" s="357">
        <f t="shared" si="13"/>
        <v>0.01482710532</v>
      </c>
      <c r="G11" s="417">
        <f t="shared" si="14"/>
        <v>0.2254009662</v>
      </c>
      <c r="H11" s="416">
        <f>-'DRE DCL E D-ESPAÇO'!H9/1000</f>
        <v>-533.01363</v>
      </c>
      <c r="I11" s="419">
        <f>-'DRE DCL E D-ESPAÇO'!I9/1000</f>
        <v>-640.38748</v>
      </c>
      <c r="J11" s="419">
        <f>-'DRE DCL E D-ESPAÇO'!J9/1000</f>
        <v>-644.1836</v>
      </c>
      <c r="K11" s="60">
        <f t="shared" si="15"/>
        <v>0.005927848558</v>
      </c>
      <c r="L11" s="62">
        <f t="shared" si="16"/>
        <v>0.208568719</v>
      </c>
      <c r="M11" s="57">
        <f>-'DRE DCL E D-ESPAÇO'!N9/1000</f>
        <v>-1109.96887</v>
      </c>
      <c r="N11" s="57">
        <f>-'DRE DCL E D-ESPAÇO'!O9/1000</f>
        <v>-1313.13598</v>
      </c>
      <c r="O11" s="57">
        <f>-'DRE DCL E D-ESPAÇO'!P9/1000</f>
        <v>-1276.077</v>
      </c>
      <c r="P11" s="357">
        <f t="shared" si="17"/>
        <v>-0.02822173832</v>
      </c>
      <c r="Q11" s="417">
        <f t="shared" si="18"/>
        <v>0.1496511609</v>
      </c>
      <c r="R11" s="357"/>
      <c r="S11" s="414"/>
      <c r="T11" s="414"/>
      <c r="U11" s="414"/>
      <c r="V11" s="414"/>
      <c r="W11" s="414"/>
      <c r="X11" s="414"/>
      <c r="Y11" s="414"/>
      <c r="Z11" s="414"/>
    </row>
    <row r="12">
      <c r="A12" s="414"/>
      <c r="B12" s="415" t="s">
        <v>83</v>
      </c>
      <c r="C12" s="421">
        <f t="shared" ref="C12:E12" si="22">C10+C11</f>
        <v>370.37975</v>
      </c>
      <c r="D12" s="389">
        <f t="shared" si="22"/>
        <v>555.18531</v>
      </c>
      <c r="E12" s="389">
        <f t="shared" si="22"/>
        <v>663.96074</v>
      </c>
      <c r="F12" s="357">
        <f t="shared" si="13"/>
        <v>0.1959263475</v>
      </c>
      <c r="G12" s="417">
        <f t="shared" si="14"/>
        <v>0.7926485992</v>
      </c>
      <c r="H12" s="421">
        <f t="shared" ref="H12:J12" si="23">H10+H11</f>
        <v>2633.08502</v>
      </c>
      <c r="I12" s="389">
        <f t="shared" si="23"/>
        <v>2919.97757</v>
      </c>
      <c r="J12" s="389">
        <f t="shared" si="23"/>
        <v>3625.23785</v>
      </c>
      <c r="K12" s="60">
        <f t="shared" si="15"/>
        <v>0.2415293485</v>
      </c>
      <c r="L12" s="62">
        <f t="shared" si="16"/>
        <v>0.3768024285</v>
      </c>
      <c r="M12" s="422">
        <f>M10+M11</f>
        <v>5810.28493</v>
      </c>
      <c r="N12" s="248">
        <f>N10+N11-1</f>
        <v>6152.22407</v>
      </c>
      <c r="O12" s="248">
        <f>O10+O11</f>
        <v>7366.815</v>
      </c>
      <c r="P12" s="357">
        <f t="shared" si="17"/>
        <v>0.1974230646</v>
      </c>
      <c r="Q12" s="417">
        <f t="shared" si="18"/>
        <v>0.2678922099</v>
      </c>
      <c r="R12" s="357"/>
      <c r="S12" s="414"/>
      <c r="T12" s="414"/>
      <c r="U12" s="414"/>
      <c r="V12" s="414"/>
      <c r="W12" s="414"/>
      <c r="X12" s="414"/>
      <c r="Y12" s="414"/>
      <c r="Z12" s="414"/>
    </row>
    <row r="13">
      <c r="A13" s="414"/>
      <c r="B13" s="415" t="s">
        <v>84</v>
      </c>
      <c r="C13" s="416">
        <f t="shared" ref="C13:E13" si="24">C14+C15</f>
        <v>-43.47349</v>
      </c>
      <c r="D13" s="419">
        <f t="shared" si="24"/>
        <v>-106.56121</v>
      </c>
      <c r="E13" s="419">
        <f t="shared" si="24"/>
        <v>-63.31012</v>
      </c>
      <c r="F13" s="357">
        <f t="shared" si="13"/>
        <v>-0.4058802448</v>
      </c>
      <c r="G13" s="417">
        <f t="shared" si="14"/>
        <v>0.456292559</v>
      </c>
      <c r="H13" s="416">
        <f t="shared" ref="H13:J13" si="25">H14+H15</f>
        <v>-263.89106</v>
      </c>
      <c r="I13" s="419">
        <f t="shared" si="25"/>
        <v>-661.15789</v>
      </c>
      <c r="J13" s="419">
        <f t="shared" si="25"/>
        <v>-469.36039</v>
      </c>
      <c r="K13" s="60">
        <f t="shared" si="15"/>
        <v>-0.2900933391</v>
      </c>
      <c r="L13" s="62">
        <f t="shared" si="16"/>
        <v>0.778614213</v>
      </c>
      <c r="M13" s="423">
        <f t="shared" ref="M13:O13" si="26">M14+M15</f>
        <v>-853.32875</v>
      </c>
      <c r="N13" s="57">
        <f t="shared" si="26"/>
        <v>-1291.11994</v>
      </c>
      <c r="O13" s="57">
        <f t="shared" si="26"/>
        <v>-1035.89371</v>
      </c>
      <c r="P13" s="357">
        <f t="shared" si="17"/>
        <v>-0.1976781723</v>
      </c>
      <c r="Q13" s="417">
        <f t="shared" si="18"/>
        <v>0.2139444616</v>
      </c>
      <c r="R13" s="357"/>
      <c r="S13" s="414"/>
      <c r="T13" s="414"/>
      <c r="U13" s="414"/>
      <c r="V13" s="414"/>
      <c r="W13" s="414"/>
      <c r="X13" s="414"/>
      <c r="Y13" s="414"/>
      <c r="Z13" s="414"/>
    </row>
    <row r="14">
      <c r="A14" s="414"/>
      <c r="B14" s="445" t="s">
        <v>118</v>
      </c>
      <c r="C14" s="416">
        <f>'DRE DCL E D-ESPAÇO'!B13/1000</f>
        <v>4.72904</v>
      </c>
      <c r="D14" s="419">
        <f>'DRE DCL E D-ESPAÇO'!C13/1000</f>
        <v>11.71742</v>
      </c>
      <c r="E14" s="419">
        <f>'DRE DCL E D-ESPAÇO'!D13/1000</f>
        <v>51.68424</v>
      </c>
      <c r="F14" s="357">
        <f t="shared" si="13"/>
        <v>3.410889087</v>
      </c>
      <c r="G14" s="417">
        <f t="shared" si="14"/>
        <v>9.929118806</v>
      </c>
      <c r="H14" s="416">
        <f>'DRE DCL E D-ESPAÇO'!H13/1000</f>
        <v>59.21248</v>
      </c>
      <c r="I14" s="419">
        <f>'DRE DCL E D-ESPAÇO'!I13/1000</f>
        <v>65.50501</v>
      </c>
      <c r="J14" s="419">
        <f>'DRE DCL E D-ESPAÇO'!J13/1000</f>
        <v>219.61504</v>
      </c>
      <c r="K14" s="60">
        <f t="shared" si="15"/>
        <v>2.352644935</v>
      </c>
      <c r="L14" s="62">
        <f t="shared" si="16"/>
        <v>2.708931631</v>
      </c>
      <c r="M14" s="57">
        <f>'DRE DCL E D-ESPAÇO'!N13/1000</f>
        <v>184.39723</v>
      </c>
      <c r="N14" s="57">
        <f>'DRE DCL E D-ESPAÇO'!O13/1000</f>
        <v>111.13091</v>
      </c>
      <c r="O14" s="57">
        <f>'DRE DCL E D-ESPAÇO'!P13/1000</f>
        <v>335.58523</v>
      </c>
      <c r="P14" s="357">
        <f t="shared" si="17"/>
        <v>2.019728984</v>
      </c>
      <c r="Q14" s="417">
        <f t="shared" si="18"/>
        <v>0.8199038565</v>
      </c>
      <c r="R14" s="357"/>
      <c r="S14" s="414"/>
      <c r="T14" s="414"/>
      <c r="U14" s="414"/>
      <c r="V14" s="414"/>
      <c r="W14" s="414"/>
      <c r="X14" s="414"/>
      <c r="Y14" s="414"/>
      <c r="Z14" s="414"/>
    </row>
    <row r="15">
      <c r="A15" s="414"/>
      <c r="B15" s="445" t="s">
        <v>121</v>
      </c>
      <c r="C15" s="416">
        <f>-'DRE DCL E D-ESPAÇO'!B14/1000</f>
        <v>-48.20253</v>
      </c>
      <c r="D15" s="419">
        <f>-'DRE DCL E D-ESPAÇO'!C14/1000</f>
        <v>-118.27863</v>
      </c>
      <c r="E15" s="419">
        <f>-'DRE DCL E D-ESPAÇO'!D14/1000</f>
        <v>-114.99436</v>
      </c>
      <c r="F15" s="357">
        <f t="shared" si="13"/>
        <v>-0.02776723065</v>
      </c>
      <c r="G15" s="417">
        <f t="shared" si="14"/>
        <v>1.385649882</v>
      </c>
      <c r="H15" s="416">
        <f>-'DRE DCL E D-ESPAÇO'!H14/1000</f>
        <v>-323.10354</v>
      </c>
      <c r="I15" s="419">
        <f>-'DRE DCL E D-ESPAÇO'!I14/1000</f>
        <v>-726.6629</v>
      </c>
      <c r="J15" s="419">
        <f>-'DRE DCL E D-ESPAÇO'!J14/1000</f>
        <v>-688.97543</v>
      </c>
      <c r="K15" s="60">
        <f t="shared" si="15"/>
        <v>-0.05186375966</v>
      </c>
      <c r="L15" s="62">
        <f t="shared" si="16"/>
        <v>1.132367321</v>
      </c>
      <c r="M15" s="57">
        <f>-'DRE DCL E D-ESPAÇO'!N14/1000</f>
        <v>-1037.72598</v>
      </c>
      <c r="N15" s="57">
        <f>-'DRE DCL E D-ESPAÇO'!O14/1000</f>
        <v>-1402.25085</v>
      </c>
      <c r="O15" s="57">
        <f>-'DRE DCL E D-ESPAÇO'!P14/1000</f>
        <v>-1371.47894</v>
      </c>
      <c r="P15" s="357">
        <f t="shared" si="17"/>
        <v>-0.0219446542</v>
      </c>
      <c r="Q15" s="417">
        <f t="shared" si="18"/>
        <v>0.3216195474</v>
      </c>
      <c r="R15" s="357"/>
      <c r="S15" s="414"/>
      <c r="T15" s="414"/>
      <c r="U15" s="414"/>
      <c r="V15" s="414"/>
      <c r="W15" s="414"/>
      <c r="X15" s="414"/>
      <c r="Y15" s="414"/>
      <c r="Z15" s="414"/>
    </row>
    <row r="16">
      <c r="A16" s="414"/>
      <c r="B16" s="415" t="s">
        <v>86</v>
      </c>
      <c r="C16" s="421">
        <f t="shared" ref="C16:E16" si="27">C12+C13</f>
        <v>326.90626</v>
      </c>
      <c r="D16" s="389">
        <f t="shared" si="27"/>
        <v>448.6241</v>
      </c>
      <c r="E16" s="389">
        <f t="shared" si="27"/>
        <v>600.65062</v>
      </c>
      <c r="F16" s="357">
        <f t="shared" si="13"/>
        <v>0.3388728336</v>
      </c>
      <c r="G16" s="417">
        <f t="shared" si="14"/>
        <v>0.8373787642</v>
      </c>
      <c r="H16" s="421">
        <f t="shared" ref="H16:J16" si="28">H12+H13</f>
        <v>2369.19396</v>
      </c>
      <c r="I16" s="389">
        <f t="shared" si="28"/>
        <v>2258.81968</v>
      </c>
      <c r="J16" s="389">
        <f t="shared" si="28"/>
        <v>3155.87746</v>
      </c>
      <c r="K16" s="60">
        <f t="shared" si="15"/>
        <v>0.3971356315</v>
      </c>
      <c r="L16" s="62">
        <f t="shared" si="16"/>
        <v>0.3320468958</v>
      </c>
      <c r="M16" s="422">
        <f t="shared" ref="M16:O16" si="29">M12+M13</f>
        <v>4956.95618</v>
      </c>
      <c r="N16" s="248">
        <f t="shared" si="29"/>
        <v>4861.10413</v>
      </c>
      <c r="O16" s="248">
        <f t="shared" si="29"/>
        <v>6330.92129</v>
      </c>
      <c r="P16" s="357">
        <f t="shared" si="17"/>
        <v>0.3023628214</v>
      </c>
      <c r="Q16" s="417">
        <f t="shared" si="18"/>
        <v>0.2771791923</v>
      </c>
      <c r="R16" s="357"/>
      <c r="S16" s="414"/>
      <c r="T16" s="414"/>
      <c r="U16" s="414"/>
      <c r="V16" s="414"/>
      <c r="W16" s="414"/>
      <c r="X16" s="414"/>
      <c r="Y16" s="414"/>
      <c r="Z16" s="414"/>
    </row>
    <row r="17">
      <c r="A17" s="414"/>
      <c r="B17" s="415" t="s">
        <v>87</v>
      </c>
      <c r="C17" s="419">
        <f>-'DRE DCL E D-ESPAÇO'!B16/1000</f>
        <v>-99.92697</v>
      </c>
      <c r="D17" s="419">
        <f>-'DRE DCL E D-ESPAÇO'!C16/1000</f>
        <v>-127.833</v>
      </c>
      <c r="E17" s="419">
        <f>-'DRE DCL E D-ESPAÇO'!D16/1000</f>
        <v>-152.66363</v>
      </c>
      <c r="F17" s="357">
        <f t="shared" si="13"/>
        <v>0.1942427229</v>
      </c>
      <c r="G17" s="417">
        <f t="shared" si="14"/>
        <v>0.5277520173</v>
      </c>
      <c r="H17" s="419">
        <f>-'DRE DCL E D-ESPAÇO'!H16/1000</f>
        <v>-618.35955</v>
      </c>
      <c r="I17" s="419">
        <f>-'DRE DCL E D-ESPAÇO'!I16/1000</f>
        <v>-769.64207</v>
      </c>
      <c r="J17" s="419">
        <f>-'DRE DCL E D-ESPAÇO'!J16/1000</f>
        <v>-850.70292</v>
      </c>
      <c r="K17" s="60">
        <f t="shared" si="15"/>
        <v>0.1053227899</v>
      </c>
      <c r="L17" s="62">
        <f t="shared" si="16"/>
        <v>0.3757415407</v>
      </c>
      <c r="M17" s="57">
        <f>-'DRE DCL E D-ESPAÇO'!N16/1000</f>
        <v>-1340.73679</v>
      </c>
      <c r="N17" s="57">
        <f>-'DRE DCL E D-ESPAÇO'!O16/1000</f>
        <v>-1462.00522</v>
      </c>
      <c r="O17" s="57">
        <f>-'DRE DCL E D-ESPAÇO'!P16/1000</f>
        <v>-1691.415</v>
      </c>
      <c r="P17" s="357">
        <f t="shared" si="17"/>
        <v>0.1569144739</v>
      </c>
      <c r="Q17" s="417">
        <f t="shared" si="18"/>
        <v>0.2615563417</v>
      </c>
      <c r="R17" s="357"/>
      <c r="S17" s="414"/>
      <c r="T17" s="414"/>
      <c r="U17" s="414"/>
      <c r="V17" s="414"/>
      <c r="W17" s="414"/>
      <c r="X17" s="414"/>
      <c r="Y17" s="414"/>
      <c r="Z17" s="414"/>
    </row>
    <row r="18">
      <c r="A18" s="414"/>
      <c r="B18" s="420" t="s">
        <v>125</v>
      </c>
      <c r="C18" s="421">
        <f t="shared" ref="C18:E18" si="30">C16+C17</f>
        <v>226.97929</v>
      </c>
      <c r="D18" s="389">
        <f t="shared" si="30"/>
        <v>320.7911</v>
      </c>
      <c r="E18" s="389">
        <f t="shared" si="30"/>
        <v>447.98699</v>
      </c>
      <c r="F18" s="357">
        <f t="shared" si="13"/>
        <v>0.3965069168</v>
      </c>
      <c r="G18" s="417">
        <f t="shared" si="14"/>
        <v>0.9736910359</v>
      </c>
      <c r="H18" s="421">
        <f t="shared" ref="H18:J18" si="31">H16+H17</f>
        <v>1750.83441</v>
      </c>
      <c r="I18" s="389">
        <f t="shared" si="31"/>
        <v>1489.17761</v>
      </c>
      <c r="J18" s="389">
        <f t="shared" si="31"/>
        <v>2305.17454</v>
      </c>
      <c r="K18" s="60">
        <f t="shared" si="15"/>
        <v>0.5479513824</v>
      </c>
      <c r="L18" s="62">
        <f t="shared" si="16"/>
        <v>0.3166148248</v>
      </c>
      <c r="M18" s="422">
        <f t="shared" ref="M18:O18" si="32">M16+M17</f>
        <v>3616.21939</v>
      </c>
      <c r="N18" s="248">
        <f t="shared" si="32"/>
        <v>3399.09891</v>
      </c>
      <c r="O18" s="57">
        <f t="shared" si="32"/>
        <v>4639.50629</v>
      </c>
      <c r="P18" s="357">
        <f t="shared" si="17"/>
        <v>0.3649224141</v>
      </c>
      <c r="Q18" s="417">
        <f t="shared" si="18"/>
        <v>0.2829714654</v>
      </c>
      <c r="R18" s="357"/>
      <c r="S18" s="414"/>
      <c r="T18" s="414"/>
      <c r="U18" s="414"/>
      <c r="V18" s="414"/>
      <c r="W18" s="414"/>
      <c r="X18" s="414"/>
      <c r="Y18" s="414"/>
      <c r="Z18" s="414"/>
    </row>
    <row r="19">
      <c r="A19" s="414"/>
      <c r="B19" s="451" t="s">
        <v>100</v>
      </c>
      <c r="C19" s="452">
        <f t="shared" ref="C19:E19" si="33">C10/C6</f>
        <v>0.5235234766</v>
      </c>
      <c r="D19" s="453">
        <f t="shared" si="33"/>
        <v>0.6029864966</v>
      </c>
      <c r="E19" s="453">
        <f t="shared" si="33"/>
        <v>0.6865122868</v>
      </c>
      <c r="F19" s="454"/>
      <c r="G19" s="455"/>
      <c r="H19" s="452">
        <f t="shared" ref="H19:J19" si="34">H10/H6</f>
        <v>0.5940204979</v>
      </c>
      <c r="I19" s="453">
        <f t="shared" si="34"/>
        <v>0.5699880791</v>
      </c>
      <c r="J19" s="453">
        <f t="shared" si="34"/>
        <v>0.6540200944</v>
      </c>
      <c r="K19" s="454"/>
      <c r="L19" s="455"/>
      <c r="M19" s="452">
        <f t="shared" ref="M19:O19" si="35">M10/M6</f>
        <v>0.608939192</v>
      </c>
      <c r="N19" s="453">
        <f t="shared" si="35"/>
        <v>0.5898769281</v>
      </c>
      <c r="O19" s="453">
        <f t="shared" si="35"/>
        <v>0.6541256332</v>
      </c>
      <c r="P19" s="454"/>
      <c r="Q19" s="455"/>
      <c r="R19" s="456"/>
      <c r="S19" s="414"/>
      <c r="T19" s="414"/>
      <c r="U19" s="414"/>
      <c r="V19" s="414"/>
      <c r="W19" s="414"/>
      <c r="X19" s="414"/>
      <c r="Y19" s="414"/>
      <c r="Z19" s="414"/>
    </row>
    <row r="20">
      <c r="B20" s="457"/>
      <c r="C20" s="458"/>
      <c r="D20" s="458"/>
      <c r="E20" s="458"/>
      <c r="F20" s="457"/>
      <c r="G20" s="457"/>
      <c r="H20" s="458"/>
      <c r="I20" s="457"/>
      <c r="J20" s="457"/>
      <c r="K20" s="457"/>
      <c r="L20" s="457"/>
      <c r="M20" s="458"/>
      <c r="N20" s="457"/>
      <c r="O20" s="457"/>
      <c r="P20" s="457"/>
      <c r="Q20" s="457"/>
      <c r="R20" s="457"/>
    </row>
    <row r="21">
      <c r="B21" s="457"/>
      <c r="C21" s="458"/>
      <c r="D21" s="458"/>
      <c r="E21" s="458"/>
      <c r="F21" s="457"/>
      <c r="G21" s="457"/>
      <c r="H21" s="458"/>
      <c r="I21" s="457"/>
      <c r="J21" s="457"/>
      <c r="K21" s="457"/>
      <c r="L21" s="457"/>
      <c r="M21" s="458"/>
      <c r="N21" s="457"/>
      <c r="O21" s="457"/>
      <c r="P21" s="457"/>
      <c r="Q21" s="457"/>
      <c r="R21" s="457"/>
    </row>
    <row r="22" ht="15.0" customHeight="1">
      <c r="B22" s="459" t="s">
        <v>178</v>
      </c>
      <c r="C22" s="227" t="s">
        <v>123</v>
      </c>
      <c r="D22" s="228"/>
      <c r="E22" s="228"/>
      <c r="F22" s="228"/>
      <c r="G22" s="229"/>
      <c r="H22" s="318" t="s">
        <v>124</v>
      </c>
      <c r="I22" s="231"/>
      <c r="J22" s="231"/>
      <c r="K22" s="231"/>
      <c r="L22" s="232"/>
      <c r="M22" s="409" t="s">
        <v>3</v>
      </c>
      <c r="N22" s="231"/>
      <c r="O22" s="231"/>
      <c r="P22" s="231"/>
      <c r="Q22" s="232"/>
      <c r="R22" s="410"/>
    </row>
    <row r="23" ht="33.0" customHeight="1">
      <c r="B23" s="411"/>
      <c r="C23" s="234" t="s">
        <v>27</v>
      </c>
      <c r="D23" s="235" t="s">
        <v>30</v>
      </c>
      <c r="E23" s="236" t="s">
        <v>31</v>
      </c>
      <c r="F23" s="237" t="s">
        <v>32</v>
      </c>
      <c r="G23" s="238" t="s">
        <v>34</v>
      </c>
      <c r="H23" s="237" t="s">
        <v>27</v>
      </c>
      <c r="I23" s="237" t="s">
        <v>30</v>
      </c>
      <c r="J23" s="237" t="s">
        <v>31</v>
      </c>
      <c r="K23" s="237" t="s">
        <v>32</v>
      </c>
      <c r="L23" s="412" t="s">
        <v>34</v>
      </c>
      <c r="M23" s="234" t="s">
        <v>27</v>
      </c>
      <c r="N23" s="235" t="s">
        <v>30</v>
      </c>
      <c r="O23" s="236" t="s">
        <v>36</v>
      </c>
      <c r="P23" s="237" t="s">
        <v>38</v>
      </c>
      <c r="Q23" s="238" t="s">
        <v>39</v>
      </c>
      <c r="R23" s="413"/>
    </row>
    <row r="24" ht="15.75" customHeight="1">
      <c r="B24" s="445" t="s">
        <v>40</v>
      </c>
      <c r="C24" s="416">
        <f>'DRE DCL E D-ESPAÇO'!B23/1000</f>
        <v>196.49505</v>
      </c>
      <c r="D24" s="460">
        <f>'DRE DCL E D-ESPAÇO'!C23/1000</f>
        <v>208.34797</v>
      </c>
      <c r="E24" s="460">
        <f>'DRE DCL E D-ESPAÇO'!D23/1000</f>
        <v>222.85259</v>
      </c>
      <c r="F24" s="357">
        <f t="shared" ref="F24:F26" si="36">IFERROR(E24/D24-1," ")</f>
        <v>0.06961728497</v>
      </c>
      <c r="G24" s="417">
        <f t="shared" ref="G24:G26" si="37">IFERROR(E24/C24-1," ")</f>
        <v>0.1341384427</v>
      </c>
      <c r="H24" s="461">
        <f>'DRE DCL E D-ESPAÇO'!H23/1000</f>
        <v>1164.66832</v>
      </c>
      <c r="I24" s="462">
        <f>'DRE DCL E D-ESPAÇO'!I23/1000</f>
        <v>1248.6041</v>
      </c>
      <c r="J24" s="460">
        <f>'DRE DCL E D-ESPAÇO'!J23/1000</f>
        <v>1294.67177</v>
      </c>
      <c r="K24" s="60">
        <f t="shared" ref="K24:K26" si="38">IFERROR(J24/I24-1," ")</f>
        <v>0.03689533776</v>
      </c>
      <c r="L24" s="62">
        <f t="shared" ref="L24:L26" si="39">IFERROR(J24/H24-1," ")</f>
        <v>0.1116227236</v>
      </c>
      <c r="M24" s="57">
        <f>'DRE DCL E D-ESPAÇO'!N23/1000</f>
        <v>2393.66289</v>
      </c>
      <c r="N24" s="57">
        <f>'DRE DCL E D-ESPAÇO'!O23/1000</f>
        <v>2504.96189</v>
      </c>
      <c r="O24" s="57">
        <f>'DRE DCL E D-ESPAÇO'!P23/1000</f>
        <v>2585.272</v>
      </c>
      <c r="P24" s="357">
        <f t="shared" ref="P24:P26" si="40">IFERROR(O24/N24-1," ")</f>
        <v>0.03206041191</v>
      </c>
      <c r="Q24" s="417">
        <f t="shared" ref="Q24:Q26" si="41">IFERROR(O24/M24-1," ")</f>
        <v>0.08004849421</v>
      </c>
      <c r="R24" s="244"/>
    </row>
    <row r="25" ht="15.75" customHeight="1">
      <c r="B25" s="445" t="s">
        <v>71</v>
      </c>
      <c r="C25" s="423">
        <f>-'DRE DCL E D-ESPAÇO'!B24/1000</f>
        <v>-7.17207</v>
      </c>
      <c r="D25" s="57">
        <f>-'DRE DCL E D-ESPAÇO'!C24/1000</f>
        <v>-7.6047</v>
      </c>
      <c r="E25" s="57">
        <f>-'DRE DCL E D-ESPAÇO'!D24/1000</f>
        <v>-8.13412</v>
      </c>
      <c r="F25" s="357">
        <f t="shared" si="36"/>
        <v>0.0696174734</v>
      </c>
      <c r="G25" s="417">
        <f t="shared" si="37"/>
        <v>0.1341384008</v>
      </c>
      <c r="H25" s="423">
        <f>-'DRE DCL E D-ESPAÇO'!H24/1000</f>
        <v>-42.91042</v>
      </c>
      <c r="I25" s="356">
        <f>-'DRE DCL E D-ESPAÇO'!I24/1000</f>
        <v>-45.57404</v>
      </c>
      <c r="J25" s="57">
        <f>-'DRE DCL E D-ESPAÇO'!J24/1000</f>
        <v>-48.36533</v>
      </c>
      <c r="K25" s="60">
        <f t="shared" si="38"/>
        <v>0.06124736802</v>
      </c>
      <c r="L25" s="62">
        <f t="shared" si="39"/>
        <v>0.1271232022</v>
      </c>
      <c r="M25" s="57">
        <f>-'DRE DCL E D-ESPAÇO'!N24/1000</f>
        <v>-88.6281</v>
      </c>
      <c r="N25" s="57">
        <f>-'DRE DCL E D-ESPAÇO'!O24/1000</f>
        <v>-91.4311</v>
      </c>
      <c r="O25" s="57">
        <f>-'DRE DCL E D-ESPAÇO'!P24/1000</f>
        <v>-95.472</v>
      </c>
      <c r="P25" s="357">
        <f t="shared" si="40"/>
        <v>0.04419612145</v>
      </c>
      <c r="Q25" s="417">
        <f t="shared" si="41"/>
        <v>0.07722043009</v>
      </c>
      <c r="R25" s="244"/>
    </row>
    <row r="26" ht="15.75" customHeight="1">
      <c r="B26" s="468" t="s">
        <v>85</v>
      </c>
      <c r="C26" s="422">
        <f t="shared" ref="C26:E26" si="42">C24+C25</f>
        <v>189.32298</v>
      </c>
      <c r="D26" s="248">
        <f t="shared" si="42"/>
        <v>200.74327</v>
      </c>
      <c r="E26" s="248">
        <f t="shared" si="42"/>
        <v>214.71847</v>
      </c>
      <c r="F26" s="357">
        <f t="shared" si="36"/>
        <v>0.06961727783</v>
      </c>
      <c r="G26" s="417">
        <f t="shared" si="37"/>
        <v>0.1341384443</v>
      </c>
      <c r="H26" s="422">
        <f t="shared" ref="H26:J26" si="43">H24+H25</f>
        <v>1121.7579</v>
      </c>
      <c r="I26" s="469">
        <f t="shared" si="43"/>
        <v>1203.03006</v>
      </c>
      <c r="J26" s="248">
        <f t="shared" si="43"/>
        <v>1246.30644</v>
      </c>
      <c r="K26" s="60">
        <f t="shared" si="38"/>
        <v>0.03597281684</v>
      </c>
      <c r="L26" s="62">
        <f t="shared" si="39"/>
        <v>0.1110297864</v>
      </c>
      <c r="M26" s="421">
        <f t="shared" ref="M26:O26" si="44">M24+M25</f>
        <v>2305.03479</v>
      </c>
      <c r="N26" s="389">
        <f t="shared" si="44"/>
        <v>2413.53079</v>
      </c>
      <c r="O26" s="389">
        <f t="shared" si="44"/>
        <v>2489.8</v>
      </c>
      <c r="P26" s="357">
        <f t="shared" si="40"/>
        <v>0.03160067827</v>
      </c>
      <c r="Q26" s="417">
        <f t="shared" si="41"/>
        <v>0.08015723268</v>
      </c>
      <c r="R26" s="244"/>
    </row>
    <row r="27" ht="15.75" customHeight="1">
      <c r="B27" s="445" t="s">
        <v>73</v>
      </c>
      <c r="C27" s="146">
        <v>0.0</v>
      </c>
      <c r="D27" s="146">
        <v>0.0</v>
      </c>
      <c r="E27" s="146">
        <v>0.0</v>
      </c>
      <c r="F27" s="146">
        <v>0.0</v>
      </c>
      <c r="G27" s="146">
        <v>0.0</v>
      </c>
      <c r="H27" s="146">
        <v>0.0</v>
      </c>
      <c r="I27" s="470">
        <v>0.0</v>
      </c>
      <c r="J27" s="146">
        <v>0.0</v>
      </c>
      <c r="K27" s="146">
        <v>0.0</v>
      </c>
      <c r="L27" s="146">
        <v>0.0</v>
      </c>
      <c r="M27" s="146">
        <v>0.0</v>
      </c>
      <c r="N27" s="146">
        <v>0.0</v>
      </c>
      <c r="O27" s="146">
        <v>0.0</v>
      </c>
      <c r="P27" s="146">
        <v>0.0</v>
      </c>
      <c r="Q27" s="146">
        <v>0.0</v>
      </c>
      <c r="R27" s="244"/>
    </row>
    <row r="28" ht="15.75" customHeight="1">
      <c r="B28" s="445" t="s">
        <v>75</v>
      </c>
      <c r="C28" s="422">
        <f t="shared" ref="C28:E28" si="45">C26+C27</f>
        <v>189.32298</v>
      </c>
      <c r="D28" s="248">
        <f t="shared" si="45"/>
        <v>200.74327</v>
      </c>
      <c r="E28" s="248">
        <f t="shared" si="45"/>
        <v>214.71847</v>
      </c>
      <c r="F28" s="357">
        <f t="shared" ref="F28:F32" si="48">IFERROR(E28/D28-1," ")</f>
        <v>0.06961727783</v>
      </c>
      <c r="G28" s="417">
        <f t="shared" ref="G28:G38" si="49">IFERROR(E28/C28-1," ")</f>
        <v>0.1341384443</v>
      </c>
      <c r="H28" s="422">
        <f t="shared" ref="H28:J28" si="46">H26</f>
        <v>1121.7579</v>
      </c>
      <c r="I28" s="469">
        <f t="shared" si="46"/>
        <v>1203.03006</v>
      </c>
      <c r="J28" s="248">
        <f t="shared" si="46"/>
        <v>1246.30644</v>
      </c>
      <c r="K28" s="60">
        <f t="shared" ref="K28:K38" si="50">IFERROR(J28/I28-1," ")</f>
        <v>0.03597281684</v>
      </c>
      <c r="L28" s="62">
        <f t="shared" ref="L28:L38" si="51">IFERROR(J28/H28-1," ")</f>
        <v>0.1110297864</v>
      </c>
      <c r="M28" s="422">
        <f t="shared" ref="M28:O28" si="47">M26+M27</f>
        <v>2305.03479</v>
      </c>
      <c r="N28" s="248">
        <f t="shared" si="47"/>
        <v>2413.53079</v>
      </c>
      <c r="O28" s="248">
        <f t="shared" si="47"/>
        <v>2489.8</v>
      </c>
      <c r="P28" s="357">
        <f t="shared" ref="P28:P38" si="52">IFERROR(O28/N28-1," ")</f>
        <v>0.03160067827</v>
      </c>
      <c r="Q28" s="417">
        <f t="shared" ref="Q28:Q32" si="53">IFERROR(O28/M28-1," ")</f>
        <v>0.08015723268</v>
      </c>
      <c r="R28" s="244"/>
    </row>
    <row r="29" ht="15.75" customHeight="1">
      <c r="B29" s="445" t="s">
        <v>77</v>
      </c>
      <c r="C29" s="423">
        <f>-'DRE DCL E D-ESPAÇO'!B26/1000+'DRE DCL E D-ESPAÇO'!B30/1000</f>
        <v>-79.55277</v>
      </c>
      <c r="D29" s="57">
        <f>-'DRE DCL E D-ESPAÇO'!C26/1000+'DRE DCL E D-ESPAÇO'!C30/1000</f>
        <v>-91.54109</v>
      </c>
      <c r="E29" s="57">
        <f>-'DRE DCL E D-ESPAÇO'!D26/1000+'DRE DCL E D-ESPAÇO'!D30/1000</f>
        <v>-90.55219</v>
      </c>
      <c r="F29" s="357">
        <f t="shared" si="48"/>
        <v>-0.01080279905</v>
      </c>
      <c r="G29" s="417">
        <f t="shared" si="49"/>
        <v>0.1382657072</v>
      </c>
      <c r="H29" s="423">
        <f>-'DRE DCL E D-ESPAÇO'!H26/1000+'DRE DCL E D-ESPAÇO'!H30/1000</f>
        <v>-492.48162</v>
      </c>
      <c r="I29" s="356">
        <f>-'DRE DCL E D-ESPAÇO'!I26/1000+'DRE DCL E D-ESPAÇO'!I30/1000</f>
        <v>-568.65299</v>
      </c>
      <c r="J29" s="57">
        <f>-'DRE DCL E D-ESPAÇO'!J26/1000+'DRE DCL E D-ESPAÇO'!J30/1000</f>
        <v>-530.33505</v>
      </c>
      <c r="K29" s="60">
        <f t="shared" si="50"/>
        <v>-0.06738369563</v>
      </c>
      <c r="L29" s="62">
        <f t="shared" si="51"/>
        <v>0.07686262484</v>
      </c>
      <c r="M29" s="57">
        <f>-'DRE DCL E D-ESPAÇO'!N26/1000+'DRE DCL E D-ESPAÇO'!N30/1000</f>
        <v>-992.48878</v>
      </c>
      <c r="N29" s="57">
        <f>-'DRE DCL E D-ESPAÇO'!O26/1000+'DRE DCL E D-ESPAÇO'!O30/1000</f>
        <v>-1087.23073</v>
      </c>
      <c r="O29" s="57">
        <f>-'DRE DCL E D-ESPAÇO'!P26/1000+'DRE DCL E D-ESPAÇO'!P30/1000</f>
        <v>-1063.109</v>
      </c>
      <c r="P29" s="357">
        <f t="shared" si="52"/>
        <v>-0.0221863946</v>
      </c>
      <c r="Q29" s="417">
        <f t="shared" si="53"/>
        <v>0.07115467844</v>
      </c>
      <c r="R29" s="244"/>
    </row>
    <row r="30" ht="15.75" customHeight="1">
      <c r="B30" s="471" t="s">
        <v>80</v>
      </c>
      <c r="C30" s="432">
        <f t="shared" ref="C30:E30" si="54">C28+C29</f>
        <v>109.77021</v>
      </c>
      <c r="D30" s="433">
        <f t="shared" si="54"/>
        <v>109.20218</v>
      </c>
      <c r="E30" s="433">
        <f t="shared" si="54"/>
        <v>124.16628</v>
      </c>
      <c r="F30" s="427">
        <f t="shared" si="48"/>
        <v>0.1370311472</v>
      </c>
      <c r="G30" s="428">
        <f t="shared" si="49"/>
        <v>0.1311473304</v>
      </c>
      <c r="H30" s="472">
        <f t="shared" ref="H30:J30" si="55">H28+H29</f>
        <v>629.27628</v>
      </c>
      <c r="I30" s="473">
        <f t="shared" si="55"/>
        <v>634.37707</v>
      </c>
      <c r="J30" s="474">
        <f t="shared" si="55"/>
        <v>715.97139</v>
      </c>
      <c r="K30" s="429">
        <f t="shared" si="50"/>
        <v>0.1286211685</v>
      </c>
      <c r="L30" s="431">
        <f t="shared" si="51"/>
        <v>0.1377695501</v>
      </c>
      <c r="M30" s="425">
        <f t="shared" ref="M30:O30" si="56">M28+M29</f>
        <v>1312.54601</v>
      </c>
      <c r="N30" s="426">
        <f t="shared" si="56"/>
        <v>1326.30006</v>
      </c>
      <c r="O30" s="426">
        <f t="shared" si="56"/>
        <v>1426.691</v>
      </c>
      <c r="P30" s="427">
        <f t="shared" si="52"/>
        <v>0.07569247942</v>
      </c>
      <c r="Q30" s="428">
        <f t="shared" si="53"/>
        <v>0.08696456287</v>
      </c>
      <c r="R30" s="475"/>
    </row>
    <row r="31" ht="15.75" customHeight="1">
      <c r="B31" s="445" t="s">
        <v>82</v>
      </c>
      <c r="C31" s="423">
        <f>-'DRE DCL E D-ESPAÇO'!B28/1000</f>
        <v>-4.71774</v>
      </c>
      <c r="D31" s="57">
        <f>-'DRE DCL E D-ESPAÇO'!C28/1000</f>
        <v>-5.72209</v>
      </c>
      <c r="E31" s="57">
        <f>-'DRE DCL E D-ESPAÇO'!D28/1000</f>
        <v>-5.36482</v>
      </c>
      <c r="F31" s="357">
        <f t="shared" si="48"/>
        <v>-0.0624369767</v>
      </c>
      <c r="G31" s="417">
        <f t="shared" si="49"/>
        <v>0.1371588939</v>
      </c>
      <c r="H31" s="423">
        <f>-'DRE DCL E D-ESPAÇO'!H28/1000</f>
        <v>-28.30644</v>
      </c>
      <c r="I31" s="356">
        <f>-'DRE DCL E D-ESPAÇO'!I28/1000</f>
        <v>-33.86835</v>
      </c>
      <c r="J31" s="57">
        <f>-'DRE DCL E D-ESPAÇO'!J28/1000</f>
        <v>-32.28815</v>
      </c>
      <c r="K31" s="60">
        <f t="shared" si="50"/>
        <v>-0.04665712974</v>
      </c>
      <c r="L31" s="62">
        <f t="shared" si="51"/>
        <v>0.1406644566</v>
      </c>
      <c r="M31" s="57">
        <f>-'DRE DCL E D-ESPAÇO'!N28/1000</f>
        <v>-57.54876</v>
      </c>
      <c r="N31" s="57">
        <f>-'DRE DCL E D-ESPAÇO'!O28/1000</f>
        <v>-68.20089</v>
      </c>
      <c r="O31" s="57">
        <f>-'DRE DCL E D-ESPAÇO'!P28/1000</f>
        <v>-66.621</v>
      </c>
      <c r="P31" s="357">
        <f t="shared" si="52"/>
        <v>-0.02316524022</v>
      </c>
      <c r="Q31" s="417">
        <f t="shared" si="53"/>
        <v>0.1576444045</v>
      </c>
      <c r="R31" s="244"/>
    </row>
    <row r="32" ht="15.75" customHeight="1">
      <c r="B32" s="445" t="s">
        <v>83</v>
      </c>
      <c r="C32" s="422">
        <f t="shared" ref="C32:E32" si="57">C30+C31</f>
        <v>105.05247</v>
      </c>
      <c r="D32" s="248">
        <f t="shared" si="57"/>
        <v>103.48009</v>
      </c>
      <c r="E32" s="248">
        <f t="shared" si="57"/>
        <v>118.80146</v>
      </c>
      <c r="F32" s="357">
        <f t="shared" si="48"/>
        <v>0.1480610425</v>
      </c>
      <c r="G32" s="417">
        <f t="shared" si="49"/>
        <v>0.1308773606</v>
      </c>
      <c r="H32" s="248">
        <f t="shared" ref="H32:J32" si="58">H30+H31</f>
        <v>600.96984</v>
      </c>
      <c r="I32" s="469">
        <f t="shared" si="58"/>
        <v>600.50872</v>
      </c>
      <c r="J32" s="248">
        <f t="shared" si="58"/>
        <v>683.68324</v>
      </c>
      <c r="K32" s="60">
        <f t="shared" si="50"/>
        <v>0.1385067647</v>
      </c>
      <c r="L32" s="62">
        <f t="shared" si="51"/>
        <v>0.1376331964</v>
      </c>
      <c r="M32" s="421">
        <f t="shared" ref="M32:O32" si="59">M30+M31</f>
        <v>1254.99725</v>
      </c>
      <c r="N32" s="389">
        <f t="shared" si="59"/>
        <v>1258.09917</v>
      </c>
      <c r="O32" s="389">
        <f t="shared" si="59"/>
        <v>1360.07</v>
      </c>
      <c r="P32" s="357">
        <f t="shared" si="52"/>
        <v>0.08105150407</v>
      </c>
      <c r="Q32" s="417">
        <f t="shared" si="53"/>
        <v>0.08372349023</v>
      </c>
      <c r="R32" s="244"/>
    </row>
    <row r="33" ht="15.75" customHeight="1">
      <c r="B33" s="445" t="s">
        <v>84</v>
      </c>
      <c r="C33" s="423">
        <f t="shared" ref="C33:E33" si="60">C34+C35</f>
        <v>-0.01628</v>
      </c>
      <c r="D33" s="57">
        <f t="shared" si="60"/>
        <v>-0.88176</v>
      </c>
      <c r="E33" s="57">
        <f t="shared" si="60"/>
        <v>-1.11663</v>
      </c>
      <c r="F33" s="357">
        <f>-IFERROR(E33/D33-1," ")</f>
        <v>-0.2663649973</v>
      </c>
      <c r="G33" s="417">
        <f t="shared" si="49"/>
        <v>67.58906634</v>
      </c>
      <c r="H33" s="423">
        <f t="shared" ref="H33:J33" si="61">H34+H35</f>
        <v>3.87313</v>
      </c>
      <c r="I33" s="356">
        <f t="shared" si="61"/>
        <v>-5.59899</v>
      </c>
      <c r="J33" s="57">
        <f t="shared" si="61"/>
        <v>-2.93225</v>
      </c>
      <c r="K33" s="60">
        <f t="shared" si="50"/>
        <v>-0.4762894736</v>
      </c>
      <c r="L33" s="62">
        <f t="shared" si="51"/>
        <v>-1.757075027</v>
      </c>
      <c r="M33" s="421">
        <f t="shared" ref="M33:O33" si="62">M34+M35</f>
        <v>2.8025</v>
      </c>
      <c r="N33" s="389">
        <f t="shared" si="62"/>
        <v>-10.98086</v>
      </c>
      <c r="O33" s="389">
        <f t="shared" si="62"/>
        <v>-8.31412</v>
      </c>
      <c r="P33" s="357">
        <f t="shared" si="52"/>
        <v>-0.2428534741</v>
      </c>
      <c r="Q33" s="417">
        <f>-IFERROR(O33/M33-1," ")</f>
        <v>3.96667975</v>
      </c>
      <c r="R33" s="244"/>
    </row>
    <row r="34" ht="15.75" customHeight="1">
      <c r="B34" s="445" t="s">
        <v>118</v>
      </c>
      <c r="C34" s="461">
        <f>'DRE DCL E D-ESPAÇO'!B32/1000</f>
        <v>2.0482</v>
      </c>
      <c r="D34" s="460">
        <f>'DRE DCL E D-ESPAÇO'!C32/1000</f>
        <v>1.55</v>
      </c>
      <c r="E34" s="460">
        <f>'DRE DCL E D-ESPAÇO'!D32/1000</f>
        <v>1.96712</v>
      </c>
      <c r="F34" s="357">
        <f t="shared" ref="F34:F38" si="63">IFERROR(E34/D34-1," ")</f>
        <v>0.2691096774</v>
      </c>
      <c r="G34" s="417">
        <f t="shared" si="49"/>
        <v>-0.03958597793</v>
      </c>
      <c r="H34" s="461">
        <f>'DRE DCL E D-ESPAÇO'!H32/1000</f>
        <v>15.60876</v>
      </c>
      <c r="I34" s="462">
        <f>'DRE DCL E D-ESPAÇO'!I32/1000</f>
        <v>9.3</v>
      </c>
      <c r="J34" s="460">
        <f>'DRE DCL E D-ESPAÇO'!J32/1000</f>
        <v>12.90349</v>
      </c>
      <c r="K34" s="60">
        <f t="shared" si="50"/>
        <v>0.387472043</v>
      </c>
      <c r="L34" s="62">
        <f t="shared" si="51"/>
        <v>-0.1733174192</v>
      </c>
      <c r="M34" s="57">
        <f>'DRE DCL E D-ESPAÇO'!N32/1000</f>
        <v>28.1424</v>
      </c>
      <c r="N34" s="57">
        <f>'DRE DCL E D-ESPAÇO'!O32/1000</f>
        <v>18.6</v>
      </c>
      <c r="O34" s="57">
        <f>'DRE DCL E D-ESPAÇO'!P32/1000</f>
        <v>22.20349</v>
      </c>
      <c r="P34" s="357">
        <f t="shared" si="52"/>
        <v>0.1937360215</v>
      </c>
      <c r="Q34" s="417">
        <f t="shared" ref="Q34:Q38" si="64">IFERROR(O34/M34-1," ")</f>
        <v>-0.2110306868</v>
      </c>
      <c r="R34" s="244"/>
    </row>
    <row r="35" ht="15.75" customHeight="1">
      <c r="B35" s="445" t="s">
        <v>121</v>
      </c>
      <c r="C35" s="423">
        <f>-'DRE DCL E D-ESPAÇO'!B33/1000</f>
        <v>-2.06448</v>
      </c>
      <c r="D35" s="57">
        <f>-'DRE DCL E D-ESPAÇO'!C33/1000</f>
        <v>-2.43176</v>
      </c>
      <c r="E35" s="57">
        <f>-'DRE DCL E D-ESPAÇO'!D33/1000</f>
        <v>-3.08375</v>
      </c>
      <c r="F35" s="357">
        <f t="shared" si="63"/>
        <v>0.2681144521</v>
      </c>
      <c r="G35" s="417">
        <f t="shared" si="49"/>
        <v>0.4937175463</v>
      </c>
      <c r="H35" s="423">
        <f>-'DRE DCL E D-ESPAÇO'!H33/1000</f>
        <v>-11.73563</v>
      </c>
      <c r="I35" s="356">
        <f>-'DRE DCL E D-ESPAÇO'!I33/1000</f>
        <v>-14.89899</v>
      </c>
      <c r="J35" s="57">
        <f>-'DRE DCL E D-ESPAÇO'!J33/1000</f>
        <v>-15.83574</v>
      </c>
      <c r="K35" s="60">
        <f t="shared" si="50"/>
        <v>0.0628733894</v>
      </c>
      <c r="L35" s="62">
        <f t="shared" si="51"/>
        <v>0.3493728074</v>
      </c>
      <c r="M35" s="57">
        <f>-'DRE DCL E D-ESPAÇO'!N33/1000</f>
        <v>-25.3399</v>
      </c>
      <c r="N35" s="57">
        <f>-'DRE DCL E D-ESPAÇO'!O33/1000</f>
        <v>-29.58086</v>
      </c>
      <c r="O35" s="57">
        <f>-'DRE DCL E D-ESPAÇO'!P33/1000</f>
        <v>-30.51761</v>
      </c>
      <c r="P35" s="357">
        <f t="shared" si="52"/>
        <v>0.03166743631</v>
      </c>
      <c r="Q35" s="417">
        <f t="shared" si="64"/>
        <v>0.2043303249</v>
      </c>
      <c r="R35" s="244"/>
    </row>
    <row r="36" ht="15.75" customHeight="1">
      <c r="B36" s="445" t="s">
        <v>86</v>
      </c>
      <c r="C36" s="248">
        <f t="shared" ref="C36:E36" si="65">C32+C33</f>
        <v>105.03619</v>
      </c>
      <c r="D36" s="248">
        <f t="shared" si="65"/>
        <v>102.59833</v>
      </c>
      <c r="E36" s="248">
        <f t="shared" si="65"/>
        <v>117.68483</v>
      </c>
      <c r="F36" s="357">
        <f t="shared" si="63"/>
        <v>0.1470443037</v>
      </c>
      <c r="G36" s="417">
        <f t="shared" si="49"/>
        <v>0.1204217327</v>
      </c>
      <c r="H36" s="422">
        <f t="shared" ref="H36:J36" si="66">H32+H33</f>
        <v>604.84297</v>
      </c>
      <c r="I36" s="469">
        <f t="shared" si="66"/>
        <v>594.90973</v>
      </c>
      <c r="J36" s="248">
        <f t="shared" si="66"/>
        <v>680.75099</v>
      </c>
      <c r="K36" s="60">
        <f t="shared" si="50"/>
        <v>0.1442929165</v>
      </c>
      <c r="L36" s="62">
        <f t="shared" si="51"/>
        <v>0.1255003757</v>
      </c>
      <c r="M36" s="421">
        <f t="shared" ref="M36:O36" si="67">M32+M33</f>
        <v>1257.79975</v>
      </c>
      <c r="N36" s="389">
        <f t="shared" si="67"/>
        <v>1247.11831</v>
      </c>
      <c r="O36" s="389">
        <f t="shared" si="67"/>
        <v>1351.75588</v>
      </c>
      <c r="P36" s="357">
        <f t="shared" si="52"/>
        <v>0.08390348306</v>
      </c>
      <c r="Q36" s="417">
        <f t="shared" si="64"/>
        <v>0.07469879844</v>
      </c>
      <c r="R36" s="244"/>
    </row>
    <row r="37" ht="15.75" customHeight="1">
      <c r="B37" s="445" t="s">
        <v>87</v>
      </c>
      <c r="C37" s="423">
        <f>-'DRE DCL E D-ESPAÇO'!B35/1000</f>
        <v>-20.69296</v>
      </c>
      <c r="D37" s="57">
        <f>-'DRE DCL E D-ESPAÇO'!C35/1000</f>
        <v>-21.90603</v>
      </c>
      <c r="E37" s="57">
        <f>-'DRE DCL E D-ESPAÇO'!D35/1000</f>
        <v>-23.46097</v>
      </c>
      <c r="F37" s="357">
        <f t="shared" si="63"/>
        <v>0.07098228205</v>
      </c>
      <c r="G37" s="417">
        <f t="shared" si="49"/>
        <v>0.1337657831</v>
      </c>
      <c r="H37" s="423">
        <f>-'DRE DCL E D-ESPAÇO'!H35/1000</f>
        <v>-124.52193</v>
      </c>
      <c r="I37" s="356">
        <f>-'DRE DCL E D-ESPAÇO'!I35/1000</f>
        <v>-131.25352</v>
      </c>
      <c r="J37" s="57">
        <f>-'DRE DCL E D-ESPAÇO'!J35/1000</f>
        <v>-137.02372</v>
      </c>
      <c r="K37" s="60">
        <f t="shared" si="50"/>
        <v>0.04396224955</v>
      </c>
      <c r="L37" s="62">
        <f t="shared" si="51"/>
        <v>0.1003982993</v>
      </c>
      <c r="M37" s="57">
        <f>-'DRE DCL E D-ESPAÇO'!N35/1000</f>
        <v>-253.29842</v>
      </c>
      <c r="N37" s="57">
        <f>-'DRE DCL E D-ESPAÇO'!O35/1000</f>
        <v>-263.43719</v>
      </c>
      <c r="O37" s="57">
        <f>-'DRE DCL E D-ESPAÇO'!P35/1000</f>
        <v>-272.933</v>
      </c>
      <c r="P37" s="357">
        <f t="shared" si="52"/>
        <v>0.03604582178</v>
      </c>
      <c r="Q37" s="417">
        <f t="shared" si="64"/>
        <v>0.07751560393</v>
      </c>
      <c r="R37" s="244"/>
    </row>
    <row r="38" ht="15.75" customHeight="1">
      <c r="B38" s="468" t="s">
        <v>125</v>
      </c>
      <c r="C38" s="422">
        <f t="shared" ref="C38:E38" si="68">C36+C37</f>
        <v>84.34323</v>
      </c>
      <c r="D38" s="248">
        <f t="shared" si="68"/>
        <v>80.6923</v>
      </c>
      <c r="E38" s="248">
        <f t="shared" si="68"/>
        <v>94.22386</v>
      </c>
      <c r="F38" s="357">
        <f t="shared" si="63"/>
        <v>0.1676933239</v>
      </c>
      <c r="G38" s="417">
        <f t="shared" si="49"/>
        <v>0.117147873</v>
      </c>
      <c r="H38" s="422">
        <f t="shared" ref="H38:J38" si="69">H36+H37</f>
        <v>480.32104</v>
      </c>
      <c r="I38" s="469">
        <f t="shared" si="69"/>
        <v>463.65621</v>
      </c>
      <c r="J38" s="248">
        <f t="shared" si="69"/>
        <v>543.72727</v>
      </c>
      <c r="K38" s="60">
        <f t="shared" si="50"/>
        <v>0.1726948939</v>
      </c>
      <c r="L38" s="62">
        <f t="shared" si="51"/>
        <v>0.1320080211</v>
      </c>
      <c r="M38" s="421">
        <f t="shared" ref="M38:O38" si="70">M36+M37</f>
        <v>1004.50133</v>
      </c>
      <c r="N38" s="389">
        <f t="shared" si="70"/>
        <v>983.68112</v>
      </c>
      <c r="O38" s="389">
        <f t="shared" si="70"/>
        <v>1078.82288</v>
      </c>
      <c r="P38" s="357">
        <f t="shared" si="52"/>
        <v>0.0967201241</v>
      </c>
      <c r="Q38" s="417">
        <f t="shared" si="64"/>
        <v>0.07398850333</v>
      </c>
      <c r="R38" s="244"/>
    </row>
    <row r="39" ht="15.75" customHeight="1">
      <c r="B39" s="498" t="s">
        <v>100</v>
      </c>
      <c r="C39" s="499">
        <f t="shared" ref="C39:E39" si="71">C30/C26</f>
        <v>0.5798039414</v>
      </c>
      <c r="D39" s="500">
        <f t="shared" si="71"/>
        <v>0.5439892456</v>
      </c>
      <c r="E39" s="500">
        <f t="shared" si="71"/>
        <v>0.5782747986</v>
      </c>
      <c r="F39" s="501"/>
      <c r="G39" s="502"/>
      <c r="H39" s="499">
        <f t="shared" ref="H39:J39" si="72">H30/H26</f>
        <v>0.5609733437</v>
      </c>
      <c r="I39" s="500">
        <f t="shared" si="72"/>
        <v>0.5273160589</v>
      </c>
      <c r="J39" s="500">
        <f t="shared" si="72"/>
        <v>0.5744745971</v>
      </c>
      <c r="K39" s="501"/>
      <c r="L39" s="502"/>
      <c r="M39" s="499">
        <f t="shared" ref="M39:O39" si="73">M30/M26</f>
        <v>0.5694256832</v>
      </c>
      <c r="N39" s="500">
        <f t="shared" si="73"/>
        <v>0.5495268863</v>
      </c>
      <c r="O39" s="500">
        <f t="shared" si="73"/>
        <v>0.5730142983</v>
      </c>
      <c r="P39" s="501"/>
      <c r="Q39" s="502"/>
      <c r="R39" s="503"/>
    </row>
    <row r="40" ht="15.75" customHeight="1">
      <c r="R40" s="1"/>
    </row>
    <row r="41" ht="15.75" customHeight="1">
      <c r="C41" s="504"/>
      <c r="H41" s="504"/>
      <c r="M41" s="504"/>
      <c r="R41" s="1"/>
    </row>
    <row r="42" ht="15.75" customHeight="1">
      <c r="R42" s="1"/>
    </row>
    <row r="43" ht="15.75" customHeight="1">
      <c r="B43" s="505" t="s">
        <v>181</v>
      </c>
      <c r="R43" s="1"/>
    </row>
    <row r="44" ht="15.75" customHeight="1">
      <c r="B44" s="505" t="s">
        <v>182</v>
      </c>
      <c r="R44" s="1"/>
    </row>
    <row r="45" ht="15.75" customHeight="1">
      <c r="B45" s="505" t="s">
        <v>183</v>
      </c>
      <c r="J45" s="505" t="s">
        <v>184</v>
      </c>
      <c r="R45" s="1"/>
    </row>
    <row r="46" ht="15.75" customHeight="1">
      <c r="F46" s="505" t="s">
        <v>185</v>
      </c>
      <c r="R46" s="1"/>
    </row>
    <row r="47" ht="15.75" customHeight="1">
      <c r="R47" s="1"/>
    </row>
    <row r="48" ht="15.75" customHeight="1">
      <c r="R48" s="1"/>
    </row>
    <row r="49" ht="15.75" customHeight="1">
      <c r="R49" s="1"/>
    </row>
    <row r="50" ht="15.75" customHeight="1">
      <c r="R50" s="1"/>
    </row>
    <row r="51" ht="15.75" customHeight="1">
      <c r="R51" s="1"/>
    </row>
    <row r="52" ht="15.75" customHeight="1">
      <c r="R52" s="1"/>
    </row>
    <row r="53" ht="15.75" customHeight="1">
      <c r="B53" s="505" t="s">
        <v>186</v>
      </c>
      <c r="R53" s="1"/>
    </row>
    <row r="54" ht="15.75" customHeight="1">
      <c r="B54" s="505" t="s">
        <v>187</v>
      </c>
      <c r="R54" s="1"/>
    </row>
    <row r="55" ht="15.75" customHeight="1">
      <c r="R55" s="1"/>
    </row>
    <row r="56" ht="15.75" customHeight="1">
      <c r="R56" s="1"/>
    </row>
    <row r="57" ht="15.75" customHeight="1">
      <c r="B57" s="506" t="s">
        <v>188</v>
      </c>
      <c r="C57" s="507" t="s">
        <v>189</v>
      </c>
      <c r="D57" s="508"/>
      <c r="E57" s="508"/>
      <c r="F57" s="508"/>
      <c r="G57" s="509"/>
      <c r="M57" s="507" t="s">
        <v>190</v>
      </c>
      <c r="N57" s="508"/>
      <c r="O57" s="508"/>
      <c r="P57" s="508"/>
      <c r="Q57" s="509"/>
      <c r="R57" s="510"/>
    </row>
    <row r="58" ht="15.75" customHeight="1">
      <c r="B58" s="511"/>
      <c r="C58" s="512" t="s">
        <v>191</v>
      </c>
      <c r="D58" s="513" t="s">
        <v>192</v>
      </c>
      <c r="E58" s="513" t="s">
        <v>193</v>
      </c>
      <c r="F58" s="514" t="s">
        <v>194</v>
      </c>
      <c r="G58" s="514" t="s">
        <v>195</v>
      </c>
      <c r="M58" s="512" t="s">
        <v>191</v>
      </c>
      <c r="N58" s="513" t="s">
        <v>192</v>
      </c>
      <c r="O58" s="513" t="s">
        <v>193</v>
      </c>
      <c r="P58" s="514" t="s">
        <v>194</v>
      </c>
      <c r="Q58" s="514" t="s">
        <v>195</v>
      </c>
      <c r="R58" s="515"/>
    </row>
    <row r="59" ht="15.75" customHeight="1">
      <c r="R59" s="1"/>
    </row>
    <row r="60" ht="15.75" customHeight="1">
      <c r="R60" s="1"/>
    </row>
    <row r="61" ht="15.75" customHeight="1">
      <c r="R61" s="1"/>
    </row>
    <row r="62" ht="15.75" customHeight="1">
      <c r="R62" s="1"/>
    </row>
    <row r="63" ht="15.75" customHeight="1">
      <c r="R63" s="1"/>
    </row>
    <row r="64" ht="15.75" customHeight="1">
      <c r="R64" s="1"/>
    </row>
    <row r="65" ht="15.75" customHeight="1">
      <c r="R65" s="1"/>
    </row>
    <row r="66" ht="15.75" customHeight="1">
      <c r="R66" s="1"/>
    </row>
    <row r="67" ht="15.75" customHeight="1">
      <c r="R67" s="1"/>
    </row>
    <row r="68" ht="15.75" customHeight="1">
      <c r="R68" s="1"/>
    </row>
    <row r="69" ht="15.75" customHeight="1">
      <c r="R69" s="1"/>
    </row>
    <row r="70" ht="15.75" customHeight="1">
      <c r="R70" s="1"/>
    </row>
    <row r="71" ht="15.75" customHeight="1">
      <c r="R71" s="1"/>
    </row>
    <row r="72" ht="15.75" customHeight="1">
      <c r="R72" s="1"/>
    </row>
    <row r="73" ht="15.75" customHeight="1">
      <c r="R73" s="1"/>
    </row>
    <row r="74" ht="15.75" customHeight="1">
      <c r="R74" s="1"/>
    </row>
    <row r="75" ht="15.75" customHeight="1">
      <c r="R75" s="1"/>
    </row>
    <row r="76" ht="15.75" customHeight="1">
      <c r="R76" s="1"/>
    </row>
    <row r="77" ht="15.75" customHeight="1">
      <c r="R77" s="1"/>
    </row>
    <row r="78" ht="15.75" customHeight="1">
      <c r="R78" s="1"/>
    </row>
    <row r="79" ht="15.75" customHeight="1">
      <c r="R79" s="1"/>
    </row>
    <row r="80" ht="15.75" customHeight="1">
      <c r="R80" s="1"/>
    </row>
    <row r="81" ht="15.75" customHeight="1">
      <c r="R81" s="1"/>
    </row>
    <row r="82" ht="15.75" customHeight="1">
      <c r="R82" s="1"/>
    </row>
    <row r="83" ht="15.75" customHeight="1">
      <c r="R83" s="1"/>
    </row>
    <row r="84" ht="15.75" customHeight="1">
      <c r="R84" s="1"/>
    </row>
    <row r="85" ht="15.75" customHeight="1">
      <c r="R85" s="1"/>
    </row>
    <row r="86" ht="15.75" customHeight="1">
      <c r="R86" s="1"/>
    </row>
    <row r="87" ht="15.75" customHeight="1">
      <c r="R87" s="1"/>
    </row>
    <row r="88" ht="15.75" customHeight="1">
      <c r="R88" s="1"/>
    </row>
    <row r="89" ht="15.75" customHeight="1">
      <c r="R89" s="1"/>
    </row>
    <row r="90" ht="15.75" customHeight="1">
      <c r="R90" s="1"/>
    </row>
    <row r="91" ht="15.75" customHeight="1">
      <c r="R91" s="1"/>
    </row>
    <row r="92" ht="15.75" customHeight="1">
      <c r="R92" s="1"/>
    </row>
    <row r="93" ht="15.75" customHeight="1">
      <c r="R93" s="1"/>
    </row>
    <row r="94" ht="15.75" customHeight="1">
      <c r="R94" s="1"/>
    </row>
    <row r="95" ht="15.75" customHeight="1">
      <c r="R95" s="1"/>
    </row>
    <row r="96" ht="15.75" customHeight="1">
      <c r="R96" s="1"/>
    </row>
    <row r="97" ht="15.75" customHeight="1">
      <c r="R97" s="1"/>
    </row>
    <row r="98" ht="15.75" customHeight="1">
      <c r="R98" s="1"/>
    </row>
    <row r="99" ht="15.75" customHeight="1">
      <c r="R99" s="1"/>
    </row>
    <row r="100" ht="15.75" customHeight="1">
      <c r="R100" s="1"/>
    </row>
    <row r="101" ht="15.75" customHeight="1">
      <c r="R101" s="1"/>
    </row>
    <row r="102" ht="15.75" customHeight="1">
      <c r="R102" s="1"/>
    </row>
    <row r="103" ht="15.75" customHeight="1">
      <c r="R103" s="1"/>
    </row>
    <row r="104" ht="15.75" customHeight="1">
      <c r="R104" s="1"/>
    </row>
    <row r="105" ht="15.75" customHeight="1">
      <c r="R105" s="1"/>
    </row>
    <row r="106" ht="15.75" customHeight="1">
      <c r="R106" s="1"/>
    </row>
    <row r="107" ht="15.75" customHeight="1">
      <c r="R107" s="1"/>
    </row>
    <row r="108" ht="15.75" customHeight="1">
      <c r="R108" s="1"/>
    </row>
    <row r="109" ht="15.75" customHeight="1">
      <c r="R109" s="1"/>
    </row>
    <row r="110" ht="15.75" customHeight="1">
      <c r="R110" s="1"/>
    </row>
    <row r="111" ht="15.75" customHeight="1">
      <c r="R111" s="1"/>
    </row>
    <row r="112" ht="15.75" customHeight="1">
      <c r="R112" s="1"/>
    </row>
    <row r="113" ht="15.75" customHeight="1">
      <c r="R113" s="1"/>
    </row>
    <row r="114" ht="15.75" customHeight="1">
      <c r="R114" s="1"/>
    </row>
    <row r="115" ht="15.75" customHeight="1">
      <c r="R115" s="1"/>
    </row>
    <row r="116" ht="15.75" customHeight="1">
      <c r="R116" s="1"/>
    </row>
    <row r="117" ht="15.75" customHeight="1">
      <c r="R117" s="1"/>
    </row>
    <row r="118" ht="15.75" customHeight="1">
      <c r="R118" s="1"/>
    </row>
    <row r="119" ht="15.75" customHeight="1">
      <c r="R119" s="1"/>
    </row>
    <row r="120" ht="15.75" customHeight="1">
      <c r="R120" s="1"/>
    </row>
    <row r="121" ht="15.75" customHeight="1">
      <c r="R121" s="1"/>
    </row>
    <row r="122" ht="15.75" customHeight="1">
      <c r="R122" s="1"/>
    </row>
    <row r="123" ht="15.75" customHeight="1">
      <c r="R123" s="1"/>
    </row>
    <row r="124" ht="15.75" customHeight="1">
      <c r="R124" s="1"/>
    </row>
    <row r="125" ht="15.75" customHeight="1">
      <c r="R125" s="1"/>
    </row>
    <row r="126" ht="15.75" customHeight="1">
      <c r="R126" s="1"/>
    </row>
    <row r="127" ht="15.75" customHeight="1">
      <c r="R127" s="1"/>
    </row>
    <row r="128" ht="15.75" customHeight="1">
      <c r="R128" s="1"/>
    </row>
    <row r="129" ht="15.75" customHeight="1">
      <c r="R129" s="1"/>
    </row>
    <row r="130" ht="15.75" customHeight="1">
      <c r="R130" s="1"/>
    </row>
    <row r="131" ht="15.75" customHeight="1">
      <c r="R131" s="1"/>
    </row>
    <row r="132" ht="15.75" customHeight="1">
      <c r="R132" s="1"/>
    </row>
    <row r="133" ht="15.75" customHeight="1">
      <c r="R133" s="1"/>
    </row>
    <row r="134" ht="15.75" customHeight="1">
      <c r="R134" s="1"/>
    </row>
    <row r="135" ht="15.75" customHeight="1">
      <c r="R135" s="1"/>
    </row>
    <row r="136" ht="15.75" customHeight="1">
      <c r="R136" s="1"/>
    </row>
    <row r="137" ht="15.75" customHeight="1">
      <c r="R137" s="1"/>
    </row>
    <row r="138" ht="15.75" customHeight="1">
      <c r="R138" s="1"/>
    </row>
    <row r="139" ht="15.75" customHeight="1">
      <c r="R139" s="1"/>
    </row>
    <row r="140" ht="15.75" customHeight="1">
      <c r="R140" s="1"/>
    </row>
    <row r="141" ht="15.75" customHeight="1">
      <c r="R141" s="1"/>
    </row>
    <row r="142" ht="15.75" customHeight="1">
      <c r="R142" s="1"/>
    </row>
    <row r="143" ht="15.75" customHeight="1">
      <c r="R143" s="1"/>
    </row>
    <row r="144" ht="15.75" customHeight="1">
      <c r="R144" s="1"/>
    </row>
    <row r="145" ht="15.75" customHeight="1">
      <c r="R145" s="1"/>
    </row>
    <row r="146" ht="15.75" customHeight="1">
      <c r="R146" s="1"/>
    </row>
    <row r="147" ht="15.75" customHeight="1">
      <c r="R147" s="1"/>
    </row>
    <row r="148" ht="15.75" customHeight="1">
      <c r="R148" s="1"/>
    </row>
    <row r="149" ht="15.75" customHeight="1">
      <c r="R149" s="1"/>
    </row>
    <row r="150" ht="15.75" customHeight="1">
      <c r="R150" s="1"/>
    </row>
    <row r="151" ht="15.75" customHeight="1">
      <c r="R151" s="1"/>
    </row>
    <row r="152" ht="15.75" customHeight="1">
      <c r="R152" s="1"/>
    </row>
    <row r="153" ht="15.75" customHeight="1">
      <c r="R153" s="1"/>
    </row>
    <row r="154" ht="15.75" customHeight="1">
      <c r="R154" s="1"/>
    </row>
    <row r="155" ht="15.75" customHeight="1">
      <c r="R155" s="1"/>
    </row>
    <row r="156" ht="15.75" customHeight="1">
      <c r="R156" s="1"/>
    </row>
    <row r="157" ht="15.75" customHeight="1">
      <c r="R157" s="1"/>
    </row>
    <row r="158" ht="15.75" customHeight="1">
      <c r="R158" s="1"/>
    </row>
    <row r="159" ht="15.75" customHeight="1">
      <c r="R159" s="1"/>
    </row>
    <row r="160" ht="15.75" customHeight="1">
      <c r="R160" s="1"/>
    </row>
    <row r="161" ht="15.75" customHeight="1">
      <c r="R161" s="1"/>
    </row>
    <row r="162" ht="15.75" customHeight="1">
      <c r="R162" s="1"/>
    </row>
    <row r="163" ht="15.75" customHeight="1">
      <c r="R163" s="1"/>
    </row>
    <row r="164" ht="15.75" customHeight="1">
      <c r="R164" s="1"/>
    </row>
    <row r="165" ht="15.75" customHeight="1">
      <c r="R165" s="1"/>
    </row>
    <row r="166" ht="15.75" customHeight="1">
      <c r="R166" s="1"/>
    </row>
    <row r="167" ht="15.75" customHeight="1">
      <c r="R167" s="1"/>
    </row>
    <row r="168" ht="15.75" customHeight="1">
      <c r="R168" s="1"/>
    </row>
    <row r="169" ht="15.75" customHeight="1">
      <c r="R169" s="1"/>
    </row>
    <row r="170" ht="15.75" customHeight="1">
      <c r="R170" s="1"/>
    </row>
    <row r="171" ht="15.75" customHeight="1">
      <c r="R171" s="1"/>
    </row>
    <row r="172" ht="15.75" customHeight="1">
      <c r="R172" s="1"/>
    </row>
    <row r="173" ht="15.75" customHeight="1">
      <c r="R173" s="1"/>
    </row>
    <row r="174" ht="15.75" customHeight="1">
      <c r="R174" s="1"/>
    </row>
    <row r="175" ht="15.75" customHeight="1">
      <c r="R175" s="1"/>
    </row>
    <row r="176" ht="15.75" customHeight="1">
      <c r="R176" s="1"/>
    </row>
    <row r="177" ht="15.75" customHeight="1">
      <c r="R177" s="1"/>
    </row>
    <row r="178" ht="15.75" customHeight="1">
      <c r="R178" s="1"/>
    </row>
    <row r="179" ht="15.75" customHeight="1">
      <c r="R179" s="1"/>
    </row>
    <row r="180" ht="15.75" customHeight="1">
      <c r="R180" s="1"/>
    </row>
    <row r="181" ht="15.75" customHeight="1">
      <c r="R181" s="1"/>
    </row>
    <row r="182" ht="15.75" customHeight="1">
      <c r="R182" s="1"/>
    </row>
    <row r="183" ht="15.75" customHeight="1">
      <c r="R183" s="1"/>
    </row>
    <row r="184" ht="15.75" customHeight="1">
      <c r="R184" s="1"/>
    </row>
    <row r="185" ht="15.75" customHeight="1">
      <c r="R185" s="1"/>
    </row>
    <row r="186" ht="15.75" customHeight="1">
      <c r="R186" s="1"/>
    </row>
    <row r="187" ht="15.75" customHeight="1">
      <c r="R187" s="1"/>
    </row>
    <row r="188" ht="15.75" customHeight="1">
      <c r="R188" s="1"/>
    </row>
    <row r="189" ht="15.75" customHeight="1">
      <c r="R189" s="1"/>
    </row>
    <row r="190" ht="15.75" customHeight="1">
      <c r="R190" s="1"/>
    </row>
    <row r="191" ht="15.75" customHeight="1">
      <c r="R191" s="1"/>
    </row>
    <row r="192" ht="15.75" customHeight="1">
      <c r="R192" s="1"/>
    </row>
    <row r="193" ht="15.75" customHeight="1">
      <c r="R193" s="1"/>
    </row>
    <row r="194" ht="15.75" customHeight="1">
      <c r="R194" s="1"/>
    </row>
    <row r="195" ht="15.75" customHeight="1">
      <c r="R195" s="1"/>
    </row>
    <row r="196" ht="15.75" customHeight="1">
      <c r="R196" s="1"/>
    </row>
    <row r="197" ht="15.75" customHeight="1">
      <c r="R197" s="1"/>
    </row>
    <row r="198" ht="15.75" customHeight="1">
      <c r="R198" s="1"/>
    </row>
    <row r="199" ht="15.75" customHeight="1">
      <c r="R199" s="1"/>
    </row>
    <row r="200" ht="15.75" customHeight="1">
      <c r="R200" s="1"/>
    </row>
    <row r="201" ht="15.75" customHeight="1">
      <c r="R201" s="1"/>
    </row>
    <row r="202" ht="15.75" customHeight="1">
      <c r="R202" s="1"/>
    </row>
    <row r="203" ht="15.75" customHeight="1">
      <c r="R203" s="1"/>
    </row>
    <row r="204" ht="15.75" customHeight="1">
      <c r="R204" s="1"/>
    </row>
    <row r="205" ht="15.75" customHeight="1">
      <c r="R205" s="1"/>
    </row>
    <row r="206" ht="15.75" customHeight="1">
      <c r="R206" s="1"/>
    </row>
    <row r="207" ht="15.75" customHeight="1">
      <c r="R207" s="1"/>
    </row>
    <row r="208" ht="15.75" customHeight="1">
      <c r="R208" s="1"/>
    </row>
    <row r="209" ht="15.75" customHeight="1">
      <c r="R209" s="1"/>
    </row>
    <row r="210" ht="15.75" customHeight="1">
      <c r="R210" s="1"/>
    </row>
    <row r="211" ht="15.75" customHeight="1">
      <c r="R211" s="1"/>
    </row>
    <row r="212" ht="15.75" customHeight="1">
      <c r="R212" s="1"/>
    </row>
    <row r="213" ht="15.75" customHeight="1">
      <c r="R213" s="1"/>
    </row>
    <row r="214" ht="15.75" customHeight="1">
      <c r="R214" s="1"/>
    </row>
    <row r="215" ht="15.75" customHeight="1">
      <c r="R215" s="1"/>
    </row>
    <row r="216" ht="15.75" customHeight="1">
      <c r="R216" s="1"/>
    </row>
    <row r="217" ht="15.75" customHeight="1">
      <c r="R217" s="1"/>
    </row>
    <row r="218" ht="15.75" customHeight="1">
      <c r="R218" s="1"/>
    </row>
    <row r="219" ht="15.75" customHeight="1">
      <c r="R219" s="1"/>
    </row>
    <row r="220" ht="15.75" customHeight="1">
      <c r="R220" s="1"/>
    </row>
    <row r="221" ht="15.75" customHeight="1">
      <c r="R221" s="1"/>
    </row>
    <row r="222" ht="15.75" customHeight="1">
      <c r="R222" s="1"/>
    </row>
    <row r="223" ht="15.75" customHeight="1">
      <c r="R223" s="1"/>
    </row>
    <row r="224" ht="15.75" customHeight="1">
      <c r="R224" s="1"/>
    </row>
    <row r="225" ht="15.75" customHeight="1">
      <c r="R225" s="1"/>
    </row>
    <row r="226" ht="15.75" customHeight="1">
      <c r="R226" s="1"/>
    </row>
    <row r="227" ht="15.75" customHeight="1">
      <c r="R227" s="1"/>
    </row>
    <row r="228" ht="15.75" customHeight="1">
      <c r="R228" s="1"/>
    </row>
    <row r="229" ht="15.75" customHeight="1">
      <c r="R229" s="1"/>
    </row>
    <row r="230" ht="15.75" customHeight="1">
      <c r="R230" s="1"/>
    </row>
    <row r="231" ht="15.75" customHeight="1">
      <c r="R231" s="1"/>
    </row>
    <row r="232" ht="15.75" customHeight="1">
      <c r="R232" s="1"/>
    </row>
    <row r="233" ht="15.75" customHeight="1">
      <c r="R233" s="1"/>
    </row>
    <row r="234" ht="15.75" customHeight="1">
      <c r="R234" s="1"/>
    </row>
    <row r="235" ht="15.75" customHeight="1">
      <c r="R235" s="1"/>
    </row>
    <row r="236" ht="15.75" customHeight="1">
      <c r="R236" s="1"/>
    </row>
    <row r="237" ht="15.75" customHeight="1">
      <c r="R237" s="1"/>
    </row>
    <row r="238" ht="15.75" customHeight="1">
      <c r="R238" s="1"/>
    </row>
    <row r="239" ht="15.75" customHeight="1">
      <c r="R239" s="1"/>
    </row>
    <row r="240" ht="15.75" customHeight="1">
      <c r="R240" s="1"/>
    </row>
    <row r="241" ht="15.75" customHeight="1">
      <c r="R241" s="1"/>
    </row>
    <row r="242" ht="15.75" customHeight="1">
      <c r="R242" s="1"/>
    </row>
    <row r="243" ht="15.75" customHeight="1">
      <c r="R243" s="1"/>
    </row>
    <row r="244" ht="15.75" customHeight="1">
      <c r="R244" s="1"/>
    </row>
    <row r="245" ht="15.75" customHeight="1">
      <c r="R245" s="1"/>
    </row>
    <row r="246" ht="15.75" customHeight="1">
      <c r="R246" s="1"/>
    </row>
    <row r="247" ht="15.75" customHeight="1">
      <c r="R247" s="1"/>
    </row>
    <row r="248" ht="15.75" customHeight="1">
      <c r="R248" s="1"/>
    </row>
    <row r="249" ht="15.75" customHeight="1">
      <c r="R249" s="1"/>
    </row>
    <row r="250" ht="15.75" customHeight="1">
      <c r="R250" s="1"/>
    </row>
    <row r="251" ht="15.75" customHeight="1">
      <c r="R251" s="1"/>
    </row>
    <row r="252" ht="15.75" customHeight="1">
      <c r="R252" s="1"/>
    </row>
    <row r="253" ht="15.75" customHeight="1">
      <c r="R253" s="1"/>
    </row>
    <row r="254" ht="15.75" customHeight="1">
      <c r="R254" s="1"/>
    </row>
    <row r="255" ht="15.75" customHeight="1">
      <c r="R255" s="1"/>
    </row>
    <row r="256" ht="15.75" customHeight="1">
      <c r="R256" s="1"/>
    </row>
    <row r="257" ht="15.75" customHeight="1">
      <c r="R257" s="1"/>
    </row>
    <row r="258" ht="15.75" customHeight="1">
      <c r="R258" s="1"/>
    </row>
    <row r="259" ht="15.75" customHeight="1">
      <c r="R259" s="1"/>
    </row>
    <row r="260" ht="15.75" customHeight="1">
      <c r="R260" s="1"/>
    </row>
    <row r="261" ht="15.75" customHeight="1">
      <c r="R261" s="1"/>
    </row>
    <row r="262" ht="15.75" customHeight="1">
      <c r="R262" s="1"/>
    </row>
    <row r="263" ht="15.75" customHeight="1">
      <c r="R263" s="1"/>
    </row>
    <row r="264" ht="15.75" customHeight="1">
      <c r="R264" s="1"/>
    </row>
    <row r="265" ht="15.75" customHeight="1">
      <c r="R265" s="1"/>
    </row>
    <row r="266" ht="15.75" customHeight="1">
      <c r="R266" s="1"/>
    </row>
    <row r="267" ht="15.75" customHeight="1">
      <c r="R267" s="1"/>
    </row>
    <row r="268" ht="15.75" customHeight="1">
      <c r="R268" s="1"/>
    </row>
    <row r="269" ht="15.75" customHeight="1">
      <c r="R269" s="1"/>
    </row>
    <row r="270" ht="15.75" customHeight="1">
      <c r="R270" s="1"/>
    </row>
    <row r="271" ht="15.75" customHeight="1">
      <c r="R271" s="1"/>
    </row>
    <row r="272" ht="15.75" customHeight="1">
      <c r="R272" s="1"/>
    </row>
    <row r="273" ht="15.75" customHeight="1">
      <c r="R273" s="1"/>
    </row>
    <row r="274" ht="15.75" customHeight="1">
      <c r="R274" s="1"/>
    </row>
    <row r="275" ht="15.75" customHeight="1">
      <c r="R275" s="1"/>
    </row>
    <row r="276" ht="15.75" customHeight="1">
      <c r="R276" s="1"/>
    </row>
    <row r="277" ht="15.75" customHeight="1">
      <c r="R277" s="1"/>
    </row>
    <row r="278" ht="15.75" customHeight="1">
      <c r="R278" s="1"/>
    </row>
    <row r="279" ht="15.75" customHeight="1">
      <c r="R279" s="1"/>
    </row>
    <row r="280" ht="15.75" customHeight="1">
      <c r="R280" s="1"/>
    </row>
    <row r="281" ht="15.75" customHeight="1">
      <c r="R281" s="1"/>
    </row>
    <row r="282" ht="15.75" customHeight="1">
      <c r="R282" s="1"/>
    </row>
    <row r="283" ht="15.75" customHeight="1">
      <c r="R283" s="1"/>
    </row>
    <row r="284" ht="15.75" customHeight="1">
      <c r="R284" s="1"/>
    </row>
    <row r="285" ht="15.75" customHeight="1">
      <c r="R285" s="1"/>
    </row>
    <row r="286" ht="15.75" customHeight="1">
      <c r="R286" s="1"/>
    </row>
    <row r="287" ht="15.75" customHeight="1">
      <c r="R287" s="1"/>
    </row>
    <row r="288" ht="15.75" customHeight="1">
      <c r="R288" s="1"/>
    </row>
    <row r="289" ht="15.75" customHeight="1">
      <c r="R289" s="1"/>
    </row>
    <row r="290" ht="15.75" customHeight="1">
      <c r="R290" s="1"/>
    </row>
    <row r="291" ht="15.75" customHeight="1">
      <c r="R291" s="1"/>
    </row>
    <row r="292" ht="15.75" customHeight="1">
      <c r="R292" s="1"/>
    </row>
    <row r="293" ht="15.75" customHeight="1">
      <c r="R293" s="1"/>
    </row>
    <row r="294" ht="15.75" customHeight="1">
      <c r="R294" s="1"/>
    </row>
    <row r="295" ht="15.75" customHeight="1">
      <c r="R295" s="1"/>
    </row>
    <row r="296" ht="15.75" customHeight="1">
      <c r="R296" s="1"/>
    </row>
    <row r="297" ht="15.75" customHeight="1">
      <c r="R297" s="1"/>
    </row>
    <row r="298" ht="15.75" customHeight="1">
      <c r="R298" s="1"/>
    </row>
    <row r="299" ht="15.75" customHeight="1">
      <c r="R299" s="1"/>
    </row>
    <row r="300" ht="15.75" customHeight="1">
      <c r="R300" s="1"/>
    </row>
    <row r="301" ht="15.75" customHeight="1">
      <c r="R301" s="1"/>
    </row>
    <row r="302" ht="15.75" customHeight="1">
      <c r="R302" s="1"/>
    </row>
    <row r="303" ht="15.75" customHeight="1">
      <c r="R303" s="1"/>
    </row>
    <row r="304" ht="15.75" customHeight="1">
      <c r="R304" s="1"/>
    </row>
    <row r="305" ht="15.75" customHeight="1">
      <c r="R305" s="1"/>
    </row>
    <row r="306" ht="15.75" customHeight="1">
      <c r="R306" s="1"/>
    </row>
    <row r="307" ht="15.75" customHeight="1">
      <c r="R307" s="1"/>
    </row>
    <row r="308" ht="15.75" customHeight="1">
      <c r="R308" s="1"/>
    </row>
    <row r="309" ht="15.75" customHeight="1">
      <c r="R309" s="1"/>
    </row>
    <row r="310" ht="15.75" customHeight="1">
      <c r="R310" s="1"/>
    </row>
    <row r="311" ht="15.75" customHeight="1">
      <c r="R311" s="1"/>
    </row>
    <row r="312" ht="15.75" customHeight="1">
      <c r="R312" s="1"/>
    </row>
    <row r="313" ht="15.75" customHeight="1">
      <c r="R313" s="1"/>
    </row>
    <row r="314" ht="15.75" customHeight="1">
      <c r="R314" s="1"/>
    </row>
    <row r="315" ht="15.75" customHeight="1">
      <c r="R315" s="1"/>
    </row>
    <row r="316" ht="15.75" customHeight="1">
      <c r="R316" s="1"/>
    </row>
    <row r="317" ht="15.75" customHeight="1">
      <c r="R317" s="1"/>
    </row>
    <row r="318" ht="15.75" customHeight="1">
      <c r="R318" s="1"/>
    </row>
    <row r="319" ht="15.75" customHeight="1">
      <c r="R319" s="1"/>
    </row>
    <row r="320" ht="15.75" customHeight="1">
      <c r="R320" s="1"/>
    </row>
    <row r="321" ht="15.75" customHeight="1">
      <c r="R321" s="1"/>
    </row>
    <row r="322" ht="15.75" customHeight="1">
      <c r="R322" s="1"/>
    </row>
    <row r="323" ht="15.75" customHeight="1">
      <c r="R323" s="1"/>
    </row>
    <row r="324" ht="15.75" customHeight="1">
      <c r="R324" s="1"/>
    </row>
    <row r="325" ht="15.75" customHeight="1">
      <c r="R325" s="1"/>
    </row>
    <row r="326" ht="15.75" customHeight="1">
      <c r="R326" s="1"/>
    </row>
    <row r="327" ht="15.75" customHeight="1">
      <c r="R327" s="1"/>
    </row>
    <row r="328" ht="15.75" customHeight="1">
      <c r="R328" s="1"/>
    </row>
    <row r="329" ht="15.75" customHeight="1">
      <c r="R329" s="1"/>
    </row>
    <row r="330" ht="15.75" customHeight="1">
      <c r="R330" s="1"/>
    </row>
    <row r="331" ht="15.75" customHeight="1">
      <c r="R331" s="1"/>
    </row>
    <row r="332" ht="15.75" customHeight="1">
      <c r="R332" s="1"/>
    </row>
    <row r="333" ht="15.75" customHeight="1">
      <c r="R333" s="1"/>
    </row>
    <row r="334" ht="15.75" customHeight="1">
      <c r="R334" s="1"/>
    </row>
    <row r="335" ht="15.75" customHeight="1">
      <c r="R335" s="1"/>
    </row>
    <row r="336" ht="15.75" customHeight="1">
      <c r="R336" s="1"/>
    </row>
    <row r="337" ht="15.75" customHeight="1">
      <c r="R337" s="1"/>
    </row>
    <row r="338" ht="15.75" customHeight="1">
      <c r="R338" s="1"/>
    </row>
    <row r="339" ht="15.75" customHeight="1">
      <c r="R339" s="1"/>
    </row>
    <row r="340" ht="15.75" customHeight="1">
      <c r="R340" s="1"/>
    </row>
    <row r="341" ht="15.75" customHeight="1">
      <c r="R341" s="1"/>
    </row>
    <row r="342" ht="15.75" customHeight="1">
      <c r="R342" s="1"/>
    </row>
    <row r="343" ht="15.75" customHeight="1">
      <c r="R343" s="1"/>
    </row>
    <row r="344" ht="15.75" customHeight="1">
      <c r="R344" s="1"/>
    </row>
    <row r="345" ht="15.75" customHeight="1">
      <c r="R345" s="1"/>
    </row>
    <row r="346" ht="15.75" customHeight="1">
      <c r="R346" s="1"/>
    </row>
    <row r="347" ht="15.75" customHeight="1">
      <c r="R347" s="1"/>
    </row>
    <row r="348" ht="15.75" customHeight="1">
      <c r="R348" s="1"/>
    </row>
    <row r="349" ht="15.75" customHeight="1">
      <c r="R349" s="1"/>
    </row>
    <row r="350" ht="15.75" customHeight="1">
      <c r="R350" s="1"/>
    </row>
    <row r="351" ht="15.75" customHeight="1">
      <c r="R351" s="1"/>
    </row>
    <row r="352" ht="15.75" customHeight="1">
      <c r="R352" s="1"/>
    </row>
    <row r="353" ht="15.75" customHeight="1">
      <c r="R353" s="1"/>
    </row>
    <row r="354" ht="15.75" customHeight="1">
      <c r="R354" s="1"/>
    </row>
    <row r="355" ht="15.75" customHeight="1">
      <c r="R355" s="1"/>
    </row>
    <row r="356" ht="15.75" customHeight="1">
      <c r="R356" s="1"/>
    </row>
    <row r="357" ht="15.75" customHeight="1">
      <c r="R357" s="1"/>
    </row>
    <row r="358" ht="15.75" customHeight="1">
      <c r="R358" s="1"/>
    </row>
    <row r="359" ht="15.75" customHeight="1">
      <c r="R359" s="1"/>
    </row>
    <row r="360" ht="15.75" customHeight="1">
      <c r="R360" s="1"/>
    </row>
    <row r="361" ht="15.75" customHeight="1">
      <c r="R361" s="1"/>
    </row>
    <row r="362" ht="15.75" customHeight="1">
      <c r="R362" s="1"/>
    </row>
    <row r="363" ht="15.75" customHeight="1">
      <c r="R363" s="1"/>
    </row>
    <row r="364" ht="15.75" customHeight="1">
      <c r="R364" s="1"/>
    </row>
    <row r="365" ht="15.75" customHeight="1">
      <c r="R365" s="1"/>
    </row>
    <row r="366" ht="15.75" customHeight="1">
      <c r="R366" s="1"/>
    </row>
    <row r="367" ht="15.75" customHeight="1">
      <c r="R367" s="1"/>
    </row>
    <row r="368" ht="15.75" customHeight="1">
      <c r="R368" s="1"/>
    </row>
    <row r="369" ht="15.75" customHeight="1">
      <c r="R369" s="1"/>
    </row>
    <row r="370" ht="15.75" customHeight="1">
      <c r="R370" s="1"/>
    </row>
    <row r="371" ht="15.75" customHeight="1">
      <c r="R371" s="1"/>
    </row>
    <row r="372" ht="15.75" customHeight="1">
      <c r="R372" s="1"/>
    </row>
    <row r="373" ht="15.75" customHeight="1">
      <c r="R373" s="1"/>
    </row>
    <row r="374" ht="15.75" customHeight="1">
      <c r="R374" s="1"/>
    </row>
    <row r="375" ht="15.75" customHeight="1">
      <c r="R375" s="1"/>
    </row>
    <row r="376" ht="15.75" customHeight="1">
      <c r="R376" s="1"/>
    </row>
    <row r="377" ht="15.75" customHeight="1">
      <c r="R377" s="1"/>
    </row>
    <row r="378" ht="15.75" customHeight="1">
      <c r="R378" s="1"/>
    </row>
    <row r="379" ht="15.75" customHeight="1">
      <c r="R379" s="1"/>
    </row>
    <row r="380" ht="15.75" customHeight="1">
      <c r="R380" s="1"/>
    </row>
    <row r="381" ht="15.75" customHeight="1">
      <c r="R381" s="1"/>
    </row>
    <row r="382" ht="15.75" customHeight="1">
      <c r="R382" s="1"/>
    </row>
    <row r="383" ht="15.75" customHeight="1">
      <c r="R383" s="1"/>
    </row>
    <row r="384" ht="15.75" customHeight="1">
      <c r="R384" s="1"/>
    </row>
    <row r="385" ht="15.75" customHeight="1">
      <c r="R385" s="1"/>
    </row>
    <row r="386" ht="15.75" customHeight="1">
      <c r="R386" s="1"/>
    </row>
    <row r="387" ht="15.75" customHeight="1">
      <c r="R387" s="1"/>
    </row>
    <row r="388" ht="15.75" customHeight="1">
      <c r="R388" s="1"/>
    </row>
    <row r="389" ht="15.75" customHeight="1">
      <c r="R389" s="1"/>
    </row>
    <row r="390" ht="15.75" customHeight="1">
      <c r="R390" s="1"/>
    </row>
    <row r="391" ht="15.75" customHeight="1">
      <c r="R391" s="1"/>
    </row>
    <row r="392" ht="15.75" customHeight="1">
      <c r="R392" s="1"/>
    </row>
    <row r="393" ht="15.75" customHeight="1">
      <c r="R393" s="1"/>
    </row>
    <row r="394" ht="15.75" customHeight="1">
      <c r="R394" s="1"/>
    </row>
    <row r="395" ht="15.75" customHeight="1">
      <c r="R395" s="1"/>
    </row>
    <row r="396" ht="15.75" customHeight="1">
      <c r="R396" s="1"/>
    </row>
    <row r="397" ht="15.75" customHeight="1">
      <c r="R397" s="1"/>
    </row>
    <row r="398" ht="15.75" customHeight="1">
      <c r="R398" s="1"/>
    </row>
    <row r="399" ht="15.75" customHeight="1">
      <c r="R399" s="1"/>
    </row>
    <row r="400" ht="15.75" customHeight="1">
      <c r="R400" s="1"/>
    </row>
    <row r="401" ht="15.75" customHeight="1">
      <c r="R401" s="1"/>
    </row>
    <row r="402" ht="15.75" customHeight="1">
      <c r="R402" s="1"/>
    </row>
    <row r="403" ht="15.75" customHeight="1">
      <c r="R403" s="1"/>
    </row>
    <row r="404" ht="15.75" customHeight="1">
      <c r="R404" s="1"/>
    </row>
    <row r="405" ht="15.75" customHeight="1">
      <c r="R405" s="1"/>
    </row>
    <row r="406" ht="15.75" customHeight="1">
      <c r="R406" s="1"/>
    </row>
    <row r="407" ht="15.75" customHeight="1">
      <c r="R407" s="1"/>
    </row>
    <row r="408" ht="15.75" customHeight="1">
      <c r="R408" s="1"/>
    </row>
    <row r="409" ht="15.75" customHeight="1">
      <c r="R409" s="1"/>
    </row>
    <row r="410" ht="15.75" customHeight="1">
      <c r="R410" s="1"/>
    </row>
    <row r="411" ht="15.75" customHeight="1">
      <c r="R411" s="1"/>
    </row>
    <row r="412" ht="15.75" customHeight="1">
      <c r="R412" s="1"/>
    </row>
    <row r="413" ht="15.75" customHeight="1">
      <c r="R413" s="1"/>
    </row>
    <row r="414" ht="15.75" customHeight="1">
      <c r="R414" s="1"/>
    </row>
    <row r="415" ht="15.75" customHeight="1">
      <c r="R415" s="1"/>
    </row>
    <row r="416" ht="15.75" customHeight="1">
      <c r="R416" s="1"/>
    </row>
    <row r="417" ht="15.75" customHeight="1">
      <c r="R417" s="1"/>
    </row>
    <row r="418" ht="15.75" customHeight="1">
      <c r="R418" s="1"/>
    </row>
    <row r="419" ht="15.75" customHeight="1">
      <c r="R419" s="1"/>
    </row>
    <row r="420" ht="15.75" customHeight="1">
      <c r="R420" s="1"/>
    </row>
    <row r="421" ht="15.75" customHeight="1">
      <c r="R421" s="1"/>
    </row>
    <row r="422" ht="15.75" customHeight="1">
      <c r="R422" s="1"/>
    </row>
    <row r="423" ht="15.75" customHeight="1">
      <c r="R423" s="1"/>
    </row>
    <row r="424" ht="15.75" customHeight="1">
      <c r="R424" s="1"/>
    </row>
    <row r="425" ht="15.75" customHeight="1">
      <c r="R425" s="1"/>
    </row>
    <row r="426" ht="15.75" customHeight="1">
      <c r="R426" s="1"/>
    </row>
    <row r="427" ht="15.75" customHeight="1">
      <c r="R427" s="1"/>
    </row>
    <row r="428" ht="15.75" customHeight="1">
      <c r="R428" s="1"/>
    </row>
    <row r="429" ht="15.75" customHeight="1">
      <c r="R429" s="1"/>
    </row>
    <row r="430" ht="15.75" customHeight="1">
      <c r="R430" s="1"/>
    </row>
    <row r="431" ht="15.75" customHeight="1">
      <c r="R431" s="1"/>
    </row>
    <row r="432" ht="15.75" customHeight="1">
      <c r="R432" s="1"/>
    </row>
    <row r="433" ht="15.75" customHeight="1">
      <c r="R433" s="1"/>
    </row>
    <row r="434" ht="15.75" customHeight="1">
      <c r="R434" s="1"/>
    </row>
    <row r="435" ht="15.75" customHeight="1">
      <c r="R435" s="1"/>
    </row>
    <row r="436" ht="15.75" customHeight="1">
      <c r="R436" s="1"/>
    </row>
    <row r="437" ht="15.75" customHeight="1">
      <c r="R437" s="1"/>
    </row>
    <row r="438" ht="15.75" customHeight="1">
      <c r="R438" s="1"/>
    </row>
    <row r="439" ht="15.75" customHeight="1">
      <c r="R439" s="1"/>
    </row>
    <row r="440" ht="15.75" customHeight="1">
      <c r="R440" s="1"/>
    </row>
    <row r="441" ht="15.75" customHeight="1">
      <c r="R441" s="1"/>
    </row>
    <row r="442" ht="15.75" customHeight="1">
      <c r="R442" s="1"/>
    </row>
    <row r="443" ht="15.75" customHeight="1">
      <c r="R443" s="1"/>
    </row>
    <row r="444" ht="15.75" customHeight="1">
      <c r="R444" s="1"/>
    </row>
    <row r="445" ht="15.75" customHeight="1">
      <c r="R445" s="1"/>
    </row>
    <row r="446" ht="15.75" customHeight="1">
      <c r="R446" s="1"/>
    </row>
    <row r="447" ht="15.75" customHeight="1">
      <c r="R447" s="1"/>
    </row>
    <row r="448" ht="15.75" customHeight="1">
      <c r="R448" s="1"/>
    </row>
    <row r="449" ht="15.75" customHeight="1">
      <c r="R449" s="1"/>
    </row>
    <row r="450" ht="15.75" customHeight="1">
      <c r="R450" s="1"/>
    </row>
    <row r="451" ht="15.75" customHeight="1">
      <c r="R451" s="1"/>
    </row>
    <row r="452" ht="15.75" customHeight="1">
      <c r="R452" s="1"/>
    </row>
    <row r="453" ht="15.75" customHeight="1">
      <c r="R453" s="1"/>
    </row>
    <row r="454" ht="15.75" customHeight="1">
      <c r="R454" s="1"/>
    </row>
    <row r="455" ht="15.75" customHeight="1">
      <c r="R455" s="1"/>
    </row>
    <row r="456" ht="15.75" customHeight="1">
      <c r="R456" s="1"/>
    </row>
    <row r="457" ht="15.75" customHeight="1">
      <c r="R457" s="1"/>
    </row>
    <row r="458" ht="15.75" customHeight="1">
      <c r="R458" s="1"/>
    </row>
    <row r="459" ht="15.75" customHeight="1">
      <c r="R459" s="1"/>
    </row>
    <row r="460" ht="15.75" customHeight="1">
      <c r="R460" s="1"/>
    </row>
    <row r="461" ht="15.75" customHeight="1">
      <c r="R461" s="1"/>
    </row>
    <row r="462" ht="15.75" customHeight="1">
      <c r="R462" s="1"/>
    </row>
    <row r="463" ht="15.75" customHeight="1">
      <c r="R463" s="1"/>
    </row>
    <row r="464" ht="15.75" customHeight="1">
      <c r="R464" s="1"/>
    </row>
    <row r="465" ht="15.75" customHeight="1">
      <c r="R465" s="1"/>
    </row>
    <row r="466" ht="15.75" customHeight="1">
      <c r="R466" s="1"/>
    </row>
    <row r="467" ht="15.75" customHeight="1">
      <c r="R467" s="1"/>
    </row>
    <row r="468" ht="15.75" customHeight="1">
      <c r="R468" s="1"/>
    </row>
    <row r="469" ht="15.75" customHeight="1">
      <c r="R469" s="1"/>
    </row>
    <row r="470" ht="15.75" customHeight="1">
      <c r="R470" s="1"/>
    </row>
    <row r="471" ht="15.75" customHeight="1">
      <c r="R471" s="1"/>
    </row>
    <row r="472" ht="15.75" customHeight="1">
      <c r="R472" s="1"/>
    </row>
    <row r="473" ht="15.75" customHeight="1">
      <c r="R473" s="1"/>
    </row>
    <row r="474" ht="15.75" customHeight="1">
      <c r="R474" s="1"/>
    </row>
    <row r="475" ht="15.75" customHeight="1">
      <c r="R475" s="1"/>
    </row>
    <row r="476" ht="15.75" customHeight="1">
      <c r="R476" s="1"/>
    </row>
    <row r="477" ht="15.75" customHeight="1">
      <c r="R477" s="1"/>
    </row>
    <row r="478" ht="15.75" customHeight="1">
      <c r="R478" s="1"/>
    </row>
    <row r="479" ht="15.75" customHeight="1">
      <c r="R479" s="1"/>
    </row>
    <row r="480" ht="15.75" customHeight="1">
      <c r="R480" s="1"/>
    </row>
    <row r="481" ht="15.75" customHeight="1">
      <c r="R481" s="1"/>
    </row>
    <row r="482" ht="15.75" customHeight="1">
      <c r="R482" s="1"/>
    </row>
    <row r="483" ht="15.75" customHeight="1">
      <c r="R483" s="1"/>
    </row>
    <row r="484" ht="15.75" customHeight="1">
      <c r="R484" s="1"/>
    </row>
    <row r="485" ht="15.75" customHeight="1">
      <c r="R485" s="1"/>
    </row>
    <row r="486" ht="15.75" customHeight="1">
      <c r="R486" s="1"/>
    </row>
    <row r="487" ht="15.75" customHeight="1">
      <c r="R487" s="1"/>
    </row>
    <row r="488" ht="15.75" customHeight="1">
      <c r="R488" s="1"/>
    </row>
    <row r="489" ht="15.75" customHeight="1">
      <c r="R489" s="1"/>
    </row>
    <row r="490" ht="15.75" customHeight="1">
      <c r="R490" s="1"/>
    </row>
    <row r="491" ht="15.75" customHeight="1">
      <c r="R491" s="1"/>
    </row>
    <row r="492" ht="15.75" customHeight="1">
      <c r="R492" s="1"/>
    </row>
    <row r="493" ht="15.75" customHeight="1">
      <c r="R493" s="1"/>
    </row>
    <row r="494" ht="15.75" customHeight="1">
      <c r="R494" s="1"/>
    </row>
    <row r="495" ht="15.75" customHeight="1">
      <c r="R495" s="1"/>
    </row>
    <row r="496" ht="15.75" customHeight="1">
      <c r="R496" s="1"/>
    </row>
    <row r="497" ht="15.75" customHeight="1">
      <c r="R497" s="1"/>
    </row>
    <row r="498" ht="15.75" customHeight="1">
      <c r="R498" s="1"/>
    </row>
    <row r="499" ht="15.75" customHeight="1">
      <c r="R499" s="1"/>
    </row>
    <row r="500" ht="15.75" customHeight="1">
      <c r="R500" s="1"/>
    </row>
    <row r="501" ht="15.75" customHeight="1">
      <c r="R501" s="1"/>
    </row>
    <row r="502" ht="15.75" customHeight="1">
      <c r="R502" s="1"/>
    </row>
    <row r="503" ht="15.75" customHeight="1">
      <c r="R503" s="1"/>
    </row>
    <row r="504" ht="15.75" customHeight="1">
      <c r="R504" s="1"/>
    </row>
    <row r="505" ht="15.75" customHeight="1">
      <c r="R505" s="1"/>
    </row>
    <row r="506" ht="15.75" customHeight="1">
      <c r="R506" s="1"/>
    </row>
    <row r="507" ht="15.75" customHeight="1">
      <c r="R507" s="1"/>
    </row>
    <row r="508" ht="15.75" customHeight="1">
      <c r="R508" s="1"/>
    </row>
    <row r="509" ht="15.75" customHeight="1">
      <c r="R509" s="1"/>
    </row>
    <row r="510" ht="15.75" customHeight="1">
      <c r="R510" s="1"/>
    </row>
    <row r="511" ht="15.75" customHeight="1">
      <c r="R511" s="1"/>
    </row>
    <row r="512" ht="15.75" customHeight="1">
      <c r="R512" s="1"/>
    </row>
    <row r="513" ht="15.75" customHeight="1">
      <c r="R513" s="1"/>
    </row>
    <row r="514" ht="15.75" customHeight="1">
      <c r="R514" s="1"/>
    </row>
    <row r="515" ht="15.75" customHeight="1">
      <c r="R515" s="1"/>
    </row>
    <row r="516" ht="15.75" customHeight="1">
      <c r="R516" s="1"/>
    </row>
    <row r="517" ht="15.75" customHeight="1">
      <c r="R517" s="1"/>
    </row>
    <row r="518" ht="15.75" customHeight="1">
      <c r="R518" s="1"/>
    </row>
    <row r="519" ht="15.75" customHeight="1">
      <c r="R519" s="1"/>
    </row>
    <row r="520" ht="15.75" customHeight="1">
      <c r="R520" s="1"/>
    </row>
    <row r="521" ht="15.75" customHeight="1">
      <c r="R521" s="1"/>
    </row>
    <row r="522" ht="15.75" customHeight="1">
      <c r="R522" s="1"/>
    </row>
    <row r="523" ht="15.75" customHeight="1">
      <c r="R523" s="1"/>
    </row>
    <row r="524" ht="15.75" customHeight="1">
      <c r="R524" s="1"/>
    </row>
    <row r="525" ht="15.75" customHeight="1">
      <c r="R525" s="1"/>
    </row>
    <row r="526" ht="15.75" customHeight="1">
      <c r="R526" s="1"/>
    </row>
    <row r="527" ht="15.75" customHeight="1">
      <c r="R527" s="1"/>
    </row>
    <row r="528" ht="15.75" customHeight="1">
      <c r="R528" s="1"/>
    </row>
    <row r="529" ht="15.75" customHeight="1">
      <c r="R529" s="1"/>
    </row>
    <row r="530" ht="15.75" customHeight="1">
      <c r="R530" s="1"/>
    </row>
    <row r="531" ht="15.75" customHeight="1">
      <c r="R531" s="1"/>
    </row>
    <row r="532" ht="15.75" customHeight="1">
      <c r="R532" s="1"/>
    </row>
    <row r="533" ht="15.75" customHeight="1">
      <c r="R533" s="1"/>
    </row>
    <row r="534" ht="15.75" customHeight="1">
      <c r="R534" s="1"/>
    </row>
    <row r="535" ht="15.75" customHeight="1">
      <c r="R535" s="1"/>
    </row>
    <row r="536" ht="15.75" customHeight="1">
      <c r="R536" s="1"/>
    </row>
    <row r="537" ht="15.75" customHeight="1">
      <c r="R537" s="1"/>
    </row>
    <row r="538" ht="15.75" customHeight="1">
      <c r="R538" s="1"/>
    </row>
    <row r="539" ht="15.75" customHeight="1">
      <c r="R539" s="1"/>
    </row>
    <row r="540" ht="15.75" customHeight="1">
      <c r="R540" s="1"/>
    </row>
    <row r="541" ht="15.75" customHeight="1">
      <c r="R541" s="1"/>
    </row>
    <row r="542" ht="15.75" customHeight="1">
      <c r="R542" s="1"/>
    </row>
    <row r="543" ht="15.75" customHeight="1">
      <c r="R543" s="1"/>
    </row>
    <row r="544" ht="15.75" customHeight="1">
      <c r="R544" s="1"/>
    </row>
    <row r="545" ht="15.75" customHeight="1">
      <c r="R545" s="1"/>
    </row>
    <row r="546" ht="15.75" customHeight="1">
      <c r="R546" s="1"/>
    </row>
    <row r="547" ht="15.75" customHeight="1">
      <c r="R547" s="1"/>
    </row>
    <row r="548" ht="15.75" customHeight="1">
      <c r="R548" s="1"/>
    </row>
    <row r="549" ht="15.75" customHeight="1">
      <c r="R549" s="1"/>
    </row>
    <row r="550" ht="15.75" customHeight="1">
      <c r="R550" s="1"/>
    </row>
    <row r="551" ht="15.75" customHeight="1">
      <c r="R551" s="1"/>
    </row>
    <row r="552" ht="15.75" customHeight="1">
      <c r="R552" s="1"/>
    </row>
    <row r="553" ht="15.75" customHeight="1">
      <c r="R553" s="1"/>
    </row>
    <row r="554" ht="15.75" customHeight="1">
      <c r="R554" s="1"/>
    </row>
    <row r="555" ht="15.75" customHeight="1">
      <c r="R555" s="1"/>
    </row>
    <row r="556" ht="15.75" customHeight="1">
      <c r="R556" s="1"/>
    </row>
    <row r="557" ht="15.75" customHeight="1">
      <c r="R557" s="1"/>
    </row>
    <row r="558" ht="15.75" customHeight="1">
      <c r="R558" s="1"/>
    </row>
    <row r="559" ht="15.75" customHeight="1">
      <c r="R559" s="1"/>
    </row>
    <row r="560" ht="15.75" customHeight="1">
      <c r="R560" s="1"/>
    </row>
    <row r="561" ht="15.75" customHeight="1">
      <c r="R561" s="1"/>
    </row>
    <row r="562" ht="15.75" customHeight="1">
      <c r="R562" s="1"/>
    </row>
    <row r="563" ht="15.75" customHeight="1">
      <c r="R563" s="1"/>
    </row>
    <row r="564" ht="15.75" customHeight="1">
      <c r="R564" s="1"/>
    </row>
    <row r="565" ht="15.75" customHeight="1">
      <c r="R565" s="1"/>
    </row>
    <row r="566" ht="15.75" customHeight="1">
      <c r="R566" s="1"/>
    </row>
    <row r="567" ht="15.75" customHeight="1">
      <c r="R567" s="1"/>
    </row>
    <row r="568" ht="15.75" customHeight="1">
      <c r="R568" s="1"/>
    </row>
    <row r="569" ht="15.75" customHeight="1">
      <c r="R569" s="1"/>
    </row>
    <row r="570" ht="15.75" customHeight="1">
      <c r="R570" s="1"/>
    </row>
    <row r="571" ht="15.75" customHeight="1">
      <c r="R571" s="1"/>
    </row>
    <row r="572" ht="15.75" customHeight="1">
      <c r="R572" s="1"/>
    </row>
    <row r="573" ht="15.75" customHeight="1">
      <c r="R573" s="1"/>
    </row>
    <row r="574" ht="15.75" customHeight="1">
      <c r="R574" s="1"/>
    </row>
    <row r="575" ht="15.75" customHeight="1">
      <c r="R575" s="1"/>
    </row>
    <row r="576" ht="15.75" customHeight="1">
      <c r="R576" s="1"/>
    </row>
    <row r="577" ht="15.75" customHeight="1">
      <c r="R577" s="1"/>
    </row>
    <row r="578" ht="15.75" customHeight="1">
      <c r="R578" s="1"/>
    </row>
    <row r="579" ht="15.75" customHeight="1">
      <c r="R579" s="1"/>
    </row>
    <row r="580" ht="15.75" customHeight="1">
      <c r="R580" s="1"/>
    </row>
    <row r="581" ht="15.75" customHeight="1">
      <c r="R581" s="1"/>
    </row>
    <row r="582" ht="15.75" customHeight="1">
      <c r="R582" s="1"/>
    </row>
    <row r="583" ht="15.75" customHeight="1">
      <c r="R583" s="1"/>
    </row>
    <row r="584" ht="15.75" customHeight="1">
      <c r="R584" s="1"/>
    </row>
    <row r="585" ht="15.75" customHeight="1">
      <c r="R585" s="1"/>
    </row>
    <row r="586" ht="15.75" customHeight="1">
      <c r="R586" s="1"/>
    </row>
    <row r="587" ht="15.75" customHeight="1">
      <c r="R587" s="1"/>
    </row>
    <row r="588" ht="15.75" customHeight="1">
      <c r="R588" s="1"/>
    </row>
    <row r="589" ht="15.75" customHeight="1">
      <c r="R589" s="1"/>
    </row>
    <row r="590" ht="15.75" customHeight="1">
      <c r="R590" s="1"/>
    </row>
    <row r="591" ht="15.75" customHeight="1">
      <c r="R591" s="1"/>
    </row>
    <row r="592" ht="15.75" customHeight="1">
      <c r="R592" s="1"/>
    </row>
    <row r="593" ht="15.75" customHeight="1">
      <c r="R593" s="1"/>
    </row>
    <row r="594" ht="15.75" customHeight="1">
      <c r="R594" s="1"/>
    </row>
    <row r="595" ht="15.75" customHeight="1">
      <c r="R595" s="1"/>
    </row>
    <row r="596" ht="15.75" customHeight="1">
      <c r="R596" s="1"/>
    </row>
    <row r="597" ht="15.75" customHeight="1">
      <c r="R597" s="1"/>
    </row>
    <row r="598" ht="15.75" customHeight="1">
      <c r="R598" s="1"/>
    </row>
    <row r="599" ht="15.75" customHeight="1">
      <c r="R599" s="1"/>
    </row>
    <row r="600" ht="15.75" customHeight="1">
      <c r="R600" s="1"/>
    </row>
    <row r="601" ht="15.75" customHeight="1">
      <c r="R601" s="1"/>
    </row>
    <row r="602" ht="15.75" customHeight="1">
      <c r="R602" s="1"/>
    </row>
    <row r="603" ht="15.75" customHeight="1">
      <c r="R603" s="1"/>
    </row>
    <row r="604" ht="15.75" customHeight="1">
      <c r="R604" s="1"/>
    </row>
    <row r="605" ht="15.75" customHeight="1">
      <c r="R605" s="1"/>
    </row>
    <row r="606" ht="15.75" customHeight="1">
      <c r="R606" s="1"/>
    </row>
    <row r="607" ht="15.75" customHeight="1">
      <c r="R607" s="1"/>
    </row>
    <row r="608" ht="15.75" customHeight="1">
      <c r="R608" s="1"/>
    </row>
    <row r="609" ht="15.75" customHeight="1">
      <c r="R609" s="1"/>
    </row>
    <row r="610" ht="15.75" customHeight="1">
      <c r="R610" s="1"/>
    </row>
    <row r="611" ht="15.75" customHeight="1">
      <c r="R611" s="1"/>
    </row>
    <row r="612" ht="15.75" customHeight="1">
      <c r="R612" s="1"/>
    </row>
    <row r="613" ht="15.75" customHeight="1">
      <c r="R613" s="1"/>
    </row>
    <row r="614" ht="15.75" customHeight="1">
      <c r="R614" s="1"/>
    </row>
    <row r="615" ht="15.75" customHeight="1">
      <c r="R615" s="1"/>
    </row>
    <row r="616" ht="15.75" customHeight="1">
      <c r="R616" s="1"/>
    </row>
    <row r="617" ht="15.75" customHeight="1">
      <c r="R617" s="1"/>
    </row>
    <row r="618" ht="15.75" customHeight="1">
      <c r="R618" s="1"/>
    </row>
    <row r="619" ht="15.75" customHeight="1">
      <c r="R619" s="1"/>
    </row>
    <row r="620" ht="15.75" customHeight="1">
      <c r="R620" s="1"/>
    </row>
    <row r="621" ht="15.75" customHeight="1">
      <c r="R621" s="1"/>
    </row>
    <row r="622" ht="15.75" customHeight="1">
      <c r="R622" s="1"/>
    </row>
    <row r="623" ht="15.75" customHeight="1">
      <c r="R623" s="1"/>
    </row>
    <row r="624" ht="15.75" customHeight="1">
      <c r="R624" s="1"/>
    </row>
    <row r="625" ht="15.75" customHeight="1">
      <c r="R625" s="1"/>
    </row>
    <row r="626" ht="15.75" customHeight="1">
      <c r="R626" s="1"/>
    </row>
    <row r="627" ht="15.75" customHeight="1">
      <c r="R627" s="1"/>
    </row>
    <row r="628" ht="15.75" customHeight="1">
      <c r="R628" s="1"/>
    </row>
    <row r="629" ht="15.75" customHeight="1">
      <c r="R629" s="1"/>
    </row>
    <row r="630" ht="15.75" customHeight="1">
      <c r="R630" s="1"/>
    </row>
    <row r="631" ht="15.75" customHeight="1">
      <c r="R631" s="1"/>
    </row>
    <row r="632" ht="15.75" customHeight="1">
      <c r="R632" s="1"/>
    </row>
    <row r="633" ht="15.75" customHeight="1">
      <c r="R633" s="1"/>
    </row>
    <row r="634" ht="15.75" customHeight="1">
      <c r="R634" s="1"/>
    </row>
    <row r="635" ht="15.75" customHeight="1">
      <c r="R635" s="1"/>
    </row>
    <row r="636" ht="15.75" customHeight="1">
      <c r="R636" s="1"/>
    </row>
    <row r="637" ht="15.75" customHeight="1">
      <c r="R637" s="1"/>
    </row>
    <row r="638" ht="15.75" customHeight="1">
      <c r="R638" s="1"/>
    </row>
    <row r="639" ht="15.75" customHeight="1">
      <c r="R639" s="1"/>
    </row>
    <row r="640" ht="15.75" customHeight="1">
      <c r="R640" s="1"/>
    </row>
    <row r="641" ht="15.75" customHeight="1">
      <c r="R641" s="1"/>
    </row>
    <row r="642" ht="15.75" customHeight="1">
      <c r="R642" s="1"/>
    </row>
    <row r="643" ht="15.75" customHeight="1">
      <c r="R643" s="1"/>
    </row>
    <row r="644" ht="15.75" customHeight="1">
      <c r="R644" s="1"/>
    </row>
    <row r="645" ht="15.75" customHeight="1">
      <c r="R645" s="1"/>
    </row>
    <row r="646" ht="15.75" customHeight="1">
      <c r="R646" s="1"/>
    </row>
    <row r="647" ht="15.75" customHeight="1">
      <c r="R647" s="1"/>
    </row>
    <row r="648" ht="15.75" customHeight="1">
      <c r="R648" s="1"/>
    </row>
    <row r="649" ht="15.75" customHeight="1">
      <c r="R649" s="1"/>
    </row>
    <row r="650" ht="15.75" customHeight="1">
      <c r="R650" s="1"/>
    </row>
    <row r="651" ht="15.75" customHeight="1">
      <c r="R651" s="1"/>
    </row>
    <row r="652" ht="15.75" customHeight="1">
      <c r="R652" s="1"/>
    </row>
    <row r="653" ht="15.75" customHeight="1">
      <c r="R653" s="1"/>
    </row>
    <row r="654" ht="15.75" customHeight="1">
      <c r="R654" s="1"/>
    </row>
    <row r="655" ht="15.75" customHeight="1">
      <c r="R655" s="1"/>
    </row>
    <row r="656" ht="15.75" customHeight="1">
      <c r="R656" s="1"/>
    </row>
    <row r="657" ht="15.75" customHeight="1">
      <c r="R657" s="1"/>
    </row>
    <row r="658" ht="15.75" customHeight="1">
      <c r="R658" s="1"/>
    </row>
    <row r="659" ht="15.75" customHeight="1">
      <c r="R659" s="1"/>
    </row>
    <row r="660" ht="15.75" customHeight="1">
      <c r="R660" s="1"/>
    </row>
    <row r="661" ht="15.75" customHeight="1">
      <c r="R661" s="1"/>
    </row>
    <row r="662" ht="15.75" customHeight="1">
      <c r="R662" s="1"/>
    </row>
    <row r="663" ht="15.75" customHeight="1">
      <c r="R663" s="1"/>
    </row>
    <row r="664" ht="15.75" customHeight="1">
      <c r="R664" s="1"/>
    </row>
    <row r="665" ht="15.75" customHeight="1">
      <c r="R665" s="1"/>
    </row>
    <row r="666" ht="15.75" customHeight="1">
      <c r="R666" s="1"/>
    </row>
    <row r="667" ht="15.75" customHeight="1">
      <c r="R667" s="1"/>
    </row>
    <row r="668" ht="15.75" customHeight="1">
      <c r="R668" s="1"/>
    </row>
    <row r="669" ht="15.75" customHeight="1">
      <c r="R669" s="1"/>
    </row>
    <row r="670" ht="15.75" customHeight="1">
      <c r="R670" s="1"/>
    </row>
    <row r="671" ht="15.75" customHeight="1">
      <c r="R671" s="1"/>
    </row>
    <row r="672" ht="15.75" customHeight="1">
      <c r="R672" s="1"/>
    </row>
    <row r="673" ht="15.75" customHeight="1">
      <c r="R673" s="1"/>
    </row>
    <row r="674" ht="15.75" customHeight="1">
      <c r="R674" s="1"/>
    </row>
    <row r="675" ht="15.75" customHeight="1">
      <c r="R675" s="1"/>
    </row>
    <row r="676" ht="15.75" customHeight="1">
      <c r="R676" s="1"/>
    </row>
    <row r="677" ht="15.75" customHeight="1">
      <c r="R677" s="1"/>
    </row>
    <row r="678" ht="15.75" customHeight="1">
      <c r="R678" s="1"/>
    </row>
    <row r="679" ht="15.75" customHeight="1">
      <c r="R679" s="1"/>
    </row>
    <row r="680" ht="15.75" customHeight="1">
      <c r="R680" s="1"/>
    </row>
    <row r="681" ht="15.75" customHeight="1">
      <c r="R681" s="1"/>
    </row>
    <row r="682" ht="15.75" customHeight="1">
      <c r="R682" s="1"/>
    </row>
    <row r="683" ht="15.75" customHeight="1">
      <c r="R683" s="1"/>
    </row>
    <row r="684" ht="15.75" customHeight="1">
      <c r="R684" s="1"/>
    </row>
    <row r="685" ht="15.75" customHeight="1">
      <c r="R685" s="1"/>
    </row>
    <row r="686" ht="15.75" customHeight="1">
      <c r="R686" s="1"/>
    </row>
    <row r="687" ht="15.75" customHeight="1">
      <c r="R687" s="1"/>
    </row>
    <row r="688" ht="15.75" customHeight="1">
      <c r="R688" s="1"/>
    </row>
    <row r="689" ht="15.75" customHeight="1">
      <c r="R689" s="1"/>
    </row>
    <row r="690" ht="15.75" customHeight="1">
      <c r="R690" s="1"/>
    </row>
    <row r="691" ht="15.75" customHeight="1">
      <c r="R691" s="1"/>
    </row>
    <row r="692" ht="15.75" customHeight="1">
      <c r="R692" s="1"/>
    </row>
    <row r="693" ht="15.75" customHeight="1">
      <c r="R693" s="1"/>
    </row>
    <row r="694" ht="15.75" customHeight="1">
      <c r="R694" s="1"/>
    </row>
    <row r="695" ht="15.75" customHeight="1">
      <c r="R695" s="1"/>
    </row>
    <row r="696" ht="15.75" customHeight="1">
      <c r="R696" s="1"/>
    </row>
    <row r="697" ht="15.75" customHeight="1">
      <c r="R697" s="1"/>
    </row>
    <row r="698" ht="15.75" customHeight="1">
      <c r="R698" s="1"/>
    </row>
    <row r="699" ht="15.75" customHeight="1">
      <c r="R699" s="1"/>
    </row>
    <row r="700" ht="15.75" customHeight="1">
      <c r="R700" s="1"/>
    </row>
    <row r="701" ht="15.75" customHeight="1">
      <c r="R701" s="1"/>
    </row>
    <row r="702" ht="15.75" customHeight="1">
      <c r="R702" s="1"/>
    </row>
    <row r="703" ht="15.75" customHeight="1">
      <c r="R703" s="1"/>
    </row>
    <row r="704" ht="15.75" customHeight="1">
      <c r="R704" s="1"/>
    </row>
    <row r="705" ht="15.75" customHeight="1">
      <c r="R705" s="1"/>
    </row>
    <row r="706" ht="15.75" customHeight="1">
      <c r="R706" s="1"/>
    </row>
    <row r="707" ht="15.75" customHeight="1">
      <c r="R707" s="1"/>
    </row>
    <row r="708" ht="15.75" customHeight="1">
      <c r="R708" s="1"/>
    </row>
    <row r="709" ht="15.75" customHeight="1">
      <c r="R709" s="1"/>
    </row>
    <row r="710" ht="15.75" customHeight="1">
      <c r="R710" s="1"/>
    </row>
    <row r="711" ht="15.75" customHeight="1">
      <c r="R711" s="1"/>
    </row>
    <row r="712" ht="15.75" customHeight="1">
      <c r="R712" s="1"/>
    </row>
    <row r="713" ht="15.75" customHeight="1">
      <c r="R713" s="1"/>
    </row>
    <row r="714" ht="15.75" customHeight="1">
      <c r="R714" s="1"/>
    </row>
    <row r="715" ht="15.75" customHeight="1">
      <c r="R715" s="1"/>
    </row>
    <row r="716" ht="15.75" customHeight="1">
      <c r="R716" s="1"/>
    </row>
    <row r="717" ht="15.75" customHeight="1">
      <c r="R717" s="1"/>
    </row>
    <row r="718" ht="15.75" customHeight="1">
      <c r="R718" s="1"/>
    </row>
    <row r="719" ht="15.75" customHeight="1">
      <c r="R719" s="1"/>
    </row>
    <row r="720" ht="15.75" customHeight="1">
      <c r="R720" s="1"/>
    </row>
    <row r="721" ht="15.75" customHeight="1">
      <c r="R721" s="1"/>
    </row>
    <row r="722" ht="15.75" customHeight="1">
      <c r="R722" s="1"/>
    </row>
    <row r="723" ht="15.75" customHeight="1">
      <c r="R723" s="1"/>
    </row>
    <row r="724" ht="15.75" customHeight="1">
      <c r="R724" s="1"/>
    </row>
    <row r="725" ht="15.75" customHeight="1">
      <c r="R725" s="1"/>
    </row>
    <row r="726" ht="15.75" customHeight="1">
      <c r="R726" s="1"/>
    </row>
    <row r="727" ht="15.75" customHeight="1">
      <c r="R727" s="1"/>
    </row>
    <row r="728" ht="15.75" customHeight="1">
      <c r="R728" s="1"/>
    </row>
    <row r="729" ht="15.75" customHeight="1">
      <c r="R729" s="1"/>
    </row>
    <row r="730" ht="15.75" customHeight="1">
      <c r="R730" s="1"/>
    </row>
    <row r="731" ht="15.75" customHeight="1">
      <c r="R731" s="1"/>
    </row>
    <row r="732" ht="15.75" customHeight="1">
      <c r="R732" s="1"/>
    </row>
    <row r="733" ht="15.75" customHeight="1">
      <c r="R733" s="1"/>
    </row>
    <row r="734" ht="15.75" customHeight="1">
      <c r="R734" s="1"/>
    </row>
    <row r="735" ht="15.75" customHeight="1">
      <c r="R735" s="1"/>
    </row>
    <row r="736" ht="15.75" customHeight="1">
      <c r="R736" s="1"/>
    </row>
    <row r="737" ht="15.75" customHeight="1">
      <c r="R737" s="1"/>
    </row>
    <row r="738" ht="15.75" customHeight="1">
      <c r="R738" s="1"/>
    </row>
    <row r="739" ht="15.75" customHeight="1">
      <c r="R739" s="1"/>
    </row>
    <row r="740" ht="15.75" customHeight="1">
      <c r="R740" s="1"/>
    </row>
    <row r="741" ht="15.75" customHeight="1">
      <c r="R741" s="1"/>
    </row>
    <row r="742" ht="15.75" customHeight="1">
      <c r="R742" s="1"/>
    </row>
    <row r="743" ht="15.75" customHeight="1">
      <c r="R743" s="1"/>
    </row>
    <row r="744" ht="15.75" customHeight="1">
      <c r="R744" s="1"/>
    </row>
    <row r="745" ht="15.75" customHeight="1">
      <c r="R745" s="1"/>
    </row>
    <row r="746" ht="15.75" customHeight="1">
      <c r="R746" s="1"/>
    </row>
    <row r="747" ht="15.75" customHeight="1">
      <c r="R747" s="1"/>
    </row>
    <row r="748" ht="15.75" customHeight="1">
      <c r="R748" s="1"/>
    </row>
    <row r="749" ht="15.75" customHeight="1">
      <c r="R749" s="1"/>
    </row>
    <row r="750" ht="15.75" customHeight="1">
      <c r="R750" s="1"/>
    </row>
    <row r="751" ht="15.75" customHeight="1">
      <c r="R751" s="1"/>
    </row>
    <row r="752" ht="15.75" customHeight="1">
      <c r="R752" s="1"/>
    </row>
    <row r="753" ht="15.75" customHeight="1">
      <c r="R753" s="1"/>
    </row>
    <row r="754" ht="15.75" customHeight="1">
      <c r="R754" s="1"/>
    </row>
    <row r="755" ht="15.75" customHeight="1">
      <c r="R755" s="1"/>
    </row>
    <row r="756" ht="15.75" customHeight="1">
      <c r="R756" s="1"/>
    </row>
    <row r="757" ht="15.75" customHeight="1">
      <c r="R757" s="1"/>
    </row>
    <row r="758" ht="15.75" customHeight="1">
      <c r="R758" s="1"/>
    </row>
    <row r="759" ht="15.75" customHeight="1">
      <c r="R759" s="1"/>
    </row>
    <row r="760" ht="15.75" customHeight="1">
      <c r="R760" s="1"/>
    </row>
    <row r="761" ht="15.75" customHeight="1">
      <c r="R761" s="1"/>
    </row>
    <row r="762" ht="15.75" customHeight="1">
      <c r="R762" s="1"/>
    </row>
    <row r="763" ht="15.75" customHeight="1">
      <c r="R763" s="1"/>
    </row>
    <row r="764" ht="15.75" customHeight="1">
      <c r="R764" s="1"/>
    </row>
    <row r="765" ht="15.75" customHeight="1">
      <c r="R765" s="1"/>
    </row>
    <row r="766" ht="15.75" customHeight="1">
      <c r="R766" s="1"/>
    </row>
    <row r="767" ht="15.75" customHeight="1">
      <c r="R767" s="1"/>
    </row>
    <row r="768" ht="15.75" customHeight="1">
      <c r="R768" s="1"/>
    </row>
    <row r="769" ht="15.75" customHeight="1">
      <c r="R769" s="1"/>
    </row>
    <row r="770" ht="15.75" customHeight="1">
      <c r="R770" s="1"/>
    </row>
    <row r="771" ht="15.75" customHeight="1">
      <c r="R771" s="1"/>
    </row>
    <row r="772" ht="15.75" customHeight="1">
      <c r="R772" s="1"/>
    </row>
    <row r="773" ht="15.75" customHeight="1">
      <c r="R773" s="1"/>
    </row>
    <row r="774" ht="15.75" customHeight="1">
      <c r="R774" s="1"/>
    </row>
    <row r="775" ht="15.75" customHeight="1">
      <c r="R775" s="1"/>
    </row>
    <row r="776" ht="15.75" customHeight="1">
      <c r="R776" s="1"/>
    </row>
    <row r="777" ht="15.75" customHeight="1">
      <c r="R777" s="1"/>
    </row>
    <row r="778" ht="15.75" customHeight="1">
      <c r="R778" s="1"/>
    </row>
    <row r="779" ht="15.75" customHeight="1">
      <c r="R779" s="1"/>
    </row>
    <row r="780" ht="15.75" customHeight="1">
      <c r="R780" s="1"/>
    </row>
    <row r="781" ht="15.75" customHeight="1">
      <c r="R781" s="1"/>
    </row>
    <row r="782" ht="15.75" customHeight="1">
      <c r="R782" s="1"/>
    </row>
    <row r="783" ht="15.75" customHeight="1">
      <c r="R783" s="1"/>
    </row>
    <row r="784" ht="15.75" customHeight="1">
      <c r="R784" s="1"/>
    </row>
    <row r="785" ht="15.75" customHeight="1">
      <c r="R785" s="1"/>
    </row>
    <row r="786" ht="15.75" customHeight="1">
      <c r="R786" s="1"/>
    </row>
    <row r="787" ht="15.75" customHeight="1">
      <c r="R787" s="1"/>
    </row>
    <row r="788" ht="15.75" customHeight="1">
      <c r="R788" s="1"/>
    </row>
    <row r="789" ht="15.75" customHeight="1">
      <c r="R789" s="1"/>
    </row>
    <row r="790" ht="15.75" customHeight="1">
      <c r="R790" s="1"/>
    </row>
    <row r="791" ht="15.75" customHeight="1">
      <c r="R791" s="1"/>
    </row>
    <row r="792" ht="15.75" customHeight="1">
      <c r="R792" s="1"/>
    </row>
    <row r="793" ht="15.75" customHeight="1">
      <c r="R793" s="1"/>
    </row>
    <row r="794" ht="15.75" customHeight="1">
      <c r="R794" s="1"/>
    </row>
    <row r="795" ht="15.75" customHeight="1">
      <c r="R795" s="1"/>
    </row>
    <row r="796" ht="15.75" customHeight="1">
      <c r="R796" s="1"/>
    </row>
    <row r="797" ht="15.75" customHeight="1">
      <c r="R797" s="1"/>
    </row>
    <row r="798" ht="15.75" customHeight="1">
      <c r="R798" s="1"/>
    </row>
    <row r="799" ht="15.75" customHeight="1">
      <c r="R799" s="1"/>
    </row>
    <row r="800" ht="15.75" customHeight="1">
      <c r="R800" s="1"/>
    </row>
    <row r="801" ht="15.75" customHeight="1">
      <c r="R801" s="1"/>
    </row>
    <row r="802" ht="15.75" customHeight="1">
      <c r="R802" s="1"/>
    </row>
    <row r="803" ht="15.75" customHeight="1">
      <c r="R803" s="1"/>
    </row>
    <row r="804" ht="15.75" customHeight="1">
      <c r="R804" s="1"/>
    </row>
    <row r="805" ht="15.75" customHeight="1">
      <c r="R805" s="1"/>
    </row>
    <row r="806" ht="15.75" customHeight="1">
      <c r="R806" s="1"/>
    </row>
    <row r="807" ht="15.75" customHeight="1">
      <c r="R807" s="1"/>
    </row>
    <row r="808" ht="15.75" customHeight="1">
      <c r="R808" s="1"/>
    </row>
    <row r="809" ht="15.75" customHeight="1">
      <c r="R809" s="1"/>
    </row>
    <row r="810" ht="15.75" customHeight="1">
      <c r="R810" s="1"/>
    </row>
    <row r="811" ht="15.75" customHeight="1">
      <c r="R811" s="1"/>
    </row>
    <row r="812" ht="15.75" customHeight="1">
      <c r="R812" s="1"/>
    </row>
    <row r="813" ht="15.75" customHeight="1">
      <c r="R813" s="1"/>
    </row>
    <row r="814" ht="15.75" customHeight="1">
      <c r="R814" s="1"/>
    </row>
    <row r="815" ht="15.75" customHeight="1">
      <c r="R815" s="1"/>
    </row>
    <row r="816" ht="15.75" customHeight="1">
      <c r="R816" s="1"/>
    </row>
    <row r="817" ht="15.75" customHeight="1">
      <c r="R817" s="1"/>
    </row>
    <row r="818" ht="15.75" customHeight="1">
      <c r="R818" s="1"/>
    </row>
    <row r="819" ht="15.75" customHeight="1">
      <c r="R819" s="1"/>
    </row>
    <row r="820" ht="15.75" customHeight="1">
      <c r="R820" s="1"/>
    </row>
    <row r="821" ht="15.75" customHeight="1">
      <c r="R821" s="1"/>
    </row>
    <row r="822" ht="15.75" customHeight="1">
      <c r="R822" s="1"/>
    </row>
    <row r="823" ht="15.75" customHeight="1">
      <c r="R823" s="1"/>
    </row>
    <row r="824" ht="15.75" customHeight="1">
      <c r="R824" s="1"/>
    </row>
    <row r="825" ht="15.75" customHeight="1">
      <c r="R825" s="1"/>
    </row>
    <row r="826" ht="15.75" customHeight="1">
      <c r="R826" s="1"/>
    </row>
    <row r="827" ht="15.75" customHeight="1">
      <c r="R827" s="1"/>
    </row>
    <row r="828" ht="15.75" customHeight="1">
      <c r="R828" s="1"/>
    </row>
    <row r="829" ht="15.75" customHeight="1">
      <c r="R829" s="1"/>
    </row>
    <row r="830" ht="15.75" customHeight="1">
      <c r="R830" s="1"/>
    </row>
    <row r="831" ht="15.75" customHeight="1">
      <c r="R831" s="1"/>
    </row>
    <row r="832" ht="15.75" customHeight="1">
      <c r="R832" s="1"/>
    </row>
    <row r="833" ht="15.75" customHeight="1">
      <c r="R833" s="1"/>
    </row>
    <row r="834" ht="15.75" customHeight="1">
      <c r="R834" s="1"/>
    </row>
    <row r="835" ht="15.75" customHeight="1">
      <c r="R835" s="1"/>
    </row>
    <row r="836" ht="15.75" customHeight="1">
      <c r="R836" s="1"/>
    </row>
    <row r="837" ht="15.75" customHeight="1">
      <c r="R837" s="1"/>
    </row>
    <row r="838" ht="15.75" customHeight="1">
      <c r="R838" s="1"/>
    </row>
    <row r="839" ht="15.75" customHeight="1">
      <c r="R839" s="1"/>
    </row>
    <row r="840" ht="15.75" customHeight="1">
      <c r="R840" s="1"/>
    </row>
    <row r="841" ht="15.75" customHeight="1">
      <c r="R841" s="1"/>
    </row>
    <row r="842" ht="15.75" customHeight="1">
      <c r="R842" s="1"/>
    </row>
    <row r="843" ht="15.75" customHeight="1">
      <c r="R843" s="1"/>
    </row>
    <row r="844" ht="15.75" customHeight="1">
      <c r="R844" s="1"/>
    </row>
    <row r="845" ht="15.75" customHeight="1">
      <c r="R845" s="1"/>
    </row>
    <row r="846" ht="15.75" customHeight="1">
      <c r="R846" s="1"/>
    </row>
    <row r="847" ht="15.75" customHeight="1">
      <c r="R847" s="1"/>
    </row>
    <row r="848" ht="15.75" customHeight="1">
      <c r="R848" s="1"/>
    </row>
    <row r="849" ht="15.75" customHeight="1">
      <c r="R849" s="1"/>
    </row>
    <row r="850" ht="15.75" customHeight="1">
      <c r="R850" s="1"/>
    </row>
    <row r="851" ht="15.75" customHeight="1">
      <c r="R851" s="1"/>
    </row>
    <row r="852" ht="15.75" customHeight="1">
      <c r="R852" s="1"/>
    </row>
    <row r="853" ht="15.75" customHeight="1">
      <c r="R853" s="1"/>
    </row>
    <row r="854" ht="15.75" customHeight="1">
      <c r="R854" s="1"/>
    </row>
    <row r="855" ht="15.75" customHeight="1">
      <c r="R855" s="1"/>
    </row>
    <row r="856" ht="15.75" customHeight="1">
      <c r="R856" s="1"/>
    </row>
    <row r="857" ht="15.75" customHeight="1">
      <c r="R857" s="1"/>
    </row>
    <row r="858" ht="15.75" customHeight="1">
      <c r="R858" s="1"/>
    </row>
    <row r="859" ht="15.75" customHeight="1">
      <c r="R859" s="1"/>
    </row>
    <row r="860" ht="15.75" customHeight="1">
      <c r="R860" s="1"/>
    </row>
    <row r="861" ht="15.75" customHeight="1">
      <c r="R861" s="1"/>
    </row>
    <row r="862" ht="15.75" customHeight="1">
      <c r="R862" s="1"/>
    </row>
    <row r="863" ht="15.75" customHeight="1">
      <c r="R863" s="1"/>
    </row>
    <row r="864" ht="15.75" customHeight="1">
      <c r="R864" s="1"/>
    </row>
    <row r="865" ht="15.75" customHeight="1">
      <c r="R865" s="1"/>
    </row>
    <row r="866" ht="15.75" customHeight="1">
      <c r="R866" s="1"/>
    </row>
    <row r="867" ht="15.75" customHeight="1">
      <c r="R867" s="1"/>
    </row>
    <row r="868" ht="15.75" customHeight="1">
      <c r="R868" s="1"/>
    </row>
    <row r="869" ht="15.75" customHeight="1">
      <c r="R869" s="1"/>
    </row>
    <row r="870" ht="15.75" customHeight="1">
      <c r="R870" s="1"/>
    </row>
    <row r="871" ht="15.75" customHeight="1">
      <c r="R871" s="1"/>
    </row>
    <row r="872" ht="15.75" customHeight="1">
      <c r="R872" s="1"/>
    </row>
    <row r="873" ht="15.75" customHeight="1">
      <c r="R873" s="1"/>
    </row>
    <row r="874" ht="15.75" customHeight="1">
      <c r="R874" s="1"/>
    </row>
    <row r="875" ht="15.75" customHeight="1">
      <c r="R875" s="1"/>
    </row>
    <row r="876" ht="15.75" customHeight="1">
      <c r="R876" s="1"/>
    </row>
    <row r="877" ht="15.75" customHeight="1">
      <c r="R877" s="1"/>
    </row>
    <row r="878" ht="15.75" customHeight="1">
      <c r="R878" s="1"/>
    </row>
    <row r="879" ht="15.75" customHeight="1">
      <c r="R879" s="1"/>
    </row>
    <row r="880" ht="15.75" customHeight="1">
      <c r="R880" s="1"/>
    </row>
    <row r="881" ht="15.75" customHeight="1">
      <c r="R881" s="1"/>
    </row>
    <row r="882" ht="15.75" customHeight="1">
      <c r="R882" s="1"/>
    </row>
    <row r="883" ht="15.75" customHeight="1">
      <c r="R883" s="1"/>
    </row>
    <row r="884" ht="15.75" customHeight="1">
      <c r="R884" s="1"/>
    </row>
    <row r="885" ht="15.75" customHeight="1">
      <c r="R885" s="1"/>
    </row>
    <row r="886" ht="15.75" customHeight="1">
      <c r="R886" s="1"/>
    </row>
    <row r="887" ht="15.75" customHeight="1">
      <c r="R887" s="1"/>
    </row>
    <row r="888" ht="15.75" customHeight="1">
      <c r="R888" s="1"/>
    </row>
    <row r="889" ht="15.75" customHeight="1">
      <c r="R889" s="1"/>
    </row>
    <row r="890" ht="15.75" customHeight="1">
      <c r="R890" s="1"/>
    </row>
    <row r="891" ht="15.75" customHeight="1">
      <c r="R891" s="1"/>
    </row>
    <row r="892" ht="15.75" customHeight="1">
      <c r="R892" s="1"/>
    </row>
    <row r="893" ht="15.75" customHeight="1">
      <c r="R893" s="1"/>
    </row>
    <row r="894" ht="15.75" customHeight="1">
      <c r="R894" s="1"/>
    </row>
    <row r="895" ht="15.75" customHeight="1">
      <c r="R895" s="1"/>
    </row>
    <row r="896" ht="15.75" customHeight="1">
      <c r="R896" s="1"/>
    </row>
    <row r="897" ht="15.75" customHeight="1">
      <c r="R897" s="1"/>
    </row>
    <row r="898" ht="15.75" customHeight="1">
      <c r="R898" s="1"/>
    </row>
    <row r="899" ht="15.75" customHeight="1">
      <c r="R899" s="1"/>
    </row>
    <row r="900" ht="15.75" customHeight="1">
      <c r="R900" s="1"/>
    </row>
    <row r="901" ht="15.75" customHeight="1">
      <c r="R901" s="1"/>
    </row>
    <row r="902" ht="15.75" customHeight="1">
      <c r="R902" s="1"/>
    </row>
    <row r="903" ht="15.75" customHeight="1">
      <c r="R903" s="1"/>
    </row>
    <row r="904" ht="15.75" customHeight="1">
      <c r="R904" s="1"/>
    </row>
    <row r="905" ht="15.75" customHeight="1">
      <c r="R905" s="1"/>
    </row>
    <row r="906" ht="15.75" customHeight="1">
      <c r="R906" s="1"/>
    </row>
    <row r="907" ht="15.75" customHeight="1">
      <c r="R907" s="1"/>
    </row>
    <row r="908" ht="15.75" customHeight="1">
      <c r="R908" s="1"/>
    </row>
    <row r="909" ht="15.75" customHeight="1">
      <c r="R909" s="1"/>
    </row>
    <row r="910" ht="15.75" customHeight="1">
      <c r="R910" s="1"/>
    </row>
    <row r="911" ht="15.75" customHeight="1">
      <c r="R911" s="1"/>
    </row>
    <row r="912" ht="15.75" customHeight="1">
      <c r="R912" s="1"/>
    </row>
    <row r="913" ht="15.75" customHeight="1">
      <c r="R913" s="1"/>
    </row>
    <row r="914" ht="15.75" customHeight="1">
      <c r="R914" s="1"/>
    </row>
    <row r="915" ht="15.75" customHeight="1">
      <c r="R915" s="1"/>
    </row>
    <row r="916" ht="15.75" customHeight="1">
      <c r="R916" s="1"/>
    </row>
    <row r="917" ht="15.75" customHeight="1">
      <c r="R917" s="1"/>
    </row>
    <row r="918" ht="15.75" customHeight="1">
      <c r="R918" s="1"/>
    </row>
    <row r="919" ht="15.75" customHeight="1">
      <c r="R919" s="1"/>
    </row>
    <row r="920" ht="15.75" customHeight="1">
      <c r="R920" s="1"/>
    </row>
    <row r="921" ht="15.75" customHeight="1">
      <c r="R921" s="1"/>
    </row>
    <row r="922" ht="15.75" customHeight="1">
      <c r="R922" s="1"/>
    </row>
    <row r="923" ht="15.75" customHeight="1">
      <c r="R923" s="1"/>
    </row>
    <row r="924" ht="15.75" customHeight="1">
      <c r="R924" s="1"/>
    </row>
    <row r="925" ht="15.75" customHeight="1">
      <c r="R925" s="1"/>
    </row>
    <row r="926" ht="15.75" customHeight="1">
      <c r="R926" s="1"/>
    </row>
    <row r="927" ht="15.75" customHeight="1">
      <c r="R927" s="1"/>
    </row>
    <row r="928" ht="15.75" customHeight="1">
      <c r="R928" s="1"/>
    </row>
    <row r="929" ht="15.75" customHeight="1">
      <c r="R929" s="1"/>
    </row>
    <row r="930" ht="15.75" customHeight="1">
      <c r="R930" s="1"/>
    </row>
    <row r="931" ht="15.75" customHeight="1">
      <c r="R931" s="1"/>
    </row>
    <row r="932" ht="15.75" customHeight="1">
      <c r="R932" s="1"/>
    </row>
    <row r="933" ht="15.75" customHeight="1">
      <c r="R933" s="1"/>
    </row>
    <row r="934" ht="15.75" customHeight="1">
      <c r="R934" s="1"/>
    </row>
    <row r="935" ht="15.75" customHeight="1">
      <c r="R935" s="1"/>
    </row>
    <row r="936" ht="15.75" customHeight="1">
      <c r="R936" s="1"/>
    </row>
    <row r="937" ht="15.75" customHeight="1">
      <c r="R937" s="1"/>
    </row>
    <row r="938" ht="15.75" customHeight="1">
      <c r="R938" s="1"/>
    </row>
    <row r="939" ht="15.75" customHeight="1">
      <c r="R939" s="1"/>
    </row>
    <row r="940" ht="15.75" customHeight="1">
      <c r="R940" s="1"/>
    </row>
    <row r="941" ht="15.75" customHeight="1">
      <c r="R941" s="1"/>
    </row>
    <row r="942" ht="15.75" customHeight="1">
      <c r="R942" s="1"/>
    </row>
    <row r="943" ht="15.75" customHeight="1">
      <c r="R943" s="1"/>
    </row>
    <row r="944" ht="15.75" customHeight="1">
      <c r="R944" s="1"/>
    </row>
    <row r="945" ht="15.75" customHeight="1">
      <c r="R945" s="1"/>
    </row>
    <row r="946" ht="15.75" customHeight="1">
      <c r="R946" s="1"/>
    </row>
    <row r="947" ht="15.75" customHeight="1">
      <c r="R947" s="1"/>
    </row>
    <row r="948" ht="15.75" customHeight="1">
      <c r="R948" s="1"/>
    </row>
    <row r="949" ht="15.75" customHeight="1">
      <c r="R949" s="1"/>
    </row>
    <row r="950" ht="15.75" customHeight="1">
      <c r="R950" s="1"/>
    </row>
    <row r="951" ht="15.75" customHeight="1">
      <c r="R951" s="1"/>
    </row>
    <row r="952" ht="15.75" customHeight="1">
      <c r="R952" s="1"/>
    </row>
    <row r="953" ht="15.75" customHeight="1">
      <c r="R953" s="1"/>
    </row>
    <row r="954" ht="15.75" customHeight="1">
      <c r="R954" s="1"/>
    </row>
    <row r="955" ht="15.75" customHeight="1">
      <c r="R955" s="1"/>
    </row>
    <row r="956" ht="15.75" customHeight="1">
      <c r="R956" s="1"/>
    </row>
    <row r="957" ht="15.75" customHeight="1">
      <c r="R957" s="1"/>
    </row>
    <row r="958" ht="15.75" customHeight="1">
      <c r="R958" s="1"/>
    </row>
    <row r="959" ht="15.75" customHeight="1">
      <c r="R959" s="1"/>
    </row>
    <row r="960" ht="15.75" customHeight="1">
      <c r="R960" s="1"/>
    </row>
    <row r="961" ht="15.75" customHeight="1">
      <c r="R961" s="1"/>
    </row>
    <row r="962" ht="15.75" customHeight="1">
      <c r="R962" s="1"/>
    </row>
    <row r="963" ht="15.75" customHeight="1">
      <c r="R963" s="1"/>
    </row>
    <row r="964" ht="15.75" customHeight="1">
      <c r="R964" s="1"/>
    </row>
    <row r="965" ht="15.75" customHeight="1">
      <c r="R965" s="1"/>
    </row>
    <row r="966" ht="15.75" customHeight="1">
      <c r="R966" s="1"/>
    </row>
    <row r="967" ht="15.75" customHeight="1">
      <c r="R967" s="1"/>
    </row>
    <row r="968" ht="15.75" customHeight="1">
      <c r="R968" s="1"/>
    </row>
    <row r="969" ht="15.75" customHeight="1">
      <c r="R969" s="1"/>
    </row>
    <row r="970" ht="15.75" customHeight="1">
      <c r="R970" s="1"/>
    </row>
    <row r="971" ht="15.75" customHeight="1">
      <c r="R971" s="1"/>
    </row>
    <row r="972" ht="15.75" customHeight="1">
      <c r="R972" s="1"/>
    </row>
    <row r="973" ht="15.75" customHeight="1">
      <c r="R973" s="1"/>
    </row>
    <row r="974" ht="15.75" customHeight="1">
      <c r="R974" s="1"/>
    </row>
    <row r="975" ht="15.75" customHeight="1">
      <c r="R975" s="1"/>
    </row>
    <row r="976" ht="15.75" customHeight="1">
      <c r="R976" s="1"/>
    </row>
    <row r="977" ht="15.75" customHeight="1">
      <c r="R977" s="1"/>
    </row>
    <row r="978" ht="15.75" customHeight="1">
      <c r="R978" s="1"/>
    </row>
    <row r="979" ht="15.75" customHeight="1">
      <c r="R979" s="1"/>
    </row>
    <row r="980" ht="15.75" customHeight="1">
      <c r="R980" s="1"/>
    </row>
    <row r="981" ht="15.75" customHeight="1">
      <c r="R981" s="1"/>
    </row>
    <row r="982" ht="15.75" customHeight="1">
      <c r="R982" s="1"/>
    </row>
    <row r="983" ht="15.75" customHeight="1">
      <c r="R983" s="1"/>
    </row>
    <row r="984" ht="15.75" customHeight="1">
      <c r="R984" s="1"/>
    </row>
    <row r="985" ht="15.75" customHeight="1">
      <c r="R985" s="1"/>
    </row>
    <row r="986" ht="15.75" customHeight="1">
      <c r="R986" s="1"/>
    </row>
    <row r="987" ht="15.75" customHeight="1">
      <c r="R987" s="1"/>
    </row>
    <row r="988" ht="15.75" customHeight="1">
      <c r="R988" s="1"/>
    </row>
    <row r="989" ht="15.75" customHeight="1">
      <c r="R989" s="1"/>
    </row>
    <row r="990" ht="15.75" customHeight="1">
      <c r="R990" s="1"/>
    </row>
    <row r="991" ht="15.75" customHeight="1">
      <c r="R991" s="1"/>
    </row>
    <row r="992" ht="15.75" customHeight="1">
      <c r="R992" s="1"/>
    </row>
    <row r="993" ht="15.75" customHeight="1">
      <c r="R993" s="1"/>
    </row>
    <row r="994" ht="15.75" customHeight="1">
      <c r="R994" s="1"/>
    </row>
    <row r="995" ht="15.75" customHeight="1">
      <c r="R995" s="1"/>
    </row>
    <row r="996" ht="15.75" customHeight="1">
      <c r="R996" s="1"/>
    </row>
    <row r="997" ht="15.75" customHeight="1">
      <c r="R997" s="1"/>
    </row>
    <row r="998" ht="15.75" customHeight="1">
      <c r="R998" s="1"/>
    </row>
    <row r="999" ht="15.75" customHeight="1">
      <c r="R999" s="1"/>
    </row>
    <row r="1000" ht="15.75" customHeight="1">
      <c r="R1000" s="1"/>
    </row>
    <row r="1001" ht="15.75" customHeight="1">
      <c r="R1001" s="1"/>
    </row>
    <row r="1002" ht="15.75" customHeight="1">
      <c r="R1002" s="1"/>
    </row>
  </sheetData>
  <mergeCells count="11">
    <mergeCell ref="B22:B23"/>
    <mergeCell ref="B57:B58"/>
    <mergeCell ref="C57:G57"/>
    <mergeCell ref="M57:Q57"/>
    <mergeCell ref="B2:B3"/>
    <mergeCell ref="C2:G2"/>
    <mergeCell ref="H2:L2"/>
    <mergeCell ref="M2:Q2"/>
    <mergeCell ref="C22:G22"/>
    <mergeCell ref="H22:L22"/>
    <mergeCell ref="M22:Q2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17E59"/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31.14"/>
    <col customWidth="1" min="3" max="3" width="10.57"/>
    <col customWidth="1" min="4" max="4" width="9.71"/>
    <col customWidth="1" min="5" max="6" width="11.29"/>
    <col customWidth="1" min="7" max="7" width="12.71"/>
    <col customWidth="1" min="8" max="8" width="10.29"/>
    <col customWidth="1" min="9" max="9" width="10.43"/>
    <col customWidth="1" min="10" max="10" width="10.14"/>
    <col customWidth="1" min="11" max="12" width="12.71"/>
    <col customWidth="1" min="13" max="14" width="10.71"/>
    <col customWidth="1" min="15" max="15" width="11.57"/>
    <col customWidth="1" min="16" max="16" width="13.43"/>
    <col customWidth="1" min="17" max="17" width="13.29"/>
    <col customWidth="1" min="18" max="18" width="2.71"/>
    <col customWidth="1" min="19" max="19" width="14.43"/>
    <col customWidth="1" min="20" max="26" width="9.14"/>
  </cols>
  <sheetData>
    <row r="1" ht="14.25" customHeight="1">
      <c r="A1" s="516"/>
      <c r="B1" s="516"/>
      <c r="C1" s="517"/>
      <c r="D1" s="517"/>
      <c r="E1" s="517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</row>
    <row r="2" ht="14.25" customHeight="1">
      <c r="A2" s="516"/>
      <c r="B2" s="16" t="s">
        <v>196</v>
      </c>
      <c r="C2" s="25" t="s">
        <v>197</v>
      </c>
      <c r="D2" s="27"/>
      <c r="E2" s="27"/>
      <c r="F2" s="27"/>
      <c r="G2" s="28"/>
      <c r="H2" s="25" t="s">
        <v>198</v>
      </c>
      <c r="I2" s="27"/>
      <c r="J2" s="27"/>
      <c r="K2" s="27"/>
      <c r="L2" s="28"/>
      <c r="M2" s="518" t="s">
        <v>3</v>
      </c>
      <c r="N2" s="27"/>
      <c r="O2" s="27"/>
      <c r="P2" s="27"/>
      <c r="Q2" s="28"/>
      <c r="R2" s="516"/>
      <c r="S2" s="516"/>
      <c r="T2" s="516"/>
      <c r="U2" s="516"/>
      <c r="V2" s="516"/>
      <c r="W2" s="516"/>
      <c r="X2" s="516"/>
      <c r="Y2" s="516"/>
      <c r="Z2" s="516"/>
    </row>
    <row r="3" ht="36.0" customHeight="1">
      <c r="A3" s="519"/>
      <c r="B3" s="38"/>
      <c r="C3" s="39" t="s">
        <v>19</v>
      </c>
      <c r="D3" s="41" t="s">
        <v>21</v>
      </c>
      <c r="E3" s="41" t="s">
        <v>27</v>
      </c>
      <c r="F3" s="41" t="s">
        <v>199</v>
      </c>
      <c r="G3" s="43" t="s">
        <v>200</v>
      </c>
      <c r="H3" s="520" t="s">
        <v>19</v>
      </c>
      <c r="I3" s="521" t="s">
        <v>21</v>
      </c>
      <c r="J3" s="521" t="s">
        <v>27</v>
      </c>
      <c r="K3" s="521" t="s">
        <v>199</v>
      </c>
      <c r="L3" s="522" t="s">
        <v>200</v>
      </c>
      <c r="M3" s="39" t="s">
        <v>19</v>
      </c>
      <c r="N3" s="41" t="s">
        <v>21</v>
      </c>
      <c r="O3" s="41" t="s">
        <v>22</v>
      </c>
      <c r="P3" s="41" t="s">
        <v>23</v>
      </c>
      <c r="Q3" s="43" t="s">
        <v>25</v>
      </c>
      <c r="R3" s="519"/>
      <c r="S3" s="519"/>
      <c r="T3" s="519"/>
      <c r="U3" s="519"/>
      <c r="V3" s="519"/>
      <c r="W3" s="519"/>
      <c r="X3" s="519"/>
      <c r="Y3" s="519"/>
      <c r="Z3" s="519"/>
    </row>
    <row r="4" ht="15.0" customHeight="1">
      <c r="A4" s="516"/>
      <c r="B4" s="393" t="s">
        <v>40</v>
      </c>
      <c r="C4" s="257">
        <v>0.0</v>
      </c>
      <c r="D4" s="146">
        <v>0.0</v>
      </c>
      <c r="E4" s="146">
        <v>0.0</v>
      </c>
      <c r="F4" s="146">
        <v>0.0</v>
      </c>
      <c r="G4" s="390">
        <v>0.0</v>
      </c>
      <c r="H4" s="257">
        <v>0.0</v>
      </c>
      <c r="I4" s="146">
        <v>0.0</v>
      </c>
      <c r="J4" s="146">
        <v>0.0</v>
      </c>
      <c r="K4" s="146">
        <v>0.0</v>
      </c>
      <c r="L4" s="390">
        <v>0.0</v>
      </c>
      <c r="M4" s="257">
        <v>0.0</v>
      </c>
      <c r="N4" s="146">
        <v>0.0</v>
      </c>
      <c r="O4" s="146">
        <v>0.0</v>
      </c>
      <c r="P4" s="146">
        <v>0.0</v>
      </c>
      <c r="Q4" s="390">
        <v>0.0</v>
      </c>
      <c r="R4" s="516"/>
      <c r="S4" s="516"/>
      <c r="T4" s="516"/>
      <c r="U4" s="516"/>
      <c r="V4" s="516"/>
      <c r="W4" s="516"/>
      <c r="X4" s="516"/>
      <c r="Y4" s="516"/>
      <c r="Z4" s="516"/>
    </row>
    <row r="5" ht="15.0" customHeight="1">
      <c r="A5" s="516"/>
      <c r="B5" s="393" t="s">
        <v>71</v>
      </c>
      <c r="C5" s="257">
        <v>0.0</v>
      </c>
      <c r="D5" s="146">
        <v>0.0</v>
      </c>
      <c r="E5" s="146">
        <v>0.0</v>
      </c>
      <c r="F5" s="146">
        <v>0.0</v>
      </c>
      <c r="G5" s="390">
        <v>0.0</v>
      </c>
      <c r="H5" s="257">
        <v>0.0</v>
      </c>
      <c r="I5" s="146">
        <v>0.0</v>
      </c>
      <c r="J5" s="146">
        <v>0.0</v>
      </c>
      <c r="K5" s="146">
        <v>0.0</v>
      </c>
      <c r="L5" s="390">
        <v>0.0</v>
      </c>
      <c r="M5" s="257">
        <v>0.0</v>
      </c>
      <c r="N5" s="146">
        <v>0.0</v>
      </c>
      <c r="O5" s="146">
        <v>0.0</v>
      </c>
      <c r="P5" s="146">
        <v>0.0</v>
      </c>
      <c r="Q5" s="390">
        <v>0.0</v>
      </c>
      <c r="R5" s="516"/>
      <c r="S5" s="516"/>
      <c r="T5" s="516"/>
      <c r="U5" s="516"/>
      <c r="V5" s="516"/>
      <c r="W5" s="516"/>
      <c r="X5" s="516"/>
      <c r="Y5" s="516"/>
      <c r="Z5" s="516"/>
    </row>
    <row r="6" ht="15.0" customHeight="1">
      <c r="A6" s="516"/>
      <c r="B6" s="395" t="s">
        <v>85</v>
      </c>
      <c r="C6" s="257">
        <v>0.0</v>
      </c>
      <c r="D6" s="146">
        <v>0.0</v>
      </c>
      <c r="E6" s="146">
        <v>0.0</v>
      </c>
      <c r="F6" s="146">
        <v>0.0</v>
      </c>
      <c r="G6" s="390">
        <v>0.0</v>
      </c>
      <c r="H6" s="257">
        <v>0.0</v>
      </c>
      <c r="I6" s="146">
        <v>0.0</v>
      </c>
      <c r="J6" s="146">
        <v>0.0</v>
      </c>
      <c r="K6" s="146">
        <v>0.0</v>
      </c>
      <c r="L6" s="390">
        <v>0.0</v>
      </c>
      <c r="M6" s="257">
        <v>0.0</v>
      </c>
      <c r="N6" s="146">
        <v>0.0</v>
      </c>
      <c r="O6" s="146">
        <v>0.0</v>
      </c>
      <c r="P6" s="146">
        <v>0.0</v>
      </c>
      <c r="Q6" s="390">
        <v>0.0</v>
      </c>
      <c r="R6" s="516"/>
      <c r="S6" s="516"/>
      <c r="T6" s="516"/>
      <c r="U6" s="516"/>
      <c r="V6" s="516"/>
      <c r="W6" s="516"/>
      <c r="X6" s="516"/>
      <c r="Y6" s="516"/>
      <c r="Z6" s="516"/>
    </row>
    <row r="7" ht="15.0" customHeight="1">
      <c r="A7" s="516"/>
      <c r="B7" s="393" t="s">
        <v>73</v>
      </c>
      <c r="C7" s="257">
        <v>0.0</v>
      </c>
      <c r="D7" s="146">
        <v>0.0</v>
      </c>
      <c r="E7" s="146">
        <v>0.0</v>
      </c>
      <c r="F7" s="146">
        <v>0.0</v>
      </c>
      <c r="G7" s="390">
        <v>0.0</v>
      </c>
      <c r="H7" s="257">
        <v>0.0</v>
      </c>
      <c r="I7" s="146">
        <v>0.0</v>
      </c>
      <c r="J7" s="146">
        <v>0.0</v>
      </c>
      <c r="K7" s="146">
        <v>0.0</v>
      </c>
      <c r="L7" s="390">
        <v>0.0</v>
      </c>
      <c r="M7" s="257">
        <v>0.0</v>
      </c>
      <c r="N7" s="146">
        <v>0.0</v>
      </c>
      <c r="O7" s="146">
        <v>0.0</v>
      </c>
      <c r="P7" s="146">
        <v>0.0</v>
      </c>
      <c r="Q7" s="390">
        <v>0.0</v>
      </c>
      <c r="R7" s="516"/>
      <c r="S7" s="516"/>
      <c r="T7" s="516"/>
      <c r="U7" s="516"/>
      <c r="V7" s="516"/>
      <c r="W7" s="516"/>
      <c r="X7" s="516"/>
      <c r="Y7" s="516"/>
      <c r="Z7" s="516"/>
    </row>
    <row r="8" ht="15.0" customHeight="1">
      <c r="A8" s="516"/>
      <c r="B8" s="393" t="s">
        <v>75</v>
      </c>
      <c r="C8" s="257">
        <v>0.0</v>
      </c>
      <c r="D8" s="146">
        <v>0.0</v>
      </c>
      <c r="E8" s="146">
        <v>0.0</v>
      </c>
      <c r="F8" s="146">
        <v>0.0</v>
      </c>
      <c r="G8" s="390">
        <v>0.0</v>
      </c>
      <c r="H8" s="257">
        <v>0.0</v>
      </c>
      <c r="I8" s="146">
        <v>0.0</v>
      </c>
      <c r="J8" s="146">
        <v>0.0</v>
      </c>
      <c r="K8" s="146">
        <v>0.0</v>
      </c>
      <c r="L8" s="390">
        <v>0.0</v>
      </c>
      <c r="M8" s="257">
        <v>0.0</v>
      </c>
      <c r="N8" s="146">
        <v>0.0</v>
      </c>
      <c r="O8" s="146">
        <v>0.0</v>
      </c>
      <c r="P8" s="146">
        <v>0.0</v>
      </c>
      <c r="Q8" s="390">
        <v>0.0</v>
      </c>
      <c r="R8" s="516"/>
      <c r="S8" s="516"/>
      <c r="T8" s="516"/>
      <c r="U8" s="516"/>
      <c r="V8" s="516"/>
      <c r="W8" s="516"/>
      <c r="X8" s="516"/>
      <c r="Y8" s="516"/>
      <c r="Z8" s="516"/>
    </row>
    <row r="9" ht="15.0" customHeight="1">
      <c r="A9" s="516"/>
      <c r="B9" s="393" t="s">
        <v>77</v>
      </c>
      <c r="C9" s="355">
        <f>('DRE Posto EsteioCGS'!C35+'DRE Posto EsteioCGS'!C43)/1000</f>
        <v>-48.48761</v>
      </c>
      <c r="D9" s="57">
        <f>('DRE Posto EsteioCGS'!D35+'DRE Posto EsteioCGS'!D43)/1000</f>
        <v>-3.96875</v>
      </c>
      <c r="E9" s="57">
        <f>('DRE Posto EsteioCGS'!E35+'DRE Posto EsteioCGS'!E43)/1000</f>
        <v>0</v>
      </c>
      <c r="F9" s="244">
        <f>- IFERROR(E9/D9-1," ")</f>
        <v>1</v>
      </c>
      <c r="G9" s="394">
        <f t="shared" ref="G9:G10" si="2">-IFERROR(E9/C9-1," ")</f>
        <v>1</v>
      </c>
      <c r="H9" s="355">
        <f>('DRE Posto EsteioCGS'!G35+'DRE Posto EsteioCGS'!G43)/1000</f>
        <v>-238.23188</v>
      </c>
      <c r="I9" s="57">
        <f>('DRE Posto EsteioCGS'!H35+'DRE Posto EsteioCGS'!H43)/1000</f>
        <v>-38.72575</v>
      </c>
      <c r="J9" s="57">
        <f>('DRE Posto EsteioCGS'!I35+'DRE Posto EsteioCGS'!I43)/1000</f>
        <v>151.89878</v>
      </c>
      <c r="K9" s="244">
        <f t="shared" ref="K9:K14" si="4">IFERROR(J9/I9-1," ")</f>
        <v>-4.922423194</v>
      </c>
      <c r="L9" s="394">
        <f t="shared" ref="L9:L13" si="5">IFERROR(J9/H9-1," ")</f>
        <v>-1.637608955</v>
      </c>
      <c r="M9" s="526">
        <f>('DRE Posto EsteioCGS'!K35+'DRE Posto EsteioCGS'!K43)/1000</f>
        <v>-256.31814</v>
      </c>
      <c r="N9" s="526">
        <f>('DRE Posto EsteioCGS'!L35+'DRE Posto EsteioCGS'!L43)/1000</f>
        <v>-46.36325</v>
      </c>
      <c r="O9" s="526">
        <f>('DRE Posto EsteioCGS'!M35+'DRE Posto EsteioCGS'!M43)/1000</f>
        <v>151.89878</v>
      </c>
      <c r="P9" s="244">
        <f t="shared" ref="P9:P10" si="7">-IFERROR(O9/N9-1," ")</f>
        <v>4.276275498</v>
      </c>
      <c r="Q9" s="394">
        <f t="shared" ref="Q9:Q13" si="8">IFERROR(O9/M9-1," ")</f>
        <v>-1.592618142</v>
      </c>
      <c r="R9" s="516"/>
      <c r="S9" s="516"/>
      <c r="T9" s="516"/>
      <c r="U9" s="516"/>
      <c r="V9" s="516"/>
      <c r="W9" s="516"/>
      <c r="X9" s="516"/>
      <c r="Y9" s="516"/>
      <c r="Z9" s="516"/>
    </row>
    <row r="10" ht="15.0" customHeight="1">
      <c r="A10" s="528"/>
      <c r="B10" s="523" t="s">
        <v>80</v>
      </c>
      <c r="C10" s="531">
        <f t="shared" ref="C10:E10" si="1">C8+C9</f>
        <v>-48.48761</v>
      </c>
      <c r="D10" s="532">
        <f t="shared" si="1"/>
        <v>-3.96875</v>
      </c>
      <c r="E10" s="474">
        <f t="shared" si="1"/>
        <v>0</v>
      </c>
      <c r="F10" s="533">
        <f>-IFERROR(E10/D10-1," ")</f>
        <v>1</v>
      </c>
      <c r="G10" s="533">
        <f t="shared" si="2"/>
        <v>1</v>
      </c>
      <c r="H10" s="534">
        <f t="shared" ref="H10:J10" si="3">H8+H9</f>
        <v>-238.23188</v>
      </c>
      <c r="I10" s="535">
        <f t="shared" si="3"/>
        <v>-38.72575</v>
      </c>
      <c r="J10" s="536">
        <f t="shared" si="3"/>
        <v>151.89878</v>
      </c>
      <c r="K10" s="537">
        <f t="shared" si="4"/>
        <v>-4.922423194</v>
      </c>
      <c r="L10" s="537">
        <f t="shared" si="5"/>
        <v>-1.637608955</v>
      </c>
      <c r="M10" s="534">
        <f t="shared" ref="M10:O10" si="6">M8+M9</f>
        <v>-256.31814</v>
      </c>
      <c r="N10" s="532">
        <f t="shared" si="6"/>
        <v>-46.36325</v>
      </c>
      <c r="O10" s="538">
        <f t="shared" si="6"/>
        <v>151.89878</v>
      </c>
      <c r="P10" s="537">
        <f t="shared" si="7"/>
        <v>4.276275498</v>
      </c>
      <c r="Q10" s="539">
        <f t="shared" si="8"/>
        <v>-1.592618142</v>
      </c>
      <c r="R10" s="540"/>
      <c r="S10" s="528"/>
      <c r="T10" s="528"/>
      <c r="U10" s="528"/>
      <c r="V10" s="528"/>
      <c r="W10" s="528"/>
      <c r="X10" s="528"/>
      <c r="Y10" s="528"/>
      <c r="Z10" s="528"/>
    </row>
    <row r="11" ht="15.0" customHeight="1">
      <c r="A11" s="516"/>
      <c r="B11" s="393" t="s">
        <v>82</v>
      </c>
      <c r="C11" s="541">
        <f>'DRE Posto EsteioCGS'!C45/1000</f>
        <v>0</v>
      </c>
      <c r="D11" s="146">
        <v>0.0</v>
      </c>
      <c r="E11" s="146">
        <v>0.0</v>
      </c>
      <c r="F11" s="146">
        <v>0.0</v>
      </c>
      <c r="G11" s="394" t="str">
        <f>IFERROR(E11/C11-1," ")</f>
        <v> </v>
      </c>
      <c r="H11" s="355">
        <f>'DRE Posto EsteioCGS'!G45/1000</f>
        <v>-13.03546</v>
      </c>
      <c r="I11" s="57">
        <f>'DRE Posto EsteioCGS'!H45/1000</f>
        <v>0</v>
      </c>
      <c r="J11" s="57">
        <f>'DRE Posto EsteioCGS'!I45/1000</f>
        <v>0</v>
      </c>
      <c r="K11" s="244" t="str">
        <f t="shared" si="4"/>
        <v> </v>
      </c>
      <c r="L11" s="394">
        <f t="shared" si="5"/>
        <v>-1</v>
      </c>
      <c r="M11" s="541">
        <f>('DRE Posto EsteioCGS'!K37+'DRE Posto EsteioCGS'!K45)/1000</f>
        <v>-13.03546</v>
      </c>
      <c r="N11" s="146">
        <v>0.0</v>
      </c>
      <c r="O11" s="146">
        <v>0.0</v>
      </c>
      <c r="P11" s="244" t="str">
        <f>IFERROR(O11/N11-1," ")</f>
        <v> </v>
      </c>
      <c r="Q11" s="394">
        <f t="shared" si="8"/>
        <v>-1</v>
      </c>
      <c r="R11" s="516"/>
      <c r="S11" s="516"/>
      <c r="T11" s="516"/>
      <c r="U11" s="516"/>
      <c r="V11" s="516"/>
      <c r="W11" s="516"/>
      <c r="X11" s="516"/>
      <c r="Y11" s="516"/>
      <c r="Z11" s="516"/>
    </row>
    <row r="12" ht="15.0" customHeight="1">
      <c r="A12" s="516"/>
      <c r="B12" s="393" t="s">
        <v>83</v>
      </c>
      <c r="C12" s="355">
        <f t="shared" ref="C12:E12" si="9">C10+C11</f>
        <v>-48.48761</v>
      </c>
      <c r="D12" s="248">
        <f t="shared" si="9"/>
        <v>-3.96875</v>
      </c>
      <c r="E12" s="248">
        <f t="shared" si="9"/>
        <v>0</v>
      </c>
      <c r="F12" s="244">
        <f>-IFERROR(E12/D12-1," ")</f>
        <v>1</v>
      </c>
      <c r="G12" s="394">
        <f>-IFERROR(E12/C12-1," ")</f>
        <v>1</v>
      </c>
      <c r="H12" s="355">
        <f t="shared" ref="H12:J12" si="10">H10+H11</f>
        <v>-251.26734</v>
      </c>
      <c r="I12" s="248">
        <f t="shared" si="10"/>
        <v>-38.72575</v>
      </c>
      <c r="J12" s="248">
        <f t="shared" si="10"/>
        <v>151.89878</v>
      </c>
      <c r="K12" s="244">
        <f t="shared" si="4"/>
        <v>-4.922423194</v>
      </c>
      <c r="L12" s="394">
        <f t="shared" si="5"/>
        <v>-1.604530537</v>
      </c>
      <c r="M12" s="361">
        <f t="shared" ref="M12:O12" si="11">M10+M11</f>
        <v>-269.3536</v>
      </c>
      <c r="N12" s="248">
        <f t="shared" si="11"/>
        <v>-46.36325</v>
      </c>
      <c r="O12" s="248">
        <f t="shared" si="11"/>
        <v>151.89878</v>
      </c>
      <c r="P12" s="244">
        <f>-IFERROR(O12/N12-1," ")</f>
        <v>4.276275498</v>
      </c>
      <c r="Q12" s="394">
        <f t="shared" si="8"/>
        <v>-1.563938184</v>
      </c>
      <c r="R12" s="516"/>
      <c r="S12" s="516"/>
      <c r="T12" s="516"/>
      <c r="U12" s="516"/>
      <c r="V12" s="516"/>
      <c r="W12" s="516"/>
      <c r="X12" s="516"/>
      <c r="Y12" s="516"/>
      <c r="Z12" s="516"/>
    </row>
    <row r="13" ht="15.0" customHeight="1">
      <c r="A13" s="516"/>
      <c r="B13" s="393" t="s">
        <v>84</v>
      </c>
      <c r="C13" s="355">
        <f>('DRE Posto EsteioCGS'!C38+'DRE Posto EsteioCGS'!C47)/1000</f>
        <v>1.78459</v>
      </c>
      <c r="D13" s="554">
        <f>('DRE Posto EsteioCGS'!D38+'DRE Posto EsteioCGS'!D47)/1000</f>
        <v>0.23111</v>
      </c>
      <c r="E13" s="554">
        <f>('DRE Posto EsteioCGS'!E38+'DRE Posto EsteioCGS'!E47)/1000</f>
        <v>0</v>
      </c>
      <c r="F13" s="244">
        <f>IFERROR(E13/D13-1," ")</f>
        <v>-1</v>
      </c>
      <c r="G13" s="394">
        <f t="shared" ref="G13:G16" si="13">IFERROR(E13/C13-1," ")</f>
        <v>-1</v>
      </c>
      <c r="H13" s="355">
        <f>'DRE Posto EsteioCGS'!G47/1000+'DRE Posto EsteioCGS'!G38/1000</f>
        <v>77.901</v>
      </c>
      <c r="I13" s="57">
        <f>'DRE Posto EsteioCGS'!H47/1000</f>
        <v>3.7582</v>
      </c>
      <c r="J13" s="57">
        <f>'DRE Posto EsteioCGS'!I47/1000</f>
        <v>45.86464</v>
      </c>
      <c r="K13" s="244">
        <f t="shared" si="4"/>
        <v>11.20388484</v>
      </c>
      <c r="L13" s="394">
        <f t="shared" si="5"/>
        <v>-0.4112445283</v>
      </c>
      <c r="M13" s="57">
        <f>'DRE Posto EsteioCGS'!K47/1000</f>
        <v>101.35316</v>
      </c>
      <c r="N13" s="57">
        <f>'DRE Posto EsteioCGS'!L47/1000</f>
        <v>4.15908</v>
      </c>
      <c r="O13" s="57">
        <f>'DRE Posto EsteioCGS'!M47/1000</f>
        <v>46.68481</v>
      </c>
      <c r="P13" s="244">
        <f>IFERROR(O13/N13-1," ")</f>
        <v>10.2247925</v>
      </c>
      <c r="Q13" s="394">
        <f t="shared" si="8"/>
        <v>-0.5393847612</v>
      </c>
      <c r="R13" s="516"/>
      <c r="S13" s="516"/>
      <c r="T13" s="516"/>
      <c r="U13" s="516"/>
      <c r="V13" s="516"/>
      <c r="W13" s="516"/>
      <c r="X13" s="516"/>
      <c r="Y13" s="516"/>
      <c r="Z13" s="516"/>
    </row>
    <row r="14" ht="15.0" customHeight="1">
      <c r="A14" s="516"/>
      <c r="B14" s="393" t="s">
        <v>86</v>
      </c>
      <c r="C14" s="57">
        <f t="shared" ref="C14:E14" si="12">C12+C13</f>
        <v>-46.70302</v>
      </c>
      <c r="D14" s="57">
        <f t="shared" si="12"/>
        <v>-3.73764</v>
      </c>
      <c r="E14" s="57">
        <f t="shared" si="12"/>
        <v>0</v>
      </c>
      <c r="F14" s="244">
        <f>-IFERROR(E14/D14-1," ")</f>
        <v>1</v>
      </c>
      <c r="G14" s="394">
        <f t="shared" si="13"/>
        <v>-1</v>
      </c>
      <c r="H14" s="355">
        <f t="shared" ref="H14:J14" si="14">H12+H13</f>
        <v>-173.36634</v>
      </c>
      <c r="I14" s="57">
        <f t="shared" si="14"/>
        <v>-34.96755</v>
      </c>
      <c r="J14" s="57">
        <f t="shared" si="14"/>
        <v>197.76342</v>
      </c>
      <c r="K14" s="244">
        <f t="shared" si="4"/>
        <v>-6.655627003</v>
      </c>
      <c r="L14" s="394">
        <f>-IFERROR(J14/H14-1," ")</f>
        <v>2.140725587</v>
      </c>
      <c r="M14" s="248">
        <f t="shared" ref="M14:O14" si="15">M12+M13</f>
        <v>-168.00044</v>
      </c>
      <c r="N14" s="248">
        <f t="shared" si="15"/>
        <v>-42.20417</v>
      </c>
      <c r="O14" s="248">
        <f t="shared" si="15"/>
        <v>198.58359</v>
      </c>
      <c r="P14" s="244">
        <f>-IFERROR(O14/N14-1," ")</f>
        <v>5.705307319</v>
      </c>
      <c r="Q14" s="394">
        <f>-IFERROR(O14/M14-1," ")</f>
        <v>2.182042083</v>
      </c>
      <c r="R14" s="516"/>
      <c r="S14" s="516"/>
      <c r="T14" s="516"/>
      <c r="U14" s="516"/>
      <c r="V14" s="516"/>
      <c r="W14" s="516"/>
      <c r="X14" s="516"/>
      <c r="Y14" s="516"/>
      <c r="Z14" s="516"/>
    </row>
    <row r="15" ht="15.0" customHeight="1">
      <c r="A15" s="516"/>
      <c r="B15" s="393" t="s">
        <v>87</v>
      </c>
      <c r="C15" s="526">
        <f>'DRE Posto EsteioCGS'!C49/1000</f>
        <v>0</v>
      </c>
      <c r="D15" s="146">
        <v>0.0</v>
      </c>
      <c r="E15" s="146">
        <v>0.0</v>
      </c>
      <c r="F15" s="146">
        <v>0.0</v>
      </c>
      <c r="G15" s="394" t="str">
        <f t="shared" si="13"/>
        <v> </v>
      </c>
      <c r="H15" s="57">
        <f>'DRE Posto EsteioCGS'!G49/1000</f>
        <v>0</v>
      </c>
      <c r="I15" s="146">
        <v>0.0</v>
      </c>
      <c r="J15" s="146">
        <v>0.0</v>
      </c>
      <c r="K15" s="146">
        <v>0.0</v>
      </c>
      <c r="L15" s="362">
        <v>1.0</v>
      </c>
      <c r="M15" s="568">
        <f>('DRE Posto EsteioCGS'!K37+'DRE Posto EsteioCGS'!K49)/1000</f>
        <v>0</v>
      </c>
      <c r="N15" s="146">
        <v>0.0</v>
      </c>
      <c r="O15" s="146">
        <v>0.0</v>
      </c>
      <c r="P15" s="146">
        <v>0.0</v>
      </c>
      <c r="Q15" s="394" t="str">
        <f>IFERROR(O15/M15-1," ")</f>
        <v> </v>
      </c>
      <c r="R15" s="516"/>
      <c r="S15" s="516"/>
      <c r="T15" s="516"/>
      <c r="U15" s="516"/>
      <c r="V15" s="516"/>
      <c r="W15" s="516"/>
      <c r="X15" s="516"/>
      <c r="Y15" s="516"/>
      <c r="Z15" s="516"/>
    </row>
    <row r="16" ht="15.0" customHeight="1">
      <c r="A16" s="516"/>
      <c r="B16" s="395" t="s">
        <v>125</v>
      </c>
      <c r="C16" s="361">
        <f t="shared" ref="C16:E16" si="16">C14+C15</f>
        <v>-46.70302</v>
      </c>
      <c r="D16" s="248">
        <f t="shared" si="16"/>
        <v>-3.73764</v>
      </c>
      <c r="E16" s="248">
        <f t="shared" si="16"/>
        <v>0</v>
      </c>
      <c r="F16" s="244">
        <f>-IFERROR(E16/D16-1," ")</f>
        <v>1</v>
      </c>
      <c r="G16" s="394">
        <f t="shared" si="13"/>
        <v>-1</v>
      </c>
      <c r="H16" s="361">
        <f t="shared" ref="H16:J16" si="17">H14+H15</f>
        <v>-173.36634</v>
      </c>
      <c r="I16" s="248">
        <f t="shared" si="17"/>
        <v>-34.96755</v>
      </c>
      <c r="J16" s="248">
        <f t="shared" si="17"/>
        <v>197.76342</v>
      </c>
      <c r="K16" s="244">
        <f>IFERROR(J16/I16-1," ")</f>
        <v>-6.655627003</v>
      </c>
      <c r="L16" s="394">
        <f>-IFERROR(J16/H16-1," ")</f>
        <v>2.140725587</v>
      </c>
      <c r="M16" s="361">
        <f t="shared" ref="M16:O16" si="18">M14+M15</f>
        <v>-168.00044</v>
      </c>
      <c r="N16" s="248">
        <f t="shared" si="18"/>
        <v>-42.20417</v>
      </c>
      <c r="O16" s="248">
        <f t="shared" si="18"/>
        <v>198.58359</v>
      </c>
      <c r="P16" s="244">
        <f>-IFERROR(O16/N16-1," ")</f>
        <v>5.705307319</v>
      </c>
      <c r="Q16" s="394">
        <f>-IFERROR(O16/M16-1," ")</f>
        <v>2.182042083</v>
      </c>
      <c r="R16" s="516"/>
      <c r="S16" s="516"/>
      <c r="T16" s="516"/>
      <c r="U16" s="516"/>
      <c r="V16" s="516"/>
      <c r="W16" s="516"/>
      <c r="X16" s="516"/>
      <c r="Y16" s="516"/>
      <c r="Z16" s="516"/>
    </row>
    <row r="17" ht="16.5" customHeight="1">
      <c r="A17" s="516"/>
      <c r="B17" s="376" t="s">
        <v>100</v>
      </c>
      <c r="C17" s="574">
        <v>0.0</v>
      </c>
      <c r="D17" s="575">
        <v>0.0</v>
      </c>
      <c r="E17" s="576">
        <v>0.0</v>
      </c>
      <c r="F17" s="380"/>
      <c r="G17" s="381"/>
      <c r="H17" s="575">
        <v>0.0</v>
      </c>
      <c r="I17" s="575">
        <v>0.0</v>
      </c>
      <c r="J17" s="576">
        <v>0.0</v>
      </c>
      <c r="K17" s="380"/>
      <c r="L17" s="381"/>
      <c r="M17" s="575">
        <v>0.0</v>
      </c>
      <c r="N17" s="575">
        <v>0.0</v>
      </c>
      <c r="O17" s="576">
        <v>0.0</v>
      </c>
      <c r="P17" s="380"/>
      <c r="Q17" s="381"/>
      <c r="R17" s="516"/>
      <c r="S17" s="516"/>
      <c r="T17" s="516"/>
      <c r="U17" s="516"/>
      <c r="V17" s="516"/>
      <c r="W17" s="516"/>
      <c r="X17" s="516"/>
      <c r="Y17" s="516"/>
      <c r="Z17" s="516"/>
    </row>
    <row r="18" ht="16.5" hidden="1" customHeight="1">
      <c r="A18" s="516"/>
      <c r="B18" s="578" t="s">
        <v>211</v>
      </c>
      <c r="C18" s="386" t="str">
        <f t="shared" ref="C18:E18" si="19">C7/C6</f>
        <v>#DIV/0!</v>
      </c>
      <c r="D18" s="386" t="str">
        <f t="shared" si="19"/>
        <v>#DIV/0!</v>
      </c>
      <c r="E18" s="386" t="str">
        <f t="shared" si="19"/>
        <v>#DIV/0!</v>
      </c>
      <c r="F18" s="387"/>
      <c r="G18" s="387"/>
      <c r="H18" s="386" t="str">
        <f t="shared" ref="H18:J18" si="20">H7/H6</f>
        <v>#DIV/0!</v>
      </c>
      <c r="I18" s="386" t="str">
        <f t="shared" si="20"/>
        <v>#DIV/0!</v>
      </c>
      <c r="J18" s="386" t="str">
        <f t="shared" si="20"/>
        <v>#DIV/0!</v>
      </c>
      <c r="K18" s="387"/>
      <c r="L18" s="387"/>
      <c r="M18" s="386" t="str">
        <f t="shared" ref="M18:O18" si="21">M7/M6</f>
        <v>#DIV/0!</v>
      </c>
      <c r="N18" s="386" t="str">
        <f t="shared" si="21"/>
        <v>#DIV/0!</v>
      </c>
      <c r="O18" s="386" t="str">
        <f t="shared" si="21"/>
        <v>#DIV/0!</v>
      </c>
      <c r="P18" s="387"/>
      <c r="Q18" s="387"/>
      <c r="R18" s="516"/>
      <c r="S18" s="516"/>
      <c r="T18" s="516"/>
      <c r="U18" s="516"/>
      <c r="V18" s="516"/>
      <c r="W18" s="516"/>
      <c r="X18" s="516"/>
      <c r="Y18" s="516"/>
      <c r="Z18" s="516"/>
    </row>
    <row r="19" ht="3.75" customHeight="1">
      <c r="A19" s="516"/>
      <c r="B19" s="516"/>
      <c r="C19" s="517"/>
      <c r="D19" s="517"/>
      <c r="E19" s="517"/>
      <c r="F19" s="516"/>
      <c r="G19" s="516"/>
      <c r="H19" s="516"/>
      <c r="I19" s="516"/>
      <c r="J19" s="516"/>
      <c r="K19" s="516"/>
      <c r="L19" s="516"/>
      <c r="M19" s="516"/>
      <c r="N19" s="516"/>
      <c r="O19" s="516"/>
      <c r="P19" s="516"/>
      <c r="Q19" s="516"/>
      <c r="R19" s="516"/>
      <c r="S19" s="516"/>
      <c r="T19" s="516"/>
      <c r="U19" s="516"/>
      <c r="V19" s="516"/>
      <c r="W19" s="516"/>
      <c r="X19" s="516"/>
      <c r="Y19" s="516"/>
      <c r="Z19" s="516"/>
    </row>
    <row r="20" ht="14.25" customHeight="1">
      <c r="A20" s="516"/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 s="516"/>
      <c r="O20" s="516"/>
      <c r="P20" s="516"/>
      <c r="Q20" s="516"/>
      <c r="R20" s="516"/>
      <c r="S20" s="516"/>
      <c r="T20" s="516"/>
      <c r="U20" s="516"/>
      <c r="V20" s="516"/>
      <c r="W20" s="516"/>
      <c r="X20" s="516"/>
      <c r="Y20" s="516"/>
      <c r="Z20" s="516"/>
    </row>
    <row r="21" ht="13.5" customHeight="1">
      <c r="A21" s="516"/>
      <c r="B21" s="516"/>
      <c r="C21" s="517"/>
      <c r="D21" s="517"/>
      <c r="E21" s="517"/>
      <c r="F21" s="516"/>
      <c r="G21" s="516"/>
      <c r="H21" s="516"/>
      <c r="I21" s="516"/>
      <c r="J21" s="516"/>
      <c r="K21" s="516"/>
      <c r="L21" s="516"/>
      <c r="M21" s="516"/>
      <c r="N21" s="516"/>
      <c r="O21" s="516"/>
      <c r="P21" s="516"/>
      <c r="Q21" s="516"/>
      <c r="R21" s="516"/>
      <c r="S21" s="516"/>
      <c r="T21" s="516"/>
      <c r="U21" s="516"/>
      <c r="V21" s="516"/>
      <c r="W21" s="516"/>
      <c r="X21" s="516"/>
      <c r="Y21" s="516"/>
      <c r="Z21" s="516"/>
    </row>
    <row r="22" ht="14.25" customHeight="1">
      <c r="A22" s="516"/>
      <c r="B22" s="588" t="s">
        <v>213</v>
      </c>
      <c r="C22" s="25" t="str">
        <f>C2</f>
        <v>MAIO</v>
      </c>
      <c r="D22" s="27"/>
      <c r="E22" s="27"/>
      <c r="F22" s="27"/>
      <c r="G22" s="28"/>
      <c r="H22" s="25" t="str">
        <f>H2</f>
        <v>ACUMULADO JANEIRO A MAIO</v>
      </c>
      <c r="I22" s="27"/>
      <c r="J22" s="27"/>
      <c r="K22" s="27"/>
      <c r="L22" s="28"/>
      <c r="M22" s="590" t="s">
        <v>3</v>
      </c>
      <c r="N22" s="27"/>
      <c r="O22" s="27"/>
      <c r="P22" s="27"/>
      <c r="Q22" s="28"/>
      <c r="R22" s="516"/>
      <c r="S22" s="516"/>
      <c r="T22" s="516"/>
      <c r="U22" s="516"/>
      <c r="V22" s="516"/>
      <c r="W22" s="516"/>
      <c r="X22" s="516"/>
      <c r="Y22" s="516"/>
      <c r="Z22" s="516"/>
    </row>
    <row r="23" ht="36.0" customHeight="1">
      <c r="A23" s="516"/>
      <c r="B23" s="38"/>
      <c r="C23" s="520" t="s">
        <v>19</v>
      </c>
      <c r="D23" s="521" t="s">
        <v>21</v>
      </c>
      <c r="E23" s="521" t="s">
        <v>27</v>
      </c>
      <c r="F23" s="521" t="s">
        <v>199</v>
      </c>
      <c r="G23" s="522" t="s">
        <v>200</v>
      </c>
      <c r="H23" s="345" t="s">
        <v>149</v>
      </c>
      <c r="I23" s="347" t="s">
        <v>150</v>
      </c>
      <c r="J23" s="347" t="s">
        <v>19</v>
      </c>
      <c r="K23" s="347" t="s">
        <v>151</v>
      </c>
      <c r="L23" s="592" t="s">
        <v>152</v>
      </c>
      <c r="M23" s="520" t="s">
        <v>19</v>
      </c>
      <c r="N23" s="521" t="s">
        <v>21</v>
      </c>
      <c r="O23" s="521" t="s">
        <v>22</v>
      </c>
      <c r="P23" s="521" t="s">
        <v>23</v>
      </c>
      <c r="Q23" s="522" t="s">
        <v>25</v>
      </c>
      <c r="R23" s="516"/>
      <c r="S23" s="516"/>
      <c r="T23" s="516"/>
      <c r="U23" s="516"/>
      <c r="V23" s="516"/>
      <c r="W23" s="516"/>
      <c r="X23" s="516"/>
      <c r="Y23" s="516"/>
      <c r="Z23" s="516"/>
    </row>
    <row r="24" ht="13.5" customHeight="1">
      <c r="A24" s="516"/>
      <c r="B24" s="393" t="s">
        <v>40</v>
      </c>
      <c r="C24" s="361">
        <f>('Matriz senha_capital OK'!$C$2+'Demercado_senha capital OK'!$C$2)/1000</f>
        <v>4573.73896</v>
      </c>
      <c r="D24" s="248">
        <f>('Matriz senha_capital OK'!$C$18+'Demercado_senha capital OK'!$C$18)/1000</f>
        <v>5544.47598</v>
      </c>
      <c r="E24" s="248">
        <f>('Matriz senha_capital OK'!$C$34+'Demercado_senha capital OK'!$C$34)/1000-1</f>
        <v>5624.43008</v>
      </c>
      <c r="F24" s="244">
        <f t="shared" ref="F24:F36" si="22">IFERROR(E24/C24-1," ")</f>
        <v>0.2297225813</v>
      </c>
      <c r="G24" s="394">
        <f t="shared" ref="G24:G36" si="23">IFERROR(E24/D24-1," ")</f>
        <v>0.01442049714</v>
      </c>
      <c r="H24" s="361">
        <f>'Quadro DRE Apresentação'!H5+'Quadro DRE Apresentação'!H25-1</f>
        <v>51175.72055</v>
      </c>
      <c r="I24" s="248">
        <f>'Quadro DRE Apresentação'!I5+'Quadro DRE Apresentação'!I25</f>
        <v>56951.15689</v>
      </c>
      <c r="J24" s="248">
        <f>'Quadro DRE Apresentação'!J5+'Quadro DRE Apresentação'!J25</f>
        <v>58021.60213</v>
      </c>
      <c r="K24" s="244">
        <f t="shared" ref="K24:K36" si="24">IFERROR(J24/H24-1," ")</f>
        <v>0.1337720604</v>
      </c>
      <c r="L24" s="394">
        <f t="shared" ref="L24:L36" si="25">IFERROR(J24/I24-1," ")</f>
        <v>0.01879584715</v>
      </c>
      <c r="M24" s="361">
        <f>'Quadro DRE Apresentação'!M5+'Quadro DRE Apresentação'!M25</f>
        <v>94045.55106</v>
      </c>
      <c r="N24" s="248">
        <f>'Quadro DRE Apresentação'!N5+'Quadro DRE Apresentação'!N25</f>
        <v>105192.1085</v>
      </c>
      <c r="O24" s="248">
        <f>'Quadro DRE Apresentação'!O5+'Quadro DRE Apresentação'!O25-1</f>
        <v>107191.0448</v>
      </c>
      <c r="P24" s="244">
        <f t="shared" ref="P24:P36" si="26">IFERROR(O24/M24-1," ")</f>
        <v>0.1397779436</v>
      </c>
      <c r="Q24" s="394">
        <f t="shared" ref="Q24:Q36" si="27">IFERROR(O24/N24-1," ")</f>
        <v>0.01900272101</v>
      </c>
      <c r="R24" s="516"/>
      <c r="S24" s="516"/>
      <c r="T24" s="516"/>
      <c r="U24" s="516"/>
      <c r="V24" s="516"/>
      <c r="W24" s="516"/>
      <c r="X24" s="516"/>
      <c r="Y24" s="516"/>
      <c r="Z24" s="516"/>
    </row>
    <row r="25" ht="14.25" customHeight="1">
      <c r="A25" s="516"/>
      <c r="B25" s="393" t="s">
        <v>71</v>
      </c>
      <c r="C25" s="361">
        <f>('Matriz senha_capital OK'!$C$3+'Demercado_senha capital OK'!$C$3)/1000</f>
        <v>-167.96853</v>
      </c>
      <c r="D25" s="248">
        <f>('Matriz senha_capital OK'!$C$19+'Demercado_senha capital OK'!$C$19)/1000-1</f>
        <v>-275.55148</v>
      </c>
      <c r="E25" s="248">
        <f>('Matriz senha_capital OK'!$C$35+'Demercado_senha capital OK'!$C$35)/1000</f>
        <v>-279.47493</v>
      </c>
      <c r="F25" s="244">
        <f t="shared" si="22"/>
        <v>0.6638529253</v>
      </c>
      <c r="G25" s="394">
        <f t="shared" si="23"/>
        <v>0.01423853721</v>
      </c>
      <c r="H25" s="361">
        <f>'Quadro DRE Apresentação'!H6+'Quadro DRE Apresentação'!H26</f>
        <v>-2041.73043</v>
      </c>
      <c r="I25" s="248">
        <f>'Quadro DRE Apresentação'!I6+'Quadro DRE Apresentação'!I26</f>
        <v>-2078.71723</v>
      </c>
      <c r="J25" s="248">
        <f>'Quadro DRE Apresentação'!J6+'Quadro DRE Apresentação'!J26</f>
        <v>-2117.78847</v>
      </c>
      <c r="K25" s="244">
        <f t="shared" si="24"/>
        <v>0.03725175414</v>
      </c>
      <c r="L25" s="394">
        <f t="shared" si="25"/>
        <v>0.0187958417</v>
      </c>
      <c r="M25" s="361">
        <f>'Quadro DRE Apresentação'!M6+'Quadro DRE Apresentação'!M26</f>
        <v>-3607.52529</v>
      </c>
      <c r="N25" s="248">
        <f>'Quadro DRE Apresentação'!N6+'Quadro DRE Apresentação'!N26</f>
        <v>-3839.51196</v>
      </c>
      <c r="O25" s="248">
        <f>'Quadro DRE Apresentação'!O6+'Quadro DRE Apresentação'!O26-1</f>
        <v>-3913.50963</v>
      </c>
      <c r="P25" s="244">
        <f t="shared" si="26"/>
        <v>0.08481834926</v>
      </c>
      <c r="Q25" s="394">
        <f t="shared" si="27"/>
        <v>0.019272676</v>
      </c>
      <c r="R25" s="516"/>
      <c r="S25" s="516"/>
      <c r="T25" s="516"/>
      <c r="U25" s="516"/>
      <c r="V25" s="516"/>
      <c r="W25" s="516"/>
      <c r="X25" s="516"/>
      <c r="Y25" s="516"/>
      <c r="Z25" s="516"/>
    </row>
    <row r="26" ht="14.25" customHeight="1">
      <c r="A26" s="516"/>
      <c r="B26" s="395" t="s">
        <v>85</v>
      </c>
      <c r="C26" s="361">
        <f>('Matriz senha_capital OK'!$C$4+'Demercado_senha capital OK'!$C$4)/1000</f>
        <v>4405.77043</v>
      </c>
      <c r="D26" s="248">
        <f>('Matriz senha_capital OK'!$C$20+'Demercado_senha capital OK'!$C$20)/1000</f>
        <v>5269.9245</v>
      </c>
      <c r="E26" s="248">
        <f>('Matriz senha_capital OK'!$C$36+'Demercado_senha capital OK'!$C$36)/1000</f>
        <v>5345.95515</v>
      </c>
      <c r="F26" s="244">
        <f t="shared" si="22"/>
        <v>0.2133984816</v>
      </c>
      <c r="G26" s="394">
        <f t="shared" si="23"/>
        <v>0.014427275</v>
      </c>
      <c r="H26" s="361">
        <f>'Quadro DRE Apresentação'!H7+'Quadro DRE Apresentação'!H27</f>
        <v>49134.99012</v>
      </c>
      <c r="I26" s="248">
        <f>'Quadro DRE Apresentação'!I7+'Quadro DRE Apresentação'!I27</f>
        <v>54872.43966</v>
      </c>
      <c r="J26" s="248">
        <f>'Quadro DRE Apresentação'!J7+'Quadro DRE Apresentação'!J27</f>
        <v>55903.81366</v>
      </c>
      <c r="K26" s="244">
        <f t="shared" si="24"/>
        <v>0.1377597416</v>
      </c>
      <c r="L26" s="394">
        <f t="shared" si="25"/>
        <v>0.01879584736</v>
      </c>
      <c r="M26" s="361">
        <f>'Quadro DRE Apresentação'!M7+'Quadro DRE Apresentação'!M27+1</f>
        <v>90439.02577</v>
      </c>
      <c r="N26" s="248">
        <f>'Quadro DRE Apresentação'!N7+'Quadro DRE Apresentação'!N27</f>
        <v>101353.5965</v>
      </c>
      <c r="O26" s="248">
        <f>'Quadro DRE Apresentação'!O7+'Quadro DRE Apresentação'!O27</f>
        <v>103279.5352</v>
      </c>
      <c r="P26" s="244">
        <f t="shared" si="26"/>
        <v>0.1419797403</v>
      </c>
      <c r="Q26" s="394">
        <f t="shared" si="27"/>
        <v>0.01900217344</v>
      </c>
      <c r="R26" s="516"/>
      <c r="S26" s="516"/>
      <c r="T26" s="516"/>
      <c r="U26" s="516"/>
      <c r="V26" s="516"/>
      <c r="W26" s="516"/>
      <c r="X26" s="516"/>
      <c r="Y26" s="516"/>
      <c r="Z26" s="516"/>
    </row>
    <row r="27" ht="14.25" customHeight="1">
      <c r="A27" s="516"/>
      <c r="B27" s="393" t="s">
        <v>73</v>
      </c>
      <c r="C27" s="361"/>
      <c r="D27" s="248"/>
      <c r="E27" s="248"/>
      <c r="F27" s="244" t="str">
        <f t="shared" si="22"/>
        <v> </v>
      </c>
      <c r="G27" s="394" t="str">
        <f t="shared" si="23"/>
        <v> </v>
      </c>
      <c r="H27" s="361"/>
      <c r="I27" s="248"/>
      <c r="J27" s="248">
        <f>'Quadro DRE Apresentação'!J8+'Quadro DRE Apresentação'!J28</f>
        <v>0</v>
      </c>
      <c r="K27" s="244" t="str">
        <f t="shared" si="24"/>
        <v> </v>
      </c>
      <c r="L27" s="394" t="str">
        <f t="shared" si="25"/>
        <v> </v>
      </c>
      <c r="M27" s="361">
        <f>'Quadro DRE Apresentação'!M8+'Quadro DRE Apresentação'!M28</f>
        <v>-75</v>
      </c>
      <c r="N27" s="614">
        <f>'Quadro DRE Apresentação'!N8+'Quadro DRE Apresentação'!N28</f>
        <v>0</v>
      </c>
      <c r="O27" s="614">
        <f>'Quadro DRE Apresentação'!O8+'Quadro DRE Apresentação'!O28</f>
        <v>0</v>
      </c>
      <c r="P27" s="244">
        <f t="shared" si="26"/>
        <v>-1</v>
      </c>
      <c r="Q27" s="394" t="str">
        <f t="shared" si="27"/>
        <v> </v>
      </c>
      <c r="R27" s="516"/>
      <c r="S27" s="516"/>
      <c r="T27" s="516"/>
      <c r="U27" s="516"/>
      <c r="V27" s="516"/>
      <c r="W27" s="516"/>
      <c r="X27" s="516"/>
      <c r="Y27" s="516"/>
      <c r="Z27" s="516"/>
    </row>
    <row r="28" ht="14.25" customHeight="1">
      <c r="A28" s="516"/>
      <c r="B28" s="393" t="s">
        <v>75</v>
      </c>
      <c r="C28" s="361">
        <f>('Matriz senha_capital OK'!$C$6+'Demercado_senha capital OK'!$C$6)/1000</f>
        <v>4405.77043</v>
      </c>
      <c r="D28" s="248">
        <f>('Matriz senha_capital OK'!$C$22+'Demercado_senha capital OK'!$C$22)/1000</f>
        <v>5269.9245</v>
      </c>
      <c r="E28" s="248">
        <f>('Matriz senha_capital OK'!$C$38+'Demercado_senha capital OK'!$C$38)/1000</f>
        <v>5345.95515</v>
      </c>
      <c r="F28" s="244">
        <f t="shared" si="22"/>
        <v>0.2133984816</v>
      </c>
      <c r="G28" s="394">
        <f t="shared" si="23"/>
        <v>0.014427275</v>
      </c>
      <c r="H28" s="361">
        <f>'Quadro DRE Apresentação'!H9+'Quadro DRE Apresentação'!H29</f>
        <v>49059.88297</v>
      </c>
      <c r="I28" s="248">
        <f>'Quadro DRE Apresentação'!I9+'Quadro DRE Apresentação'!I29</f>
        <v>54872.43966</v>
      </c>
      <c r="J28" s="248">
        <f>'Quadro DRE Apresentação'!J9+'Quadro DRE Apresentação'!J29</f>
        <v>55903.81366</v>
      </c>
      <c r="K28" s="244">
        <f t="shared" si="24"/>
        <v>0.1395015698</v>
      </c>
      <c r="L28" s="394">
        <f t="shared" si="25"/>
        <v>0.01879584736</v>
      </c>
      <c r="M28" s="361">
        <f>'Quadro DRE Apresentação'!M9+'Quadro DRE Apresentação'!M29</f>
        <v>90363.02577</v>
      </c>
      <c r="N28" s="248">
        <f>'Quadro DRE Apresentação'!N9+'Quadro DRE Apresentação'!N29</f>
        <v>101353.5965</v>
      </c>
      <c r="O28" s="248">
        <f>'Quadro DRE Apresentação'!O9+'Quadro DRE Apresentação'!O29</f>
        <v>103279.5352</v>
      </c>
      <c r="P28" s="244">
        <f t="shared" si="26"/>
        <v>0.1429402046</v>
      </c>
      <c r="Q28" s="394">
        <f t="shared" si="27"/>
        <v>0.01900217344</v>
      </c>
      <c r="R28" s="516"/>
      <c r="S28" s="516"/>
      <c r="T28" s="516"/>
      <c r="U28" s="516"/>
      <c r="V28" s="516"/>
      <c r="W28" s="516"/>
      <c r="X28" s="516"/>
      <c r="Y28" s="516"/>
      <c r="Z28" s="516"/>
    </row>
    <row r="29" ht="14.25" customHeight="1">
      <c r="A29" s="516"/>
      <c r="B29" s="393" t="s">
        <v>77</v>
      </c>
      <c r="C29" s="361">
        <f>('Matriz senha_capital OK'!$C$7+'Demercado_senha capital OK'!$C$7)/1000</f>
        <v>-1286.7854</v>
      </c>
      <c r="D29" s="248">
        <f>('Matriz senha_capital OK'!$C$23+'Demercado_senha capital OK'!$C$23)/1000</f>
        <v>-1172.14871</v>
      </c>
      <c r="E29" s="248">
        <f>('Matriz senha_capital OK'!$C$39+'Demercado_senha capital OK'!$C$39)/1000</f>
        <v>-925.07345</v>
      </c>
      <c r="F29" s="244">
        <f t="shared" si="22"/>
        <v>-0.2810973376</v>
      </c>
      <c r="G29" s="394">
        <f t="shared" si="23"/>
        <v>-0.2107883222</v>
      </c>
      <c r="H29" s="361">
        <f>'Quadro DRE Apresentação'!H10+'Quadro DRE Apresentação'!H30</f>
        <v>-8437.46497</v>
      </c>
      <c r="I29" s="248">
        <f>'Quadro DRE Apresentação'!I10+'Quadro DRE Apresentação'!I30</f>
        <v>-10439.846</v>
      </c>
      <c r="J29" s="248">
        <f>'Quadro DRE Apresentação'!J10+'Quadro DRE Apresentação'!J30</f>
        <v>-9507.54884</v>
      </c>
      <c r="K29" s="244">
        <f t="shared" si="24"/>
        <v>0.1268252815</v>
      </c>
      <c r="L29" s="394">
        <f t="shared" si="25"/>
        <v>-0.08930181154</v>
      </c>
      <c r="M29" s="361">
        <f>'Quadro DRE Apresentação'!M10+'Quadro DRE Apresentação'!M30</f>
        <v>-16421.29044</v>
      </c>
      <c r="N29" s="248">
        <f>'Quadro DRE Apresentação'!N10+'Quadro DRE Apresentação'!N30</f>
        <v>-18251.29487</v>
      </c>
      <c r="O29" s="248">
        <f>'Quadro DRE Apresentação'!O10+'Quadro DRE Apresentação'!O30</f>
        <v>-18467.98391</v>
      </c>
      <c r="P29" s="244">
        <f t="shared" si="26"/>
        <v>0.1246365794</v>
      </c>
      <c r="Q29" s="394">
        <f t="shared" si="27"/>
        <v>0.01187252968</v>
      </c>
      <c r="R29" s="516"/>
      <c r="S29" s="516"/>
      <c r="T29" s="516"/>
      <c r="U29" s="516"/>
      <c r="V29" s="516"/>
      <c r="W29" s="516"/>
      <c r="X29" s="516"/>
      <c r="Y29" s="516"/>
      <c r="Z29" s="516"/>
    </row>
    <row r="30" ht="14.25" customHeight="1">
      <c r="A30" s="528"/>
      <c r="B30" s="523" t="s">
        <v>80</v>
      </c>
      <c r="C30" s="527">
        <f>('Matriz senha_capital OK'!$C$8+'Demercado_senha capital OK'!$C$8)/1000+1</f>
        <v>3119.98503</v>
      </c>
      <c r="D30" s="433">
        <f>(('Matriz senha_capital OK'!$C$24+'Demercado_senha capital OK'!$C$24)/1000)+1</f>
        <v>4098.77579</v>
      </c>
      <c r="E30" s="433">
        <f>('Matriz senha_capital OK'!$C$40+'Demercado_senha capital OK'!$C$40)/1000</f>
        <v>4420.8817</v>
      </c>
      <c r="F30" s="524">
        <f t="shared" si="22"/>
        <v>0.4169560615</v>
      </c>
      <c r="G30" s="640">
        <f t="shared" si="23"/>
        <v>0.07858588186</v>
      </c>
      <c r="H30" s="527">
        <f>('Quadro DRE Apresentação'!H11+'Quadro DRE Apresentação'!H31)</f>
        <v>40622.418</v>
      </c>
      <c r="I30" s="433">
        <f>'Quadro DRE Apresentação'!I11+'Quadro DRE Apresentação'!I31</f>
        <v>44432.59366</v>
      </c>
      <c r="J30" s="433">
        <f>'Quadro DRE Apresentação'!J11+'Quadro DRE Apresentação'!J31</f>
        <v>46396.26482</v>
      </c>
      <c r="K30" s="524">
        <f t="shared" si="24"/>
        <v>0.1421344938</v>
      </c>
      <c r="L30" s="640">
        <f t="shared" si="25"/>
        <v>0.04419438521</v>
      </c>
      <c r="M30" s="527">
        <f>'Quadro DRE Apresentação'!M11+'Quadro DRE Apresentação'!M31</f>
        <v>73941.73533</v>
      </c>
      <c r="N30" s="433">
        <f>'Quadro DRE Apresentação'!N11+'Quadro DRE Apresentação'!N31-1</f>
        <v>83100.30167</v>
      </c>
      <c r="O30" s="433">
        <f>'Quadro DRE Apresentação'!O11+'Quadro DRE Apresentação'!O31</f>
        <v>84811.55125</v>
      </c>
      <c r="P30" s="524">
        <f t="shared" si="26"/>
        <v>0.1470051504</v>
      </c>
      <c r="Q30" s="640">
        <f t="shared" si="27"/>
        <v>0.02059257964</v>
      </c>
      <c r="R30" s="528"/>
      <c r="S30" s="528"/>
      <c r="T30" s="528"/>
      <c r="U30" s="528"/>
      <c r="V30" s="528"/>
      <c r="W30" s="528"/>
      <c r="X30" s="528"/>
      <c r="Y30" s="528"/>
      <c r="Z30" s="528"/>
    </row>
    <row r="31" ht="14.25" customHeight="1">
      <c r="A31" s="516"/>
      <c r="B31" s="393" t="s">
        <v>82</v>
      </c>
      <c r="C31" s="361">
        <f>('Matriz senha_capital OK'!$C$9+'Demercado_senha capital OK'!$C$9)/1000</f>
        <v>-419.10592</v>
      </c>
      <c r="D31" s="248">
        <f>('Matriz senha_capital OK'!$C$25+'Demercado_senha capital OK'!$C$25)/1000</f>
        <v>-512.80475</v>
      </c>
      <c r="E31" s="248">
        <f>('Matriz senha_capital OK'!$C$41+'Demercado_senha capital OK'!$C$41)/1000-1</f>
        <v>-387.87904</v>
      </c>
      <c r="F31" s="244">
        <f t="shared" si="22"/>
        <v>-0.07450832477</v>
      </c>
      <c r="G31" s="394">
        <f t="shared" si="23"/>
        <v>-0.2436126225</v>
      </c>
      <c r="H31" s="361">
        <f>'Quadro DRE Apresentação'!H12+'Quadro DRE Apresentação'!H32</f>
        <v>-3425.67465</v>
      </c>
      <c r="I31" s="248">
        <f>'Quadro DRE Apresentação'!I12+'Quadro DRE Apresentação'!I32</f>
        <v>-4427.56099</v>
      </c>
      <c r="J31" s="248">
        <f>'Quadro DRE Apresentação'!J12+'Quadro DRE Apresentação'!J32-1</f>
        <v>-4213.13318</v>
      </c>
      <c r="K31" s="244">
        <f t="shared" si="24"/>
        <v>0.22986962</v>
      </c>
      <c r="L31" s="394">
        <f t="shared" si="25"/>
        <v>-0.04843023292</v>
      </c>
      <c r="M31" s="361">
        <f>'Quadro DRE Apresentação'!M12+'Quadro DRE Apresentação'!M32+1</f>
        <v>-6835.49761</v>
      </c>
      <c r="N31" s="248">
        <f>'Quadro DRE Apresentação'!N12+'Quadro DRE Apresentação'!N32</f>
        <v>-8295.93557</v>
      </c>
      <c r="O31" s="248">
        <f>'Quadro DRE Apresentação'!O12+'Quadro DRE Apresentação'!O32</f>
        <v>-7976.25629</v>
      </c>
      <c r="P31" s="244">
        <f t="shared" si="26"/>
        <v>0.1668874375</v>
      </c>
      <c r="Q31" s="394">
        <f t="shared" si="27"/>
        <v>-0.03853444585</v>
      </c>
      <c r="R31" s="516"/>
      <c r="S31" s="516"/>
      <c r="T31" s="516"/>
      <c r="U31" s="516"/>
      <c r="V31" s="516"/>
      <c r="W31" s="516"/>
      <c r="X31" s="516"/>
      <c r="Y31" s="516"/>
      <c r="Z31" s="516"/>
    </row>
    <row r="32" ht="14.25" customHeight="1">
      <c r="A32" s="516"/>
      <c r="B32" s="393" t="s">
        <v>83</v>
      </c>
      <c r="C32" s="361">
        <f>('Matriz senha_capital OK'!$C$10+'Demercado_senha capital OK'!$C$10)/1000+1</f>
        <v>2700.87911</v>
      </c>
      <c r="D32" s="248">
        <f>('Matriz senha_capital OK'!$C$26+'Demercado_senha capital OK'!$C$26)/1000-1</f>
        <v>3583.97104</v>
      </c>
      <c r="E32" s="248">
        <f>('Matriz senha_capital OK'!$C$42+'Demercado_senha capital OK'!$C$42)/1000</f>
        <v>4034.00266</v>
      </c>
      <c r="F32" s="244">
        <f t="shared" si="22"/>
        <v>0.4935887523</v>
      </c>
      <c r="G32" s="394">
        <f t="shared" si="23"/>
        <v>0.1255678729</v>
      </c>
      <c r="H32" s="361">
        <f>'Quadro DRE Apresentação'!H13+'Quadro DRE Apresentação'!H33</f>
        <v>37196.74335</v>
      </c>
      <c r="I32" s="248">
        <f>'Quadro DRE Apresentação'!I13+'Quadro DRE Apresentação'!I33</f>
        <v>40005.03267</v>
      </c>
      <c r="J32" s="248">
        <f>'Quadro DRE Apresentação'!J13+'Quadro DRE Apresentação'!J33</f>
        <v>42184.13164</v>
      </c>
      <c r="K32" s="244">
        <f t="shared" si="24"/>
        <v>0.1340813158</v>
      </c>
      <c r="L32" s="394">
        <f t="shared" si="25"/>
        <v>0.05447062093</v>
      </c>
      <c r="M32" s="361">
        <f>'Quadro DRE Apresentação'!M13+'Quadro DRE Apresentação'!M33</f>
        <v>67105.23772</v>
      </c>
      <c r="N32" s="248">
        <f>'Quadro DRE Apresentação'!N13+'Quadro DRE Apresentação'!N33</f>
        <v>74805.3661</v>
      </c>
      <c r="O32" s="248">
        <f>'Quadro DRE Apresentação'!O13+'Quadro DRE Apresentação'!O33-1</f>
        <v>76834.29496</v>
      </c>
      <c r="P32" s="244">
        <f t="shared" si="26"/>
        <v>0.1449820844</v>
      </c>
      <c r="Q32" s="394">
        <f t="shared" si="27"/>
        <v>0.02712277161</v>
      </c>
      <c r="R32" s="516"/>
      <c r="S32" s="516"/>
      <c r="T32" s="516"/>
      <c r="U32" s="516"/>
      <c r="V32" s="516"/>
      <c r="W32" s="516"/>
      <c r="X32" s="516"/>
      <c r="Y32" s="516"/>
      <c r="Z32" s="516"/>
    </row>
    <row r="33" ht="14.25" customHeight="1">
      <c r="A33" s="516"/>
      <c r="B33" s="393" t="s">
        <v>84</v>
      </c>
      <c r="C33" s="361">
        <f>('Matriz senha_capital OK'!$C$11+'Demercado_senha capital OK'!$C$11)/1000</f>
        <v>-430.62395</v>
      </c>
      <c r="D33" s="248">
        <f>('Matriz senha_capital OK'!$C$27+'Demercado_senha capital OK'!$C$27)/1000</f>
        <v>-525.13773</v>
      </c>
      <c r="E33" s="248">
        <f>('Matriz senha_capital OK'!$C$43+'Demercado_senha capital OK'!$C$43)/1000</f>
        <v>-434.73311</v>
      </c>
      <c r="F33" s="244">
        <f t="shared" si="22"/>
        <v>0.009542339668</v>
      </c>
      <c r="G33" s="394">
        <f t="shared" si="23"/>
        <v>-0.1721541128</v>
      </c>
      <c r="H33" s="361">
        <f>'Quadro DRE Apresentação'!H14+'Quadro DRE Apresentação'!H34-1</f>
        <v>-1527.96728</v>
      </c>
      <c r="I33" s="248">
        <f>'Quadro DRE Apresentação'!I14+'Quadro DRE Apresentação'!I34</f>
        <v>-4335.06964</v>
      </c>
      <c r="J33" s="248">
        <f>'Quadro DRE Apresentação'!J14+'Quadro DRE Apresentação'!J34</f>
        <v>-3636.03601</v>
      </c>
      <c r="K33" s="244">
        <f t="shared" si="24"/>
        <v>1.379655676</v>
      </c>
      <c r="L33" s="394">
        <f t="shared" si="25"/>
        <v>-0.1612508421</v>
      </c>
      <c r="M33" s="361">
        <f>'Quadro DRE Apresentação'!M14+'Quadro DRE Apresentação'!M34-1</f>
        <v>-3258.14566</v>
      </c>
      <c r="N33" s="248">
        <f>'Quadro DRE Apresentação'!N14+'Quadro DRE Apresentação'!N34</f>
        <v>-8164.97459</v>
      </c>
      <c r="O33" s="248">
        <f>'Quadro DRE Apresentação'!O14+'Quadro DRE Apresentação'!O34-1</f>
        <v>-7322.49479</v>
      </c>
      <c r="P33" s="244">
        <f t="shared" si="26"/>
        <v>1.247442427</v>
      </c>
      <c r="Q33" s="394">
        <f t="shared" si="27"/>
        <v>-0.1031821705</v>
      </c>
      <c r="R33" s="516"/>
      <c r="S33" s="516"/>
      <c r="T33" s="516"/>
      <c r="U33" s="516"/>
      <c r="V33" s="516"/>
      <c r="W33" s="516"/>
      <c r="X33" s="516"/>
      <c r="Y33" s="516"/>
      <c r="Z33" s="516"/>
    </row>
    <row r="34" ht="14.25" customHeight="1">
      <c r="A34" s="516"/>
      <c r="B34" s="393" t="s">
        <v>86</v>
      </c>
      <c r="C34" s="361">
        <f>('Matriz senha_capital OK'!$C$12+'Demercado_senha capital OK'!$C$12)/1000</f>
        <v>2269.25516</v>
      </c>
      <c r="D34" s="248">
        <f>('Matriz senha_capital OK'!$C$28+'Demercado_senha capital OK'!$C$28)/1000-1</f>
        <v>3058.83331</v>
      </c>
      <c r="E34" s="248">
        <f>('Matriz senha_capital OK'!$C$44+'Demercado_senha capital OK'!$C$44)/1000</f>
        <v>3599.26955</v>
      </c>
      <c r="F34" s="244">
        <f t="shared" si="22"/>
        <v>0.5861017366</v>
      </c>
      <c r="G34" s="394">
        <f t="shared" si="23"/>
        <v>0.1766805135</v>
      </c>
      <c r="H34" s="361">
        <f>'Quadro DRE Apresentação'!H17+'Quadro DRE Apresentação'!H37</f>
        <v>35669.77607</v>
      </c>
      <c r="I34" s="248">
        <f>'Quadro DRE Apresentação'!I17+'Quadro DRE Apresentação'!I37</f>
        <v>35669.96303</v>
      </c>
      <c r="J34" s="248">
        <f>'Quadro DRE Apresentação'!J17+'Quadro DRE Apresentação'!J37</f>
        <v>38548.09563</v>
      </c>
      <c r="K34" s="244">
        <f t="shared" si="24"/>
        <v>0.08069351359</v>
      </c>
      <c r="L34" s="394">
        <f t="shared" si="25"/>
        <v>0.08068784926</v>
      </c>
      <c r="M34" s="361">
        <f>'Quadro DRE Apresentação'!M17+'Quadro DRE Apresentação'!M37</f>
        <v>63848.09206</v>
      </c>
      <c r="N34" s="248">
        <f>'Quadro DRE Apresentação'!N17+'Quadro DRE Apresentação'!N37-1</f>
        <v>66639.39151</v>
      </c>
      <c r="O34" s="248">
        <f>'Quadro DRE Apresentação'!O17+'Quadro DRE Apresentação'!O37</f>
        <v>69513.80017</v>
      </c>
      <c r="P34" s="244">
        <f t="shared" si="26"/>
        <v>0.08873731269</v>
      </c>
      <c r="Q34" s="394">
        <f t="shared" si="27"/>
        <v>0.04313377711</v>
      </c>
      <c r="R34" s="516"/>
      <c r="S34" s="516"/>
      <c r="T34" s="516"/>
      <c r="U34" s="516"/>
      <c r="V34" s="516"/>
      <c r="W34" s="516"/>
      <c r="X34" s="516"/>
      <c r="Y34" s="516"/>
      <c r="Z34" s="516"/>
    </row>
    <row r="35" ht="14.25" customHeight="1">
      <c r="A35" s="516"/>
      <c r="B35" s="393" t="s">
        <v>87</v>
      </c>
      <c r="C35" s="361">
        <f>('Matriz senha_capital OK'!$C$13+'Demercado_senha capital OK'!$C$13)/1000</f>
        <v>-518.09216</v>
      </c>
      <c r="D35" s="248">
        <f>('Matriz senha_capital OK'!$C$29+'Demercado_senha capital OK'!$C$29)/1000+1</f>
        <v>-586.46042</v>
      </c>
      <c r="E35" s="248">
        <f>('Matriz senha_capital OK'!$C$45+'Demercado_senha capital OK'!$C$45)/1000</f>
        <v>-640.1935</v>
      </c>
      <c r="F35" s="244">
        <f t="shared" si="22"/>
        <v>0.2356749425</v>
      </c>
      <c r="G35" s="394">
        <f t="shared" si="23"/>
        <v>0.09162268785</v>
      </c>
      <c r="H35" s="361">
        <f>'Quadro DRE Apresentação'!H18+'Quadro DRE Apresentação'!H38</f>
        <v>-6558.04076</v>
      </c>
      <c r="I35" s="248">
        <f>'Quadro DRE Apresentação'!I18+'Quadro DRE Apresentação'!I38</f>
        <v>-7148.31714</v>
      </c>
      <c r="J35" s="248">
        <f>'Quadro DRE Apresentação'!J18+'Quadro DRE Apresentação'!J38</f>
        <v>-7366.11519</v>
      </c>
      <c r="K35" s="244">
        <f t="shared" si="24"/>
        <v>0.1232188789</v>
      </c>
      <c r="L35" s="394">
        <f t="shared" si="25"/>
        <v>0.03046843694</v>
      </c>
      <c r="M35" s="361">
        <f>'Quadro DRE Apresentação'!M18+'Quadro DRE Apresentação'!M38-1</f>
        <v>-12017.94592</v>
      </c>
      <c r="N35" s="248">
        <f>'Quadro DRE Apresentação'!N18+'Quadro DRE Apresentação'!N38</f>
        <v>-13130.74987</v>
      </c>
      <c r="O35" s="248">
        <f>'Quadro DRE Apresentação'!O18+'Quadro DRE Apresentação'!O38</f>
        <v>-13566.29432</v>
      </c>
      <c r="P35" s="244">
        <f t="shared" si="26"/>
        <v>0.1288363594</v>
      </c>
      <c r="Q35" s="394">
        <f t="shared" si="27"/>
        <v>0.03316980784</v>
      </c>
      <c r="R35" s="516"/>
      <c r="S35" s="516"/>
      <c r="T35" s="516"/>
      <c r="U35" s="516"/>
      <c r="V35" s="516"/>
      <c r="W35" s="516"/>
      <c r="X35" s="516"/>
      <c r="Y35" s="516"/>
      <c r="Z35" s="516"/>
    </row>
    <row r="36" ht="14.25" customHeight="1">
      <c r="A36" s="516"/>
      <c r="B36" s="393" t="s">
        <v>89</v>
      </c>
      <c r="C36" s="361">
        <f>('Matriz senha_capital OK'!$C$14+'Demercado_senha capital OK'!$C$14)/1000+1</f>
        <v>1752.163</v>
      </c>
      <c r="D36" s="248">
        <f>('Matriz senha_capital OK'!$C$30+'Demercado_senha capital OK'!$C$30)/1000</f>
        <v>2472.37289</v>
      </c>
      <c r="E36" s="248">
        <f>('Matriz senha_capital OK'!$C$46+'Demercado_senha capital OK'!$C$46)/1000</f>
        <v>2959.07605</v>
      </c>
      <c r="F36" s="244">
        <f t="shared" si="22"/>
        <v>0.6888132269</v>
      </c>
      <c r="G36" s="394">
        <f t="shared" si="23"/>
        <v>0.1968566966</v>
      </c>
      <c r="H36" s="361">
        <f>'Quadro DRE Apresentação'!H19+'Quadro DRE Apresentação'!H39</f>
        <v>29111.73531</v>
      </c>
      <c r="I36" s="248">
        <f>'Quadro DRE Apresentação'!I19+'Quadro DRE Apresentação'!I39</f>
        <v>28521.64589</v>
      </c>
      <c r="J36" s="248">
        <f>'Quadro DRE Apresentação'!J19+'Quadro DRE Apresentação'!J39-1</f>
        <v>31180.98044</v>
      </c>
      <c r="K36" s="244">
        <f t="shared" si="24"/>
        <v>0.0710794155</v>
      </c>
      <c r="L36" s="394">
        <f t="shared" si="25"/>
        <v>0.0932391686</v>
      </c>
      <c r="M36" s="361">
        <f>'Quadro DRE Apresentação'!M19+'Quadro DRE Apresentação'!M39</f>
        <v>51831.14614</v>
      </c>
      <c r="N36" s="248">
        <f>'Quadro DRE Apresentação'!N19+'Quadro DRE Apresentação'!N39</f>
        <v>53509.64164</v>
      </c>
      <c r="O36" s="248">
        <f>'Quadro DRE Apresentação'!O19+'Quadro DRE Apresentação'!O39</f>
        <v>55947.50585</v>
      </c>
      <c r="P36" s="244">
        <f t="shared" si="26"/>
        <v>0.07941865107</v>
      </c>
      <c r="Q36" s="394">
        <f t="shared" si="27"/>
        <v>0.04555934473</v>
      </c>
      <c r="R36" s="516"/>
      <c r="S36" s="516"/>
      <c r="T36" s="516"/>
      <c r="U36" s="516"/>
      <c r="V36" s="516"/>
      <c r="W36" s="516"/>
      <c r="X36" s="516"/>
      <c r="Y36" s="516"/>
      <c r="Z36" s="516"/>
    </row>
    <row r="37" ht="6.0" customHeight="1">
      <c r="A37" s="516"/>
      <c r="B37" s="393"/>
      <c r="C37" s="404"/>
      <c r="D37" s="3"/>
      <c r="E37" s="3"/>
      <c r="F37" s="1"/>
      <c r="G37" s="405"/>
      <c r="H37" s="404"/>
      <c r="I37" s="3"/>
      <c r="J37" s="3"/>
      <c r="K37" s="1"/>
      <c r="L37" s="405"/>
      <c r="M37" s="404"/>
      <c r="N37" s="3"/>
      <c r="O37" s="3"/>
      <c r="P37" s="1"/>
      <c r="Q37" s="405"/>
      <c r="R37" s="516"/>
      <c r="S37" s="516"/>
      <c r="T37" s="516"/>
      <c r="U37" s="516"/>
      <c r="V37" s="516"/>
      <c r="W37" s="516"/>
      <c r="X37" s="516"/>
      <c r="Y37" s="516"/>
      <c r="Z37" s="516"/>
    </row>
    <row r="38" ht="16.5" customHeight="1">
      <c r="A38" s="516"/>
      <c r="B38" s="376" t="s">
        <v>100</v>
      </c>
      <c r="C38" s="377">
        <f t="shared" ref="C38:E38" si="28">C30/C26</f>
        <v>0.7081587839</v>
      </c>
      <c r="D38" s="379">
        <f t="shared" si="28"/>
        <v>0.7777674595</v>
      </c>
      <c r="E38" s="379">
        <f t="shared" si="28"/>
        <v>0.8269582471</v>
      </c>
      <c r="F38" s="380"/>
      <c r="G38" s="381"/>
      <c r="H38" s="377">
        <f t="shared" ref="H38:J38" si="29">H30/H26</f>
        <v>0.8267513212</v>
      </c>
      <c r="I38" s="379">
        <f t="shared" si="29"/>
        <v>0.80974336</v>
      </c>
      <c r="J38" s="379">
        <f t="shared" si="29"/>
        <v>0.8299302281</v>
      </c>
      <c r="K38" s="380"/>
      <c r="L38" s="381"/>
      <c r="M38" s="377">
        <f t="shared" ref="M38:O38" si="30">M30/M26</f>
        <v>0.8175865972</v>
      </c>
      <c r="N38" s="379">
        <f t="shared" si="30"/>
        <v>0.8199048135</v>
      </c>
      <c r="O38" s="379">
        <f t="shared" si="30"/>
        <v>0.8211844788</v>
      </c>
      <c r="P38" s="380"/>
      <c r="Q38" s="381"/>
      <c r="R38" s="516"/>
      <c r="S38" s="516"/>
      <c r="T38" s="516"/>
      <c r="U38" s="516"/>
      <c r="V38" s="516"/>
      <c r="W38" s="516"/>
      <c r="X38" s="516"/>
      <c r="Y38" s="516"/>
      <c r="Z38" s="516"/>
    </row>
    <row r="39" ht="14.25" customHeight="1">
      <c r="A39" s="516"/>
      <c r="B39" s="516"/>
      <c r="C39" s="517"/>
      <c r="D39" s="517"/>
      <c r="E39" s="517"/>
      <c r="F39" s="516"/>
      <c r="G39" s="516"/>
      <c r="H39" s="516"/>
      <c r="I39" s="516"/>
      <c r="J39" s="516"/>
      <c r="K39" s="516"/>
      <c r="L39" s="516"/>
      <c r="M39" s="516"/>
      <c r="N39" s="516"/>
      <c r="O39" s="516"/>
      <c r="P39" s="516"/>
      <c r="Q39" s="516"/>
      <c r="R39" s="516"/>
      <c r="S39" s="516"/>
      <c r="T39" s="516"/>
      <c r="U39" s="516"/>
      <c r="V39" s="516"/>
      <c r="W39" s="516"/>
      <c r="X39" s="516"/>
      <c r="Y39" s="516"/>
      <c r="Z39" s="516"/>
    </row>
    <row r="40" ht="14.25" hidden="1" customHeight="1">
      <c r="A40" s="516"/>
      <c r="B40" s="516"/>
      <c r="C40" s="517"/>
      <c r="D40" s="517"/>
      <c r="E40" s="517"/>
      <c r="F40" s="516"/>
      <c r="G40" s="516"/>
      <c r="H40" s="516"/>
      <c r="I40" s="516"/>
      <c r="J40" s="516"/>
      <c r="K40" s="516"/>
      <c r="L40" s="516"/>
      <c r="M40" s="516"/>
      <c r="N40" s="516"/>
      <c r="O40" s="516"/>
      <c r="P40" s="516"/>
      <c r="Q40" s="516"/>
      <c r="R40" s="516"/>
      <c r="S40" s="516"/>
      <c r="T40" s="516"/>
      <c r="U40" s="516"/>
      <c r="V40" s="516"/>
      <c r="W40" s="516"/>
      <c r="X40" s="516"/>
      <c r="Y40" s="516"/>
      <c r="Z40" s="516"/>
    </row>
    <row r="41" ht="14.25" hidden="1" customHeight="1">
      <c r="A41" s="516"/>
      <c r="B41" s="16" t="s">
        <v>245</v>
      </c>
      <c r="C41" s="25" t="str">
        <f>C22</f>
        <v>MAIO</v>
      </c>
      <c r="D41" s="27"/>
      <c r="E41" s="27"/>
      <c r="F41" s="27"/>
      <c r="G41" s="28"/>
      <c r="H41" s="25" t="str">
        <f>H2</f>
        <v>ACUMULADO JANEIRO A MAIO</v>
      </c>
      <c r="I41" s="27"/>
      <c r="J41" s="27"/>
      <c r="K41" s="27"/>
      <c r="L41" s="28"/>
      <c r="M41" s="343" t="s">
        <v>3</v>
      </c>
      <c r="N41" s="27"/>
      <c r="O41" s="27"/>
      <c r="P41" s="27"/>
      <c r="Q41" s="28"/>
      <c r="R41" s="516"/>
      <c r="S41" s="516"/>
      <c r="T41" s="516"/>
      <c r="U41" s="516"/>
      <c r="V41" s="516"/>
      <c r="W41" s="516"/>
      <c r="X41" s="516"/>
      <c r="Y41" s="516"/>
      <c r="Z41" s="516"/>
    </row>
    <row r="42" ht="36.75" hidden="1" customHeight="1">
      <c r="A42" s="516"/>
      <c r="B42" s="38"/>
      <c r="C42" s="687" t="s">
        <v>153</v>
      </c>
      <c r="D42" s="689" t="s">
        <v>154</v>
      </c>
      <c r="E42" s="41" t="s">
        <v>149</v>
      </c>
      <c r="F42" s="41" t="s">
        <v>155</v>
      </c>
      <c r="G42" s="690" t="s">
        <v>156</v>
      </c>
      <c r="H42" s="345" t="s">
        <v>149</v>
      </c>
      <c r="I42" s="347" t="s">
        <v>150</v>
      </c>
      <c r="J42" s="347" t="s">
        <v>19</v>
      </c>
      <c r="K42" s="347" t="s">
        <v>151</v>
      </c>
      <c r="L42" s="592" t="s">
        <v>152</v>
      </c>
      <c r="M42" s="687" t="s">
        <v>153</v>
      </c>
      <c r="N42" s="689" t="s">
        <v>154</v>
      </c>
      <c r="O42" s="689" t="s">
        <v>246</v>
      </c>
      <c r="P42" s="41" t="s">
        <v>155</v>
      </c>
      <c r="Q42" s="43" t="s">
        <v>156</v>
      </c>
      <c r="R42" s="516"/>
      <c r="S42" s="516"/>
      <c r="T42" s="516"/>
      <c r="U42" s="516"/>
      <c r="V42" s="516"/>
      <c r="W42" s="516"/>
      <c r="X42" s="516"/>
      <c r="Y42" s="516"/>
      <c r="Z42" s="516"/>
    </row>
    <row r="43" ht="15.0" hidden="1" customHeight="1">
      <c r="A43" s="516"/>
      <c r="B43" s="354" t="s">
        <v>40</v>
      </c>
      <c r="C43" s="355">
        <f>'Quadro DRE Apresentação'!C67+'Quadro DRE Apresentação'!C89</f>
        <v>471.43324</v>
      </c>
      <c r="D43" s="57">
        <f>'Quadro DRE Apresentação'!D67+'Quadro DRE Apresentação'!D89</f>
        <v>520.386</v>
      </c>
      <c r="E43" s="57">
        <f>'Quadro DRE Apresentação'!E67+'Quadro DRE Apresentação'!E89</f>
        <v>559.40313</v>
      </c>
      <c r="F43" s="357">
        <f t="shared" ref="F43:F45" si="31">IFERROR(E43/C43-1," ")</f>
        <v>0.1866009491</v>
      </c>
      <c r="G43" s="358">
        <f t="shared" ref="G43:G45" si="32">IFERROR(E43/D43-1," ")</f>
        <v>0.07497728609</v>
      </c>
      <c r="H43" s="355" t="str">
        <f>'Quadro DRE Apresentação'!H67+'Quadro DRE Apresentação'!H89</f>
        <v>#REF!</v>
      </c>
      <c r="I43" s="57" t="str">
        <f>'Quadro DRE Apresentação'!I67+'Quadro DRE Apresentação'!I89</f>
        <v>#REF!</v>
      </c>
      <c r="J43" s="57" t="str">
        <f>'Quadro DRE Apresentação'!J67+'Quadro DRE Apresentação'!J89</f>
        <v>#REF!</v>
      </c>
      <c r="K43" s="357" t="str">
        <f t="shared" ref="K43:K45" si="33">IFERROR(J43/H43-1," ")</f>
        <v> </v>
      </c>
      <c r="L43" s="358" t="str">
        <f t="shared" ref="L43:L45" si="34">IFERROR(J43/I43-1," ")</f>
        <v> </v>
      </c>
      <c r="M43" s="355">
        <f>3487.68-1</f>
        <v>3486.68</v>
      </c>
      <c r="N43" s="57">
        <v>4626.51</v>
      </c>
      <c r="O43" s="57">
        <f>'Quadro DRE Apresentação'!O67+'Quadro DRE Apresentação'!O89</f>
        <v>6021.29926</v>
      </c>
      <c r="P43" s="357">
        <f t="shared" ref="P43:P45" si="35">IFERROR(O43/M43-1," ")</f>
        <v>0.7269434706</v>
      </c>
      <c r="Q43" s="358">
        <f t="shared" ref="Q43:Q45" si="36">IFERROR(O43/N43-1," ")</f>
        <v>0.3014776278</v>
      </c>
      <c r="R43" s="516"/>
      <c r="S43" s="516"/>
      <c r="T43" s="516"/>
      <c r="U43" s="516"/>
      <c r="V43" s="516"/>
      <c r="W43" s="516"/>
      <c r="X43" s="516"/>
      <c r="Y43" s="516"/>
      <c r="Z43" s="516"/>
    </row>
    <row r="44" ht="15.0" hidden="1" customHeight="1">
      <c r="A44" s="516"/>
      <c r="B44" s="354" t="s">
        <v>71</v>
      </c>
      <c r="C44" s="355">
        <f>'Quadro DRE Apresentação'!C68+'Quadro DRE Apresentação'!C90</f>
        <v>-70.38363</v>
      </c>
      <c r="D44" s="57">
        <f>'Quadro DRE Apresentação'!D68+'Quadro DRE Apresentação'!D90</f>
        <v>-74.15501</v>
      </c>
      <c r="E44" s="57">
        <f>'Quadro DRE Apresentação'!E68+'Quadro DRE Apresentação'!E90</f>
        <v>-80.25691</v>
      </c>
      <c r="F44" s="357">
        <f t="shared" si="31"/>
        <v>0.1402780732</v>
      </c>
      <c r="G44" s="358">
        <f t="shared" si="32"/>
        <v>0.08228574172</v>
      </c>
      <c r="H44" s="355" t="str">
        <f>'Quadro DRE Apresentação'!H68+'Quadro DRE Apresentação'!H90</f>
        <v>#REF!</v>
      </c>
      <c r="I44" s="57" t="str">
        <f>'Quadro DRE Apresentação'!I68+'Quadro DRE Apresentação'!I90</f>
        <v>#REF!</v>
      </c>
      <c r="J44" s="57" t="str">
        <f>'Quadro DRE Apresentação'!J68+'Quadro DRE Apresentação'!J90</f>
        <v>#REF!</v>
      </c>
      <c r="K44" s="357" t="str">
        <f t="shared" si="33"/>
        <v> </v>
      </c>
      <c r="L44" s="358" t="str">
        <f t="shared" si="34"/>
        <v> </v>
      </c>
      <c r="M44" s="355">
        <v>-508.02</v>
      </c>
      <c r="N44" s="57">
        <v>-659.27</v>
      </c>
      <c r="O44" s="57">
        <f>'Quadro DRE Apresentação'!O68+'Quadro DRE Apresentação'!O90</f>
        <v>-864.57339</v>
      </c>
      <c r="P44" s="357">
        <f t="shared" si="35"/>
        <v>0.7018491201</v>
      </c>
      <c r="Q44" s="358">
        <f t="shared" si="36"/>
        <v>0.311410181</v>
      </c>
      <c r="R44" s="516"/>
      <c r="S44" s="516"/>
      <c r="T44" s="516"/>
      <c r="U44" s="516"/>
      <c r="V44" s="516"/>
      <c r="W44" s="516"/>
      <c r="X44" s="516"/>
      <c r="Y44" s="516"/>
      <c r="Z44" s="516"/>
    </row>
    <row r="45" ht="15.0" hidden="1" customHeight="1">
      <c r="A45" s="516"/>
      <c r="B45" s="360" t="s">
        <v>85</v>
      </c>
      <c r="C45" s="355">
        <f>'Quadro DRE Apresentação'!C69+'Quadro DRE Apresentação'!C91</f>
        <v>401.04961</v>
      </c>
      <c r="D45" s="57">
        <f>'Quadro DRE Apresentação'!D69+'Quadro DRE Apresentação'!D91</f>
        <v>446.23099</v>
      </c>
      <c r="E45" s="57">
        <f>'Quadro DRE Apresentação'!E69+'Quadro DRE Apresentação'!E91</f>
        <v>479.14622</v>
      </c>
      <c r="F45" s="357">
        <f t="shared" si="31"/>
        <v>0.1947305472</v>
      </c>
      <c r="G45" s="358">
        <f t="shared" si="32"/>
        <v>0.0737627613</v>
      </c>
      <c r="H45" s="355" t="str">
        <f>H43+H44</f>
        <v>#REF!</v>
      </c>
      <c r="I45" s="57" t="str">
        <f>'Quadro DRE Apresentação'!I69+'Quadro DRE Apresentação'!I91</f>
        <v>#REF!</v>
      </c>
      <c r="J45" s="57" t="str">
        <f>'Quadro DRE Apresentação'!J69+'Quadro DRE Apresentação'!J91</f>
        <v>#REF!</v>
      </c>
      <c r="K45" s="357" t="str">
        <f t="shared" si="33"/>
        <v> </v>
      </c>
      <c r="L45" s="358" t="str">
        <f t="shared" si="34"/>
        <v> </v>
      </c>
      <c r="M45" s="248">
        <f>M43+M44+1</f>
        <v>2979.66</v>
      </c>
      <c r="N45" s="248">
        <f>N43+N44</f>
        <v>3967.24</v>
      </c>
      <c r="O45" s="57">
        <f>'Quadro DRE Apresentação'!O69+'Quadro DRE Apresentação'!O91</f>
        <v>5156.72587</v>
      </c>
      <c r="P45" s="357">
        <f t="shared" si="35"/>
        <v>0.7306423787</v>
      </c>
      <c r="Q45" s="358">
        <f t="shared" si="36"/>
        <v>0.299827051</v>
      </c>
      <c r="R45" s="516"/>
      <c r="S45" s="516"/>
      <c r="T45" s="516"/>
      <c r="U45" s="516"/>
      <c r="V45" s="516"/>
      <c r="W45" s="516"/>
      <c r="X45" s="516"/>
      <c r="Y45" s="516"/>
      <c r="Z45" s="516"/>
    </row>
    <row r="46" ht="15.0" hidden="1" customHeight="1">
      <c r="A46" s="516"/>
      <c r="B46" s="354" t="s">
        <v>73</v>
      </c>
      <c r="C46" s="375">
        <v>0.0</v>
      </c>
      <c r="D46" s="700">
        <v>0.0</v>
      </c>
      <c r="E46" s="700">
        <v>0.0</v>
      </c>
      <c r="F46" s="701">
        <v>0.0</v>
      </c>
      <c r="G46" s="702">
        <v>0.0</v>
      </c>
      <c r="H46" s="375">
        <v>0.0</v>
      </c>
      <c r="I46" s="700">
        <v>0.0</v>
      </c>
      <c r="J46" s="700">
        <v>0.0</v>
      </c>
      <c r="K46" s="701">
        <v>0.0</v>
      </c>
      <c r="L46" s="702">
        <v>0.0</v>
      </c>
      <c r="M46" s="375">
        <v>0.0</v>
      </c>
      <c r="N46" s="700">
        <v>0.0</v>
      </c>
      <c r="O46" s="700">
        <v>0.0</v>
      </c>
      <c r="P46" s="701">
        <v>0.0</v>
      </c>
      <c r="Q46" s="702">
        <v>0.0</v>
      </c>
      <c r="R46" s="516"/>
      <c r="S46" s="516"/>
      <c r="T46" s="516"/>
      <c r="U46" s="516"/>
      <c r="V46" s="516"/>
      <c r="W46" s="516"/>
      <c r="X46" s="516"/>
      <c r="Y46" s="516"/>
      <c r="Z46" s="516"/>
    </row>
    <row r="47" ht="15.0" hidden="1" customHeight="1">
      <c r="A47" s="516"/>
      <c r="B47" s="354" t="s">
        <v>75</v>
      </c>
      <c r="C47" s="361">
        <f t="shared" ref="C47:E47" si="37">C45+C46</f>
        <v>401.04961</v>
      </c>
      <c r="D47" s="359">
        <f t="shared" si="37"/>
        <v>446.23099</v>
      </c>
      <c r="E47" s="57">
        <f t="shared" si="37"/>
        <v>479.14622</v>
      </c>
      <c r="F47" s="357">
        <f t="shared" ref="F47:F48" si="40">IFERROR(E47/C47-1," ")</f>
        <v>0.1947305472</v>
      </c>
      <c r="G47" s="358">
        <f t="shared" ref="G47:G48" si="41">IFERROR(E47/D47-1," ")</f>
        <v>0.0737627613</v>
      </c>
      <c r="H47" s="355" t="str">
        <f t="shared" ref="H47:I47" si="38">H45+H46</f>
        <v>#REF!</v>
      </c>
      <c r="I47" s="359" t="str">
        <f t="shared" si="38"/>
        <v>#REF!</v>
      </c>
      <c r="J47" s="57" t="str">
        <f>'Quadro DRE Apresentação'!J71+'Quadro DRE Apresentação'!J93</f>
        <v>#REF!</v>
      </c>
      <c r="K47" s="357" t="str">
        <f t="shared" ref="K47:K48" si="42">IFERROR(J47/H47-1," ")</f>
        <v> </v>
      </c>
      <c r="L47" s="358" t="str">
        <f t="shared" ref="L47:L55" si="43">IFERROR(J47/I47-1," ")</f>
        <v> </v>
      </c>
      <c r="M47" s="361">
        <f t="shared" ref="M47:O47" si="39">M45+M46</f>
        <v>2979.66</v>
      </c>
      <c r="N47" s="248">
        <f t="shared" si="39"/>
        <v>3967.24</v>
      </c>
      <c r="O47" s="248">
        <f t="shared" si="39"/>
        <v>5156.72587</v>
      </c>
      <c r="P47" s="357">
        <f t="shared" ref="P47:P51" si="44">IFERROR(O47/M47-1," ")</f>
        <v>0.7306423787</v>
      </c>
      <c r="Q47" s="358">
        <f t="shared" ref="Q47:Q55" si="45">IFERROR(O47/N47-1," ")</f>
        <v>0.299827051</v>
      </c>
      <c r="R47" s="516"/>
      <c r="S47" s="516"/>
      <c r="T47" s="516"/>
      <c r="U47" s="516"/>
      <c r="V47" s="516"/>
      <c r="W47" s="516"/>
      <c r="X47" s="516"/>
      <c r="Y47" s="516"/>
      <c r="Z47" s="516"/>
    </row>
    <row r="48" ht="15.0" hidden="1" customHeight="1">
      <c r="A48" s="516"/>
      <c r="B48" s="354" t="s">
        <v>77</v>
      </c>
      <c r="C48" s="355">
        <f>'Quadro DRE Apresentação'!C72+'Quadro DRE Apresentação'!C94</f>
        <v>-259.60716</v>
      </c>
      <c r="D48" s="57">
        <f>'Quadro DRE Apresentação'!D72+'Quadro DRE Apresentação'!D94</f>
        <v>-252.88467</v>
      </c>
      <c r="E48" s="57">
        <f>'Quadro DRE Apresentação'!E72+'Quadro DRE Apresentação'!E94</f>
        <v>-219.07085</v>
      </c>
      <c r="F48" s="357">
        <f t="shared" si="40"/>
        <v>-0.1561448074</v>
      </c>
      <c r="G48" s="358">
        <f t="shared" si="41"/>
        <v>-0.1337124152</v>
      </c>
      <c r="H48" s="355" t="str">
        <f>'Quadro DRE Apresentação'!H72+'Quadro DRE Apresentação'!H94</f>
        <v>#REF!</v>
      </c>
      <c r="I48" s="57" t="str">
        <f>'Quadro DRE Apresentação'!I72+'Quadro DRE Apresentação'!I94</f>
        <v>#REF!</v>
      </c>
      <c r="J48" s="57" t="str">
        <f>'Quadro DRE Apresentação'!J72+'Quadro DRE Apresentação'!J94</f>
        <v>#REF!</v>
      </c>
      <c r="K48" s="357" t="str">
        <f t="shared" si="42"/>
        <v> </v>
      </c>
      <c r="L48" s="358" t="str">
        <f t="shared" si="43"/>
        <v> </v>
      </c>
      <c r="M48" s="355">
        <f>-2664.17-1</f>
        <v>-2665.17</v>
      </c>
      <c r="N48" s="57">
        <v>-3229.62</v>
      </c>
      <c r="O48" s="57">
        <f>'Quadro DRE Apresentação'!O72+'Quadro DRE Apresentação'!O94</f>
        <v>-3205.95694</v>
      </c>
      <c r="P48" s="357">
        <f t="shared" si="44"/>
        <v>0.2029089852</v>
      </c>
      <c r="Q48" s="358">
        <f t="shared" si="45"/>
        <v>-0.007326886754</v>
      </c>
      <c r="R48" s="516"/>
      <c r="S48" s="516"/>
      <c r="T48" s="516"/>
      <c r="U48" s="516"/>
      <c r="V48" s="516"/>
      <c r="W48" s="516"/>
      <c r="X48" s="516"/>
      <c r="Y48" s="516"/>
      <c r="Z48" s="516"/>
    </row>
    <row r="49" ht="15.0" hidden="1" customHeight="1">
      <c r="A49" s="705"/>
      <c r="B49" s="706" t="s">
        <v>80</v>
      </c>
      <c r="C49" s="534">
        <f>'Quadro DRE Apresentação'!C73+'Quadro DRE Apresentação'!C95</f>
        <v>141.44245</v>
      </c>
      <c r="D49" s="707">
        <f>'Quadro DRE Apresentação'!D73+'Quadro DRE Apresentação'!D95</f>
        <v>193.34632</v>
      </c>
      <c r="E49" s="708">
        <f>'Quadro DRE Apresentação'!E73+'Quadro DRE Apresentação'!E95</f>
        <v>260.07537</v>
      </c>
      <c r="F49" s="709">
        <f>IFERROR(E49/C49-1," ")</f>
        <v>0.83873632</v>
      </c>
      <c r="G49" s="709">
        <f>IFERROR(E49/D49-1," ")</f>
        <v>0.3451270756</v>
      </c>
      <c r="H49" s="710" t="str">
        <f>H47+H48</f>
        <v>#REF!</v>
      </c>
      <c r="I49" s="707" t="str">
        <f>'Quadro DRE Apresentação'!I73+'Quadro DRE Apresentação'!I95</f>
        <v>#REF!</v>
      </c>
      <c r="J49" s="707" t="str">
        <f>'Quadro DRE Apresentação'!J73+'Quadro DRE Apresentação'!J95</f>
        <v>#REF!</v>
      </c>
      <c r="K49" s="711" t="str">
        <f>IFERROR(J49/H49-1," ")</f>
        <v> </v>
      </c>
      <c r="L49" s="711" t="str">
        <f t="shared" si="43"/>
        <v> </v>
      </c>
      <c r="M49" s="531">
        <v>315.0</v>
      </c>
      <c r="N49" s="532">
        <f>N47+N48</f>
        <v>737.62</v>
      </c>
      <c r="O49" s="712">
        <f>'Quadro DRE Apresentação'!O73+'Quadro DRE Apresentação'!O95</f>
        <v>1950.76893</v>
      </c>
      <c r="P49" s="711">
        <f t="shared" si="44"/>
        <v>5.192917238</v>
      </c>
      <c r="Q49" s="713">
        <f t="shared" si="45"/>
        <v>1.644680093</v>
      </c>
      <c r="R49" s="705"/>
      <c r="S49" s="705"/>
      <c r="T49" s="705"/>
      <c r="U49" s="705"/>
      <c r="V49" s="705"/>
      <c r="W49" s="705"/>
      <c r="X49" s="705"/>
      <c r="Y49" s="705"/>
      <c r="Z49" s="705"/>
    </row>
    <row r="50" ht="15.0" hidden="1" customHeight="1">
      <c r="A50" s="516"/>
      <c r="B50" s="354" t="s">
        <v>82</v>
      </c>
      <c r="C50" s="355">
        <f>'Quadro DRE Apresentação'!C74+'Quadro DRE Apresentação'!C96</f>
        <v>-42.8642</v>
      </c>
      <c r="D50" s="57">
        <f>'Quadro DRE Apresentação'!D74+'Quadro DRE Apresentação'!D96</f>
        <v>-46.25173</v>
      </c>
      <c r="E50" s="57">
        <f>'Quadro DRE Apresentação'!E74+'Quadro DRE Apresentação'!E96</f>
        <v>-43.08163</v>
      </c>
      <c r="F50" s="357">
        <f>IFERROR(E50/C50-1," ")</f>
        <v>0.00507253139</v>
      </c>
      <c r="G50" s="358">
        <f t="shared" ref="G50:G51" si="46">IFERROR(E50/D50-1," ")</f>
        <v>-0.06854013893</v>
      </c>
      <c r="H50" s="355" t="str">
        <f>'Quadro DRE Apresentação'!H74+'Quadro DRE Apresentação'!H96</f>
        <v>#REF!</v>
      </c>
      <c r="I50" s="57">
        <f>'Quadro DRE Apresentação'!I96</f>
        <v>-322.83281</v>
      </c>
      <c r="J50" s="57">
        <f>'Quadro DRE Apresentação'!J96</f>
        <v>-299.88051</v>
      </c>
      <c r="K50" s="357" t="str">
        <f>IFERROR(J50/H50-1," ")</f>
        <v> </v>
      </c>
      <c r="L50" s="358">
        <f t="shared" si="43"/>
        <v>-0.07109655304</v>
      </c>
      <c r="M50" s="355">
        <v>-307.23</v>
      </c>
      <c r="N50" s="57">
        <v>-334.86</v>
      </c>
      <c r="O50" s="57">
        <f>'Quadro DRE Apresentação'!O74+'Quadro DRE Apresentação'!O96</f>
        <v>-524.71426</v>
      </c>
      <c r="P50" s="357">
        <f t="shared" si="44"/>
        <v>0.7078874459</v>
      </c>
      <c r="Q50" s="358">
        <f t="shared" si="45"/>
        <v>0.5669660754</v>
      </c>
      <c r="R50" s="516"/>
      <c r="S50" s="516"/>
      <c r="T50" s="516"/>
      <c r="U50" s="516"/>
      <c r="V50" s="516"/>
      <c r="W50" s="516"/>
      <c r="X50" s="516"/>
      <c r="Y50" s="516"/>
      <c r="Z50" s="516"/>
    </row>
    <row r="51" ht="15.0" hidden="1" customHeight="1">
      <c r="A51" s="516"/>
      <c r="B51" s="354" t="s">
        <v>83</v>
      </c>
      <c r="C51" s="355">
        <f>'Quadro DRE Apresentação'!C75+'Quadro DRE Apresentação'!C97</f>
        <v>98.57825</v>
      </c>
      <c r="D51" s="57">
        <f>'Quadro DRE Apresentação'!D75+'Quadro DRE Apresentação'!D97</f>
        <v>147.09459</v>
      </c>
      <c r="E51" s="57">
        <f>'Quadro DRE Apresentação'!E75+'Quadro DRE Apresentação'!E97</f>
        <v>216.99374</v>
      </c>
      <c r="F51" s="357">
        <f t="shared" ref="F51:F53" si="49">IFERROR(E51/C51-1," ")</f>
        <v>1.201233436</v>
      </c>
      <c r="G51" s="358">
        <f t="shared" si="46"/>
        <v>0.475198646</v>
      </c>
      <c r="H51" s="355" t="str">
        <f t="shared" ref="H51:I51" si="47">H49+H50</f>
        <v>#REF!</v>
      </c>
      <c r="I51" s="359" t="str">
        <f t="shared" si="47"/>
        <v>#REF!</v>
      </c>
      <c r="J51" s="57" t="str">
        <f>'Quadro DRE Apresentação'!J75+'Quadro DRE Apresentação'!J97</f>
        <v>#REF!</v>
      </c>
      <c r="K51" s="357" t="str">
        <f t="shared" ref="K51:K53" si="50">-IFERROR(J51/H51-1," ")</f>
        <v>#VALUE!</v>
      </c>
      <c r="L51" s="358" t="str">
        <f t="shared" si="43"/>
        <v> </v>
      </c>
      <c r="M51" s="355">
        <f t="shared" ref="M51:O51" si="48">M49+M50</f>
        <v>7.77</v>
      </c>
      <c r="N51" s="57">
        <f t="shared" si="48"/>
        <v>402.76</v>
      </c>
      <c r="O51" s="57">
        <f t="shared" si="48"/>
        <v>1426.05467</v>
      </c>
      <c r="P51" s="357">
        <f t="shared" si="44"/>
        <v>182.5334196</v>
      </c>
      <c r="Q51" s="358">
        <f t="shared" si="45"/>
        <v>2.540705805</v>
      </c>
      <c r="R51" s="516"/>
      <c r="S51" s="516"/>
      <c r="T51" s="516"/>
      <c r="U51" s="516"/>
      <c r="V51" s="516"/>
      <c r="W51" s="516"/>
      <c r="X51" s="516"/>
      <c r="Y51" s="516"/>
      <c r="Z51" s="516"/>
    </row>
    <row r="52" ht="15.0" hidden="1" customHeight="1">
      <c r="A52" s="516"/>
      <c r="B52" s="354" t="s">
        <v>84</v>
      </c>
      <c r="C52" s="355">
        <f>'Quadro DRE Apresentação'!C76+'Quadro DRE Apresentação'!C98</f>
        <v>-11.99234</v>
      </c>
      <c r="D52" s="57">
        <f>'Quadro DRE Apresentação'!D76+'Quadro DRE Apresentação'!D98</f>
        <v>-9.18305</v>
      </c>
      <c r="E52" s="57">
        <f>'Quadro DRE Apresentação'!E76+'Quadro DRE Apresentação'!E98</f>
        <v>-0.80054</v>
      </c>
      <c r="F52" s="357">
        <f t="shared" si="49"/>
        <v>-0.9332457219</v>
      </c>
      <c r="G52" s="358">
        <f>IFERROR(E52/D52-1," ")</f>
        <v>-0.9128241706</v>
      </c>
      <c r="H52" s="355" t="str">
        <f>'Quadro DRE Apresentação'!H76+'Quadro DRE Apresentação'!H98</f>
        <v>#REF!</v>
      </c>
      <c r="I52" s="57" t="str">
        <f>'Quadro DRE Apresentação'!I76+'Quadro DRE Apresentação'!I98</f>
        <v>#REF!</v>
      </c>
      <c r="J52" s="57" t="str">
        <f>'Quadro DRE Apresentação'!J76+'Quadro DRE Apresentação'!J98</f>
        <v>#REF!</v>
      </c>
      <c r="K52" s="357" t="str">
        <f t="shared" si="50"/>
        <v>#VALUE!</v>
      </c>
      <c r="L52" s="358" t="str">
        <f t="shared" si="43"/>
        <v> </v>
      </c>
      <c r="M52" s="355">
        <v>-63.31</v>
      </c>
      <c r="N52" s="57">
        <v>114.37</v>
      </c>
      <c r="O52" s="57">
        <f>'Quadro DRE Apresentação'!O76+'Quadro DRE Apresentação'!O98</f>
        <v>-80.58298</v>
      </c>
      <c r="P52" s="357">
        <f t="shared" ref="P52:P53" si="53">-IFERROR(O52/M52-1," ")</f>
        <v>-0.2728317801</v>
      </c>
      <c r="Q52" s="358">
        <f t="shared" si="45"/>
        <v>-1.704581446</v>
      </c>
      <c r="R52" s="516"/>
      <c r="S52" s="516"/>
      <c r="T52" s="516"/>
      <c r="U52" s="516"/>
      <c r="V52" s="516"/>
      <c r="W52" s="516"/>
      <c r="X52" s="516"/>
      <c r="Y52" s="516"/>
      <c r="Z52" s="516"/>
    </row>
    <row r="53" ht="15.0" hidden="1" customHeight="1">
      <c r="A53" s="516"/>
      <c r="B53" s="354" t="s">
        <v>86</v>
      </c>
      <c r="C53" s="355">
        <f>'Quadro DRE Apresentação'!C77+'Quadro DRE Apresentação'!C101</f>
        <v>86.58591</v>
      </c>
      <c r="D53" s="57">
        <f>'Quadro DRE Apresentação'!D77+'Quadro DRE Apresentação'!D101</f>
        <v>137.91154</v>
      </c>
      <c r="E53" s="57">
        <f>'Quadro DRE Apresentação'!E77+'Quadro DRE Apresentação'!E101</f>
        <v>216.1932</v>
      </c>
      <c r="F53" s="357">
        <f t="shared" si="49"/>
        <v>1.49686352</v>
      </c>
      <c r="G53" s="358">
        <f>IFERROR(E53/D53-1," ")</f>
        <v>0.5676222599</v>
      </c>
      <c r="H53" s="355" t="str">
        <f t="shared" ref="H53:I53" si="51">H51+H52</f>
        <v>#REF!</v>
      </c>
      <c r="I53" s="359" t="str">
        <f t="shared" si="51"/>
        <v>#REF!</v>
      </c>
      <c r="J53" s="57" t="str">
        <f>'Quadro DRE Apresentação'!J77+'Quadro DRE Apresentação'!J101</f>
        <v>#REF!</v>
      </c>
      <c r="K53" s="357" t="str">
        <f t="shared" si="50"/>
        <v>#VALUE!</v>
      </c>
      <c r="L53" s="358" t="str">
        <f t="shared" si="43"/>
        <v> </v>
      </c>
      <c r="M53" s="361">
        <f>M51+M52+1</f>
        <v>-54.54</v>
      </c>
      <c r="N53" s="248">
        <f t="shared" ref="N53:O53" si="52">N51+N52</f>
        <v>517.13</v>
      </c>
      <c r="O53" s="248">
        <f t="shared" si="52"/>
        <v>1345.47169</v>
      </c>
      <c r="P53" s="357">
        <f t="shared" si="53"/>
        <v>25.66944793</v>
      </c>
      <c r="Q53" s="358">
        <f t="shared" si="45"/>
        <v>1.601805523</v>
      </c>
      <c r="R53" s="516"/>
      <c r="S53" s="516"/>
      <c r="T53" s="516"/>
      <c r="U53" s="516"/>
      <c r="V53" s="516"/>
      <c r="W53" s="516"/>
      <c r="X53" s="516"/>
      <c r="Y53" s="516"/>
      <c r="Z53" s="516"/>
    </row>
    <row r="54" ht="15.0" hidden="1" customHeight="1">
      <c r="A54" s="516"/>
      <c r="B54" s="354" t="s">
        <v>87</v>
      </c>
      <c r="C54" s="355">
        <f>'Quadro DRE Apresentação'!C78+'Quadro DRE Apresentação'!C102</f>
        <v>-15.04749</v>
      </c>
      <c r="D54" s="57">
        <f>'Quadro DRE Apresentação'!D78+'Quadro DRE Apresentação'!D102</f>
        <v>-32.3209</v>
      </c>
      <c r="E54" s="297">
        <f>'Quadro DRE Apresentação'!E78+'Quadro DRE Apresentação'!E102</f>
        <v>-46.46344</v>
      </c>
      <c r="F54" s="701">
        <v>0.0</v>
      </c>
      <c r="G54" s="358">
        <f>IFERROR(E54/D54-1," ")</f>
        <v>0.4375664044</v>
      </c>
      <c r="H54" s="714">
        <v>0.0</v>
      </c>
      <c r="I54" s="700" t="str">
        <f>'Quadro DRE Apresentação'!I78+'Quadro DRE Apresentação'!I102</f>
        <v>#REF!</v>
      </c>
      <c r="J54" s="57" t="str">
        <f>'Quadro DRE Apresentação'!J78+'Quadro DRE Apresentação'!J102</f>
        <v>#REF!</v>
      </c>
      <c r="K54" s="715">
        <v>0.0</v>
      </c>
      <c r="L54" s="358" t="str">
        <f t="shared" si="43"/>
        <v> </v>
      </c>
      <c r="M54" s="714">
        <v>0.0</v>
      </c>
      <c r="N54" s="57">
        <v>-99.073</v>
      </c>
      <c r="O54" s="57">
        <f>'Quadro DRE Apresentação'!O78+'Quadro DRE Apresentação'!O102</f>
        <v>-307.56424</v>
      </c>
      <c r="P54" s="715">
        <v>0.0</v>
      </c>
      <c r="Q54" s="358">
        <f t="shared" si="45"/>
        <v>2.104420377</v>
      </c>
      <c r="R54" s="516"/>
      <c r="S54" s="516"/>
      <c r="T54" s="516"/>
      <c r="U54" s="516"/>
      <c r="V54" s="516"/>
      <c r="W54" s="516"/>
      <c r="X54" s="516"/>
      <c r="Y54" s="516"/>
      <c r="Z54" s="516"/>
    </row>
    <row r="55" ht="15.0" hidden="1" customHeight="1">
      <c r="A55" s="516"/>
      <c r="B55" s="360" t="s">
        <v>125</v>
      </c>
      <c r="C55" s="355">
        <f>'Quadro DRE Apresentação'!C79+'Quadro DRE Apresentação'!C103</f>
        <v>71.53842</v>
      </c>
      <c r="D55" s="57">
        <f>'Quadro DRE Apresentação'!D79+'Quadro DRE Apresentação'!D103</f>
        <v>105.59064</v>
      </c>
      <c r="E55" s="57">
        <f>'Quadro DRE Apresentação'!E79+'Quadro DRE Apresentação'!E103</f>
        <v>169.72976</v>
      </c>
      <c r="F55" s="357">
        <f> IFERROR(E55/C55-1," ")</f>
        <v>1.372567915</v>
      </c>
      <c r="G55" s="358">
        <f>IFERROR(E55/D55-1," ")</f>
        <v>0.6074318709</v>
      </c>
      <c r="H55" s="355" t="str">
        <f t="shared" ref="H55:I55" si="54">H53+H54</f>
        <v>#REF!</v>
      </c>
      <c r="I55" s="716" t="str">
        <f t="shared" si="54"/>
        <v>#REF!</v>
      </c>
      <c r="J55" s="57" t="str">
        <f>'Quadro DRE Apresentação'!J79+'Quadro DRE Apresentação'!J103</f>
        <v>#REF!</v>
      </c>
      <c r="K55" s="357" t="str">
        <f>-IFERROR(J55/H55-1," ")</f>
        <v>#VALUE!</v>
      </c>
      <c r="L55" s="358" t="str">
        <f t="shared" si="43"/>
        <v> </v>
      </c>
      <c r="M55" s="361">
        <f t="shared" ref="M55:O55" si="55">M53+M54</f>
        <v>-54.54</v>
      </c>
      <c r="N55" s="248">
        <f t="shared" si="55"/>
        <v>418.057</v>
      </c>
      <c r="O55" s="248">
        <f t="shared" si="55"/>
        <v>1037.90745</v>
      </c>
      <c r="P55" s="357">
        <f>-IFERROR(O55/M55-1," ")</f>
        <v>20.03020627</v>
      </c>
      <c r="Q55" s="358">
        <f t="shared" si="45"/>
        <v>1.482693628</v>
      </c>
      <c r="R55" s="516"/>
      <c r="S55" s="516"/>
      <c r="T55" s="516"/>
      <c r="U55" s="516"/>
      <c r="V55" s="516"/>
      <c r="W55" s="516"/>
      <c r="X55" s="516"/>
      <c r="Y55" s="516"/>
      <c r="Z55" s="516"/>
    </row>
    <row r="56" ht="16.5" hidden="1" customHeight="1">
      <c r="A56" s="516"/>
      <c r="B56" s="376" t="s">
        <v>100</v>
      </c>
      <c r="C56" s="379">
        <f t="shared" ref="C56:E56" si="56">C49/C45</f>
        <v>0.3526806821</v>
      </c>
      <c r="D56" s="378">
        <f t="shared" si="56"/>
        <v>0.4332875222</v>
      </c>
      <c r="E56" s="379">
        <f t="shared" si="56"/>
        <v>0.5427891511</v>
      </c>
      <c r="F56" s="391">
        <v>0.0</v>
      </c>
      <c r="G56" s="392">
        <v>0.0</v>
      </c>
      <c r="H56" s="377" t="str">
        <f t="shared" ref="H56:J56" si="57">H49/H45</f>
        <v>#REF!</v>
      </c>
      <c r="I56" s="378" t="str">
        <f t="shared" si="57"/>
        <v>#REF!</v>
      </c>
      <c r="J56" s="379" t="str">
        <f t="shared" si="57"/>
        <v>#REF!</v>
      </c>
      <c r="K56" s="391">
        <v>0.0</v>
      </c>
      <c r="L56" s="392">
        <v>0.0</v>
      </c>
      <c r="M56" s="377">
        <f t="shared" ref="M56:O56" si="58">M49/M45</f>
        <v>0.1057167596</v>
      </c>
      <c r="N56" s="378">
        <f t="shared" si="58"/>
        <v>0.1859277483</v>
      </c>
      <c r="O56" s="379">
        <f t="shared" si="58"/>
        <v>0.3782960311</v>
      </c>
      <c r="P56" s="391">
        <v>0.0</v>
      </c>
      <c r="Q56" s="392">
        <v>0.0</v>
      </c>
      <c r="R56" s="516"/>
      <c r="S56" s="516"/>
      <c r="T56" s="516"/>
      <c r="U56" s="516"/>
      <c r="V56" s="516"/>
      <c r="W56" s="516"/>
      <c r="X56" s="516"/>
      <c r="Y56" s="516"/>
      <c r="Z56" s="516"/>
    </row>
    <row r="57" ht="14.25" customHeight="1">
      <c r="A57" s="516"/>
      <c r="B57" s="516"/>
      <c r="C57" s="517"/>
      <c r="D57" s="517"/>
      <c r="E57" s="517"/>
      <c r="F57" s="516"/>
      <c r="G57" s="516"/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</row>
    <row r="58" ht="14.25" hidden="1" customHeight="1">
      <c r="A58" s="516"/>
      <c r="B58" s="516"/>
      <c r="C58" s="517"/>
      <c r="D58" s="517"/>
      <c r="E58" s="517"/>
      <c r="F58" s="516"/>
      <c r="G58" s="516"/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16"/>
      <c r="S58" s="516"/>
      <c r="T58" s="516"/>
      <c r="U58" s="516"/>
      <c r="V58" s="516"/>
      <c r="W58" s="516"/>
      <c r="X58" s="516"/>
      <c r="Y58" s="516"/>
      <c r="Z58" s="516"/>
    </row>
    <row r="59" ht="14.25" hidden="1" customHeight="1">
      <c r="A59" s="516"/>
      <c r="B59" s="717" t="s">
        <v>247</v>
      </c>
      <c r="C59" s="718" t="s">
        <v>248</v>
      </c>
      <c r="D59" s="719"/>
      <c r="E59" s="719"/>
      <c r="F59" s="719"/>
      <c r="G59" s="720"/>
      <c r="H59" s="718" t="s">
        <v>249</v>
      </c>
      <c r="I59" s="719"/>
      <c r="J59" s="719"/>
      <c r="K59" s="719"/>
      <c r="L59" s="720"/>
      <c r="M59" s="718" t="s">
        <v>3</v>
      </c>
      <c r="N59" s="719"/>
      <c r="O59" s="719"/>
      <c r="P59" s="719"/>
      <c r="Q59" s="720"/>
      <c r="R59" s="516"/>
      <c r="S59" s="516" t="s">
        <v>250</v>
      </c>
      <c r="T59" s="516"/>
      <c r="U59" s="516"/>
      <c r="V59" s="516"/>
      <c r="W59" s="516"/>
      <c r="X59" s="516"/>
      <c r="Y59" s="516"/>
      <c r="Z59" s="516"/>
    </row>
    <row r="60" ht="36.0" hidden="1" customHeight="1">
      <c r="A60" s="516"/>
      <c r="B60" s="721"/>
      <c r="C60" s="722" t="s">
        <v>175</v>
      </c>
      <c r="D60" s="413" t="s">
        <v>251</v>
      </c>
      <c r="E60" s="413" t="s">
        <v>191</v>
      </c>
      <c r="F60" s="413" t="s">
        <v>252</v>
      </c>
      <c r="G60" s="723" t="s">
        <v>253</v>
      </c>
      <c r="H60" s="722" t="s">
        <v>175</v>
      </c>
      <c r="I60" s="413" t="s">
        <v>251</v>
      </c>
      <c r="J60" s="413" t="s">
        <v>191</v>
      </c>
      <c r="K60" s="413" t="s">
        <v>252</v>
      </c>
      <c r="L60" s="723" t="s">
        <v>253</v>
      </c>
      <c r="M60" s="722" t="s">
        <v>175</v>
      </c>
      <c r="N60" s="413" t="s">
        <v>251</v>
      </c>
      <c r="O60" s="413" t="s">
        <v>254</v>
      </c>
      <c r="P60" s="413" t="s">
        <v>255</v>
      </c>
      <c r="Q60" s="723" t="s">
        <v>256</v>
      </c>
      <c r="R60" s="516"/>
      <c r="S60" s="516"/>
      <c r="T60" s="516"/>
      <c r="U60" s="516"/>
      <c r="V60" s="516"/>
      <c r="W60" s="516"/>
      <c r="X60" s="516"/>
      <c r="Y60" s="516"/>
      <c r="Z60" s="516"/>
    </row>
    <row r="61" ht="14.25" hidden="1" customHeight="1">
      <c r="A61" s="516"/>
      <c r="B61" s="393" t="s">
        <v>40</v>
      </c>
      <c r="C61" s="361">
        <f>C43+'Quadro DRE Apresentação'!C5</f>
        <v>5901.86616</v>
      </c>
      <c r="D61" s="248">
        <f>D43+'Quadro DRE Apresentação'!D5</f>
        <v>6235.73698</v>
      </c>
      <c r="E61" s="248">
        <f>'Quadro DRE Apresentação'!E5+'Quadro DRE Apresentação'!E67+'Quadro DRE Apresentação'!E89</f>
        <v>6686.19313</v>
      </c>
      <c r="F61" s="244">
        <f t="shared" ref="F61:F73" si="59">IFERROR(E61/C61-1," ")</f>
        <v>0.1328947402</v>
      </c>
      <c r="G61" s="394">
        <f t="shared" ref="G61:G73" si="60">IFERROR(E61/D61-1," ")</f>
        <v>0.07223783675</v>
      </c>
      <c r="H61" s="361" t="str">
        <f>'Quadro DRE Apresentação'!H5+'Quadro DRE Apresentação'!H67+'Quadro DRE Apresentação'!H89-1</f>
        <v>#REF!</v>
      </c>
      <c r="I61" s="248" t="str">
        <f>'Quadro DRE Apresentação'!I5+'Quadro DRE Apresentação'!I67+'Quadro DRE Apresentação'!I89-1</f>
        <v>#REF!</v>
      </c>
      <c r="J61" s="248" t="str">
        <f>'Quadro DRE Apresentação'!J5+'Quadro DRE Apresentação'!J67+'Quadro DRE Apresentação'!J89-1</f>
        <v>#REF!</v>
      </c>
      <c r="K61" s="244" t="str">
        <f t="shared" ref="K61:K73" si="61">IFERROR(J61/H61-1," ")</f>
        <v> </v>
      </c>
      <c r="L61" s="394" t="str">
        <f t="shared" ref="L61:L73" si="62">IFERROR(J61/I61-1," ")</f>
        <v> </v>
      </c>
      <c r="M61" s="361">
        <f>'Quadro DRE Apresentação'!M5+'Quadro DRE Apresentação'!M67+'Quadro DRE Apresentação'!M89</f>
        <v>67896.99612</v>
      </c>
      <c r="N61" s="248">
        <f>'Quadro DRE Apresentação'!N5+'Quadro DRE Apresentação'!N67+'Quadro DRE Apresentação'!N89</f>
        <v>73811.1693</v>
      </c>
      <c r="O61" s="248">
        <f>'Quadro DRE Apresentação'!O67+'Quadro DRE Apresentação'!O5+'Quadro DRE Apresentação'!O89</f>
        <v>75726.16705</v>
      </c>
      <c r="P61" s="244">
        <f t="shared" ref="P61:P73" si="63">IFERROR(O61/M61-1," ")</f>
        <v>0.1153095332</v>
      </c>
      <c r="Q61" s="394">
        <f t="shared" ref="Q61:Q73" si="64">IFERROR(O61/N61-1," ")</f>
        <v>0.02594455241</v>
      </c>
      <c r="R61" s="516"/>
      <c r="S61" s="516"/>
      <c r="T61" s="516"/>
      <c r="U61" s="516"/>
      <c r="V61" s="516"/>
      <c r="W61" s="516"/>
      <c r="X61" s="516"/>
      <c r="Y61" s="516"/>
      <c r="Z61" s="516"/>
    </row>
    <row r="62" ht="14.25" hidden="1" customHeight="1">
      <c r="A62" s="516"/>
      <c r="B62" s="393" t="s">
        <v>71</v>
      </c>
      <c r="C62" s="361">
        <f>C44+'Quadro DRE Apresentação'!C6</f>
        <v>-268.59443</v>
      </c>
      <c r="D62" s="248">
        <f>D44+'Quadro DRE Apresentação'!D6</f>
        <v>-282.76532</v>
      </c>
      <c r="E62" s="248">
        <f>'Quadro DRE Apresentação'!E6+'Quadro DRE Apresentação'!E68+'Quadro DRE Apresentação'!E90</f>
        <v>-303.88475</v>
      </c>
      <c r="F62" s="244">
        <f t="shared" si="59"/>
        <v>0.131388875</v>
      </c>
      <c r="G62" s="394">
        <f t="shared" si="60"/>
        <v>0.07468889749</v>
      </c>
      <c r="H62" s="361" t="str">
        <f>'Quadro DRE Apresentação'!H6+'Quadro DRE Apresentação'!H68+'Quadro DRE Apresentação'!H90</f>
        <v>#REF!</v>
      </c>
      <c r="I62" s="248" t="str">
        <f>'Quadro DRE Apresentação'!I6+'Quadro DRE Apresentação'!I68+'Quadro DRE Apresentação'!I90+1</f>
        <v>#REF!</v>
      </c>
      <c r="J62" s="248" t="str">
        <f>'Quadro DRE Apresentação'!J6+'Quadro DRE Apresentação'!J68+'Quadro DRE Apresentação'!J90</f>
        <v>#REF!</v>
      </c>
      <c r="K62" s="244" t="str">
        <f t="shared" si="61"/>
        <v> </v>
      </c>
      <c r="L62" s="394" t="str">
        <f t="shared" si="62"/>
        <v> </v>
      </c>
      <c r="M62" s="361">
        <f>'Quadro DRE Apresentação'!M6+'Quadro DRE Apresentação'!M68+'Quadro DRE Apresentação'!M90</f>
        <v>-3161.78787</v>
      </c>
      <c r="N62" s="248">
        <f>'Quadro DRE Apresentação'!N6+'Quadro DRE Apresentação'!N68+'Quadro DRE Apresentação'!N90</f>
        <v>-3275.48932</v>
      </c>
      <c r="O62" s="248">
        <f>'Quadro DRE Apresentação'!O68+'Quadro DRE Apresentação'!O6+'Quadro DRE Apresentação'!O90</f>
        <v>-3408.80104</v>
      </c>
      <c r="P62" s="244">
        <f t="shared" si="63"/>
        <v>0.07812452326</v>
      </c>
      <c r="Q62" s="394">
        <f t="shared" si="64"/>
        <v>0.04069978772</v>
      </c>
      <c r="R62" s="516"/>
      <c r="S62" s="516"/>
      <c r="T62" s="516"/>
      <c r="U62" s="516"/>
      <c r="V62" s="516"/>
      <c r="W62" s="516"/>
      <c r="X62" s="516"/>
      <c r="Y62" s="516"/>
      <c r="Z62" s="516"/>
    </row>
    <row r="63" ht="14.25" hidden="1" customHeight="1">
      <c r="A63" s="516"/>
      <c r="B63" s="393" t="s">
        <v>72</v>
      </c>
      <c r="C63" s="361">
        <f>C45+'Quadro DRE Apresentação'!C7</f>
        <v>5633.27173</v>
      </c>
      <c r="D63" s="248">
        <f>D45+'Quadro DRE Apresentação'!D7</f>
        <v>5952.97166</v>
      </c>
      <c r="E63" s="248">
        <f>'Quadro DRE Apresentação'!E7+'Quadro DRE Apresentação'!E69+'Quadro DRE Apresentação'!E91</f>
        <v>6382.30838</v>
      </c>
      <c r="F63" s="244">
        <f t="shared" si="59"/>
        <v>0.1329665399</v>
      </c>
      <c r="G63" s="394">
        <f t="shared" si="60"/>
        <v>0.07212141171</v>
      </c>
      <c r="H63" s="361" t="str">
        <f>'Quadro DRE Apresentação'!H7+'Quadro DRE Apresentação'!H69+'Quadro DRE Apresentação'!H91-1</f>
        <v>#REF!</v>
      </c>
      <c r="I63" s="248" t="str">
        <f>'Quadro DRE Apresentação'!I7+'Quadro DRE Apresentação'!I69+'Quadro DRE Apresentação'!I91+1</f>
        <v>#REF!</v>
      </c>
      <c r="J63" s="248" t="str">
        <f>'Quadro DRE Apresentação'!J7+'Quadro DRE Apresentação'!J69+'Quadro DRE Apresentação'!J91</f>
        <v>#REF!</v>
      </c>
      <c r="K63" s="244" t="str">
        <f t="shared" si="61"/>
        <v> </v>
      </c>
      <c r="L63" s="394" t="str">
        <f t="shared" si="62"/>
        <v> </v>
      </c>
      <c r="M63" s="361">
        <f>'Quadro DRE Apresentação'!M7+'Quadro DRE Apresentação'!M69+'Quadro DRE Apresentação'!M91</f>
        <v>64735.20825</v>
      </c>
      <c r="N63" s="248">
        <f>'Quadro DRE Apresentação'!N7+'Quadro DRE Apresentação'!N69+'Quadro DRE Apresentação'!N91</f>
        <v>70535.67998</v>
      </c>
      <c r="O63" s="248">
        <f>'Quadro DRE Apresentação'!O69+'Quadro DRE Apresentação'!O7+'Quadro DRE Apresentação'!O91</f>
        <v>72317.36601</v>
      </c>
      <c r="P63" s="244">
        <f t="shared" si="63"/>
        <v>0.1171257182</v>
      </c>
      <c r="Q63" s="394">
        <f t="shared" si="64"/>
        <v>0.02525935853</v>
      </c>
      <c r="R63" s="516"/>
      <c r="S63" s="516"/>
      <c r="T63" s="516"/>
      <c r="U63" s="516"/>
      <c r="V63" s="516"/>
      <c r="W63" s="516"/>
      <c r="X63" s="516"/>
      <c r="Y63" s="516"/>
      <c r="Z63" s="516"/>
    </row>
    <row r="64" ht="14.25" hidden="1" customHeight="1">
      <c r="A64" s="516"/>
      <c r="B64" s="393" t="s">
        <v>73</v>
      </c>
      <c r="C64" s="361"/>
      <c r="D64" s="248"/>
      <c r="E64" s="248"/>
      <c r="F64" s="244" t="str">
        <f t="shared" si="59"/>
        <v> </v>
      </c>
      <c r="G64" s="394" t="str">
        <f t="shared" si="60"/>
        <v> </v>
      </c>
      <c r="H64" s="361">
        <f>'Quadro DRE Apresentação'!H8+'Quadro DRE Apresentação'!H70+'Quadro DRE Apresentação'!H92</f>
        <v>-75.10715</v>
      </c>
      <c r="I64" s="248">
        <f>'Quadro DRE Apresentação'!I8+'Quadro DRE Apresentação'!I70+'Quadro DRE Apresentação'!I92</f>
        <v>0</v>
      </c>
      <c r="J64" s="248"/>
      <c r="K64" s="244">
        <f t="shared" si="61"/>
        <v>-1</v>
      </c>
      <c r="L64" s="394" t="str">
        <f t="shared" si="62"/>
        <v> </v>
      </c>
      <c r="M64" s="361">
        <f>'Quadro DRE Apresentação'!M8+'Quadro DRE Apresentação'!M70+'Quadro DRE Apresentação'!M92</f>
        <v>-75</v>
      </c>
      <c r="N64" s="248">
        <f>'Quadro DRE Apresentação'!N8+'Quadro DRE Apresentação'!N70+'Quadro DRE Apresentação'!N92</f>
        <v>0</v>
      </c>
      <c r="O64" s="248"/>
      <c r="P64" s="244">
        <f t="shared" si="63"/>
        <v>-1</v>
      </c>
      <c r="Q64" s="394" t="str">
        <f t="shared" si="64"/>
        <v> </v>
      </c>
      <c r="R64" s="516"/>
      <c r="S64" s="516"/>
      <c r="T64" s="516"/>
      <c r="U64" s="516"/>
      <c r="V64" s="516"/>
      <c r="W64" s="516"/>
      <c r="X64" s="516"/>
      <c r="Y64" s="516"/>
      <c r="Z64" s="516"/>
    </row>
    <row r="65" ht="14.25" hidden="1" customHeight="1">
      <c r="A65" s="516"/>
      <c r="B65" s="393" t="s">
        <v>75</v>
      </c>
      <c r="C65" s="361">
        <f>C47+'Quadro DRE Apresentação'!C9</f>
        <v>5633.27173</v>
      </c>
      <c r="D65" s="248">
        <f>D47+'Quadro DRE Apresentação'!D9</f>
        <v>5952.97166</v>
      </c>
      <c r="E65" s="248">
        <f>'Quadro DRE Apresentação'!E9+'Quadro DRE Apresentação'!E71+'Quadro DRE Apresentação'!E93</f>
        <v>6382.30838</v>
      </c>
      <c r="F65" s="244">
        <f t="shared" si="59"/>
        <v>0.1329665399</v>
      </c>
      <c r="G65" s="394">
        <f t="shared" si="60"/>
        <v>0.07212141171</v>
      </c>
      <c r="H65" s="361" t="str">
        <f>'Quadro DRE Apresentação'!H9+'Quadro DRE Apresentação'!H71+'Quadro DRE Apresentação'!H93-1</f>
        <v>#REF!</v>
      </c>
      <c r="I65" s="248" t="str">
        <f>'Quadro DRE Apresentação'!I9+'Quadro DRE Apresentação'!I71+'Quadro DRE Apresentação'!I93+1</f>
        <v>#REF!</v>
      </c>
      <c r="J65" s="248" t="str">
        <f>'Quadro DRE Apresentação'!J9+'Quadro DRE Apresentação'!J71+'Quadro DRE Apresentação'!J93</f>
        <v>#REF!</v>
      </c>
      <c r="K65" s="244" t="str">
        <f t="shared" si="61"/>
        <v> </v>
      </c>
      <c r="L65" s="394" t="str">
        <f t="shared" si="62"/>
        <v> </v>
      </c>
      <c r="M65" s="361">
        <f>'Quadro DRE Apresentação'!M9+'Quadro DRE Apresentação'!M71+'Quadro DRE Apresentação'!M93</f>
        <v>64660.20825</v>
      </c>
      <c r="N65" s="248">
        <f>'Quadro DRE Apresentação'!N9+'Quadro DRE Apresentação'!N71+'Quadro DRE Apresentação'!N93</f>
        <v>70535.67998</v>
      </c>
      <c r="O65" s="248">
        <f>'Quadro DRE Apresentação'!O71+'Quadro DRE Apresentação'!O9+'Quadro DRE Apresentação'!O93</f>
        <v>72317.36601</v>
      </c>
      <c r="P65" s="244">
        <f t="shared" si="63"/>
        <v>0.1184214831</v>
      </c>
      <c r="Q65" s="394">
        <f t="shared" si="64"/>
        <v>0.02525935853</v>
      </c>
      <c r="R65" s="516"/>
      <c r="S65" s="516"/>
      <c r="T65" s="516"/>
      <c r="U65" s="516"/>
      <c r="V65" s="516"/>
      <c r="W65" s="516"/>
      <c r="X65" s="516"/>
      <c r="Y65" s="516"/>
      <c r="Z65" s="516"/>
    </row>
    <row r="66" ht="14.25" hidden="1" customHeight="1">
      <c r="A66" s="516"/>
      <c r="B66" s="393" t="s">
        <v>77</v>
      </c>
      <c r="C66" s="361">
        <f>C48+'Quadro DRE Apresentação'!C10</f>
        <v>-1406.77388</v>
      </c>
      <c r="D66" s="248">
        <f>D48+'Quadro DRE Apresentação'!D10</f>
        <v>-1286.53962</v>
      </c>
      <c r="E66" s="248">
        <f>'Quadro DRE Apresentação'!E10+'Quadro DRE Apresentação'!E72+'Quadro DRE Apresentação'!E94</f>
        <v>-1147.28416</v>
      </c>
      <c r="F66" s="244">
        <f t="shared" si="59"/>
        <v>-0.184457306</v>
      </c>
      <c r="G66" s="394">
        <f t="shared" si="60"/>
        <v>-0.1082403199</v>
      </c>
      <c r="H66" s="361" t="str">
        <f>'Quadro DRE Apresentação'!H10+'Quadro DRE Apresentação'!H72+'Quadro DRE Apresentação'!H94</f>
        <v>#REF!</v>
      </c>
      <c r="I66" s="248" t="str">
        <f>'Quadro DRE Apresentação'!I10+'Quadro DRE Apresentação'!I72+'Quadro DRE Apresentação'!I94-1</f>
        <v>#REF!</v>
      </c>
      <c r="J66" s="248" t="str">
        <f>'Quadro DRE Apresentação'!J10+'Quadro DRE Apresentação'!J72+'Quadro DRE Apresentação'!J94</f>
        <v>#REF!</v>
      </c>
      <c r="K66" s="244" t="str">
        <f t="shared" si="61"/>
        <v> </v>
      </c>
      <c r="L66" s="394" t="str">
        <f t="shared" si="62"/>
        <v> </v>
      </c>
      <c r="M66" s="361">
        <f>'Quadro DRE Apresentação'!M10+'Quadro DRE Apresentação'!M72+'Quadro DRE Apresentação'!M94</f>
        <v>-14523.94819</v>
      </c>
      <c r="N66" s="248">
        <f>'Quadro DRE Apresentação'!N10+'Quadro DRE Apresentação'!N72+'Quadro DRE Apresentação'!N94</f>
        <v>-14620.74986</v>
      </c>
      <c r="O66" s="248">
        <f>('Quadro DRE Apresentação'!O72+'Quadro DRE Apresentação'!O10+'Quadro DRE Apresentação'!O94)</f>
        <v>-14654.4495</v>
      </c>
      <c r="P66" s="244">
        <f t="shared" si="63"/>
        <v>0.008985250312</v>
      </c>
      <c r="Q66" s="394">
        <f t="shared" si="64"/>
        <v>0.002304918716</v>
      </c>
      <c r="R66" s="516"/>
      <c r="S66" s="516"/>
      <c r="T66" s="516"/>
      <c r="U66" s="516"/>
      <c r="V66" s="516"/>
      <c r="W66" s="516"/>
      <c r="X66" s="516"/>
      <c r="Y66" s="516"/>
      <c r="Z66" s="516"/>
    </row>
    <row r="67" ht="14.25" hidden="1" customHeight="1">
      <c r="A67" s="516"/>
      <c r="B67" s="740" t="s">
        <v>80</v>
      </c>
      <c r="C67" s="741">
        <f>C49+'Quadro DRE Apresentação'!C11</f>
        <v>4226.49785</v>
      </c>
      <c r="D67" s="743">
        <f>D49+'Quadro DRE Apresentação'!D11</f>
        <v>4666.43204</v>
      </c>
      <c r="E67" s="743">
        <f>'Quadro DRE Apresentação'!E11+'Quadro DRE Apresentação'!E73+'Quadro DRE Apresentação'!E95</f>
        <v>5235.02422</v>
      </c>
      <c r="F67" s="475">
        <f t="shared" si="59"/>
        <v>0.2386198706</v>
      </c>
      <c r="G67" s="744">
        <f t="shared" si="60"/>
        <v>0.1218473076</v>
      </c>
      <c r="H67" s="741" t="str">
        <f>'Quadro DRE Apresentação'!H11+'Quadro DRE Apresentação'!H73+'Quadro DRE Apresentação'!H95+1</f>
        <v>#REF!</v>
      </c>
      <c r="I67" s="743" t="str">
        <f>'Quadro DRE Apresentação'!I11+'Quadro DRE Apresentação'!I73+'Quadro DRE Apresentação'!I95</f>
        <v>#REF!</v>
      </c>
      <c r="J67" s="743" t="str">
        <f>('Quadro DRE Apresentação'!J11+'Quadro DRE Apresentação'!J73+'Quadro DRE Apresentação'!J95)+1</f>
        <v>#REF!</v>
      </c>
      <c r="K67" s="475" t="str">
        <f t="shared" si="61"/>
        <v> </v>
      </c>
      <c r="L67" s="744" t="str">
        <f t="shared" si="62"/>
        <v> </v>
      </c>
      <c r="M67" s="741">
        <f>'Quadro DRE Apresentação'!M11+'Quadro DRE Apresentação'!M73+'Quadro DRE Apresentação'!M95</f>
        <v>50136.26006</v>
      </c>
      <c r="N67" s="743">
        <f>('Quadro DRE Apresentação'!N11+'Quadro DRE Apresentação'!N73+'Quadro DRE Apresentação'!N95)</f>
        <v>55914.93012</v>
      </c>
      <c r="O67" s="743">
        <f>(('Quadro DRE Apresentação'!O73+'Quadro DRE Apresentação'!O11+'Quadro DRE Apresentação'!O95))</f>
        <v>57662.91651</v>
      </c>
      <c r="P67" s="475">
        <f t="shared" si="63"/>
        <v>0.1501240109</v>
      </c>
      <c r="Q67" s="744">
        <f t="shared" si="64"/>
        <v>0.03126153223</v>
      </c>
      <c r="R67" s="516"/>
      <c r="S67" s="516"/>
      <c r="T67" s="516"/>
      <c r="U67" s="516"/>
      <c r="V67" s="516"/>
      <c r="W67" s="516"/>
      <c r="X67" s="516"/>
      <c r="Y67" s="516"/>
      <c r="Z67" s="516"/>
    </row>
    <row r="68" ht="14.25" hidden="1" customHeight="1">
      <c r="A68" s="516"/>
      <c r="B68" s="393" t="s">
        <v>82</v>
      </c>
      <c r="C68" s="361">
        <f>C50+'Quadro DRE Apresentação'!C12</f>
        <v>-461.01789</v>
      </c>
      <c r="D68" s="248">
        <f>D50+'Quadro DRE Apresentação'!D12</f>
        <v>-514.39474</v>
      </c>
      <c r="E68" s="248">
        <f>'Quadro DRE Apresentação'!E12+'Quadro DRE Apresentação'!E74+'Quadro DRE Apresentação'!E96</f>
        <v>-479.93867</v>
      </c>
      <c r="F68" s="244">
        <f t="shared" si="59"/>
        <v>0.04104131404</v>
      </c>
      <c r="G68" s="394">
        <f t="shared" si="60"/>
        <v>-0.06698371371</v>
      </c>
      <c r="H68" s="361" t="str">
        <f>'Quadro DRE Apresentação'!H12+'Quadro DRE Apresentação'!H74+'Quadro DRE Apresentação'!H96</f>
        <v>#REF!</v>
      </c>
      <c r="I68" s="248" t="str">
        <f>'Quadro DRE Apresentação'!I12+'Quadro DRE Apresentação'!I74+'Quadro DRE Apresentação'!I96-1</f>
        <v>#REF!</v>
      </c>
      <c r="J68" s="248" t="str">
        <f>'Quadro DRE Apresentação'!J12+'Quadro DRE Apresentação'!J74+'Quadro DRE Apresentação'!J96</f>
        <v>#REF!</v>
      </c>
      <c r="K68" s="244" t="str">
        <f t="shared" si="61"/>
        <v> </v>
      </c>
      <c r="L68" s="394" t="str">
        <f t="shared" si="62"/>
        <v> </v>
      </c>
      <c r="M68" s="361">
        <f>'Quadro DRE Apresentação'!M12+'Quadro DRE Apresentação'!M74+'Quadro DRE Apresentação'!M96</f>
        <v>-4730.56817</v>
      </c>
      <c r="N68" s="248">
        <f>'Quadro DRE Apresentação'!N12+'Quadro DRE Apresentação'!N74+'Quadro DRE Apresentação'!N96</f>
        <v>-6215.01283</v>
      </c>
      <c r="O68" s="248">
        <f>'Quadro DRE Apresentação'!O74+'Quadro DRE Apresentação'!O12+'Quadro DRE Apresentação'!O96</f>
        <v>-5934.93092</v>
      </c>
      <c r="P68" s="244">
        <f t="shared" si="63"/>
        <v>0.2545915642</v>
      </c>
      <c r="Q68" s="394">
        <f t="shared" si="64"/>
        <v>-0.04506537921</v>
      </c>
      <c r="R68" s="516"/>
      <c r="S68" s="516"/>
      <c r="T68" s="516"/>
      <c r="U68" s="516"/>
      <c r="V68" s="516"/>
      <c r="W68" s="516"/>
      <c r="X68" s="516"/>
      <c r="Y68" s="516"/>
      <c r="Z68" s="516"/>
    </row>
    <row r="69" ht="14.25" hidden="1" customHeight="1">
      <c r="A69" s="516"/>
      <c r="B69" s="393" t="s">
        <v>83</v>
      </c>
      <c r="C69" s="361">
        <f>C51+'Quadro DRE Apresentação'!C13</f>
        <v>3765.47996</v>
      </c>
      <c r="D69" s="248">
        <f>D51+'Quadro DRE Apresentação'!D13</f>
        <v>4152.0373</v>
      </c>
      <c r="E69" s="248">
        <f>'Quadro DRE Apresentação'!E13+'Quadro DRE Apresentação'!E75+'Quadro DRE Apresentação'!E97</f>
        <v>4755.08555</v>
      </c>
      <c r="F69" s="244">
        <f t="shared" si="59"/>
        <v>0.2628099473</v>
      </c>
      <c r="G69" s="394">
        <f t="shared" si="60"/>
        <v>0.14524153</v>
      </c>
      <c r="H69" s="361" t="str">
        <f>'Quadro DRE Apresentação'!H13+'Quadro DRE Apresentação'!H75+'Quadro DRE Apresentação'!H97</f>
        <v>#REF!</v>
      </c>
      <c r="I69" s="248" t="str">
        <f>'Quadro DRE Apresentação'!I13+'Quadro DRE Apresentação'!I75+'Quadro DRE Apresentação'!I97-1</f>
        <v>#REF!</v>
      </c>
      <c r="J69" s="248" t="str">
        <f>'Quadro DRE Apresentação'!J13+'Quadro DRE Apresentação'!J75+'Quadro DRE Apresentação'!J97</f>
        <v>#REF!</v>
      </c>
      <c r="K69" s="244" t="str">
        <f t="shared" si="61"/>
        <v> </v>
      </c>
      <c r="L69" s="394" t="str">
        <f t="shared" si="62"/>
        <v> </v>
      </c>
      <c r="M69" s="361">
        <f>'Quadro DRE Apresentação'!M13+'Quadro DRE Apresentação'!M75+'Quadro DRE Apresentação'!M97</f>
        <v>45405.69189</v>
      </c>
      <c r="N69" s="248">
        <f>'Quadro DRE Apresentação'!N13+'Quadro DRE Apresentação'!N75+'Quadro DRE Apresentação'!N97</f>
        <v>49699.91729</v>
      </c>
      <c r="O69" s="248">
        <f>'Quadro DRE Apresentação'!O75+'Quadro DRE Apresentação'!O13+'Quadro DRE Apresentação'!O97</f>
        <v>51727.98559</v>
      </c>
      <c r="P69" s="244">
        <f t="shared" si="63"/>
        <v>0.1392401137</v>
      </c>
      <c r="Q69" s="394">
        <f t="shared" si="64"/>
        <v>0.04080627113</v>
      </c>
      <c r="R69" s="516"/>
      <c r="S69" s="516"/>
      <c r="T69" s="516"/>
      <c r="U69" s="516"/>
      <c r="V69" s="516"/>
      <c r="W69" s="516"/>
      <c r="X69" s="516"/>
      <c r="Y69" s="516"/>
      <c r="Z69" s="516"/>
    </row>
    <row r="70" ht="14.25" hidden="1" customHeight="1">
      <c r="A70" s="516"/>
      <c r="B70" s="393" t="s">
        <v>179</v>
      </c>
      <c r="C70" s="361">
        <f>C52+'Quadro DRE Apresentação'!C14</f>
        <v>249.45014</v>
      </c>
      <c r="D70" s="248">
        <f>D52+'Quadro DRE Apresentação'!D14</f>
        <v>37.49481</v>
      </c>
      <c r="E70" s="248">
        <f>'Quadro DRE Apresentação'!E14+'Quadro DRE Apresentação'!E76+'Quadro DRE Apresentação'!E98</f>
        <v>147.66521</v>
      </c>
      <c r="F70" s="244">
        <f t="shared" si="59"/>
        <v>-0.4080371733</v>
      </c>
      <c r="G70" s="394">
        <f t="shared" si="60"/>
        <v>2.938283992</v>
      </c>
      <c r="H70" s="361" t="str">
        <f>'Quadro DRE Apresentação'!H14+'Quadro DRE Apresentação'!H76+'Quadro DRE Apresentação'!H98</f>
        <v>#REF!</v>
      </c>
      <c r="I70" s="248" t="str">
        <f>'Quadro DRE Apresentação'!I14+'Quadro DRE Apresentação'!I76+'Quadro DRE Apresentação'!I98</f>
        <v>#REF!</v>
      </c>
      <c r="J70" s="248" t="str">
        <f>'Quadro DRE Apresentação'!J14+'Quadro DRE Apresentação'!J76+'Quadro DRE Apresentação'!J98</f>
        <v>#REF!</v>
      </c>
      <c r="K70" s="244" t="str">
        <f t="shared" si="61"/>
        <v> </v>
      </c>
      <c r="L70" s="394" t="str">
        <f t="shared" si="62"/>
        <v> </v>
      </c>
      <c r="M70" s="361">
        <f>'Quadro DRE Apresentação'!M14+'Quadro DRE Apresentação'!M76+'Quadro DRE Apresentação'!M98</f>
        <v>2559.85084</v>
      </c>
      <c r="N70" s="248">
        <f>'Quadro DRE Apresentação'!N14+'Quadro DRE Apresentação'!N76+'Quadro DRE Apresentação'!N98</f>
        <v>487.58471</v>
      </c>
      <c r="O70" s="248">
        <f>'Quadro DRE Apresentação'!O76+'Quadro DRE Apresentação'!O14+'Quadro DRE Apresentação'!O98</f>
        <v>851.67545</v>
      </c>
      <c r="P70" s="244">
        <f t="shared" si="63"/>
        <v>-0.6672948921</v>
      </c>
      <c r="Q70" s="394">
        <f t="shared" si="64"/>
        <v>0.7467230463</v>
      </c>
      <c r="R70" s="516"/>
      <c r="S70" s="516"/>
      <c r="T70" s="516"/>
      <c r="U70" s="516"/>
      <c r="V70" s="516"/>
      <c r="W70" s="516"/>
      <c r="X70" s="516"/>
      <c r="Y70" s="516"/>
      <c r="Z70" s="516"/>
    </row>
    <row r="71" ht="14.25" hidden="1" customHeight="1">
      <c r="A71" s="516"/>
      <c r="B71" s="393" t="s">
        <v>86</v>
      </c>
      <c r="C71" s="361">
        <f>C53+'Quadro DRE Apresentação'!C17</f>
        <v>4014.9301</v>
      </c>
      <c r="D71" s="248">
        <f>D53+'Quadro DRE Apresentação'!D17</f>
        <v>4189.53211</v>
      </c>
      <c r="E71" s="248">
        <f>'Quadro DRE Apresentação'!E17+'Quadro DRE Apresentação'!E77+'Quadro DRE Apresentação'!E101</f>
        <v>4902.75076</v>
      </c>
      <c r="F71" s="244">
        <f t="shared" si="59"/>
        <v>0.2211297925</v>
      </c>
      <c r="G71" s="394">
        <f t="shared" si="60"/>
        <v>0.1702382584</v>
      </c>
      <c r="H71" s="361" t="str">
        <f>'Quadro DRE Apresentação'!H17+'Quadro DRE Apresentação'!H77+'Quadro DRE Apresentação'!H101</f>
        <v>#REF!</v>
      </c>
      <c r="I71" s="248" t="str">
        <f>'Quadro DRE Apresentação'!I17+'Quadro DRE Apresentação'!I77+'Quadro DRE Apresentação'!I101-1</f>
        <v>#REF!</v>
      </c>
      <c r="J71" s="248" t="str">
        <f>'Quadro DRE Apresentação'!J17+'Quadro DRE Apresentação'!J77+'Quadro DRE Apresentação'!J101</f>
        <v>#REF!</v>
      </c>
      <c r="K71" s="244" t="str">
        <f t="shared" si="61"/>
        <v> </v>
      </c>
      <c r="L71" s="394" t="str">
        <f t="shared" si="62"/>
        <v> </v>
      </c>
      <c r="M71" s="361">
        <f>'Quadro DRE Apresentação'!M17+'Quadro DRE Apresentação'!M77+'Quadro DRE Apresentação'!M101</f>
        <v>47965.54273</v>
      </c>
      <c r="N71" s="248">
        <f>'Quadro DRE Apresentação'!N17+'Quadro DRE Apresentação'!N77+'Quadro DRE Apresentação'!N101</f>
        <v>50187.502</v>
      </c>
      <c r="O71" s="248">
        <f>'Quadro DRE Apresentação'!O77+'Quadro DRE Apresentação'!O17+'Quadro DRE Apresentação'!O101</f>
        <v>52579.66104</v>
      </c>
      <c r="P71" s="244">
        <f t="shared" si="63"/>
        <v>0.09619652041</v>
      </c>
      <c r="Q71" s="394">
        <f t="shared" si="64"/>
        <v>0.04766443725</v>
      </c>
      <c r="R71" s="516"/>
      <c r="S71" s="516"/>
      <c r="T71" s="516"/>
      <c r="U71" s="516"/>
      <c r="V71" s="516"/>
      <c r="W71" s="516"/>
      <c r="X71" s="516"/>
      <c r="Y71" s="516"/>
      <c r="Z71" s="516"/>
    </row>
    <row r="72" ht="14.25" hidden="1" customHeight="1">
      <c r="A72" s="516"/>
      <c r="B72" s="393" t="s">
        <v>87</v>
      </c>
      <c r="C72" s="361">
        <f>C54+'Quadro DRE Apresentação'!C18</f>
        <v>-702.98101</v>
      </c>
      <c r="D72" s="248">
        <f>D54+'Quadro DRE Apresentação'!D18</f>
        <v>-738.12773</v>
      </c>
      <c r="E72" s="248">
        <f>'Quadro DRE Apresentação'!E18+'Quadro DRE Apresentação'!E78+'Quadro DRE Apresentação'!E102</f>
        <v>-821.31516</v>
      </c>
      <c r="F72" s="244">
        <f t="shared" si="59"/>
        <v>0.1683319298</v>
      </c>
      <c r="G72" s="394">
        <f t="shared" si="60"/>
        <v>0.1127005891</v>
      </c>
      <c r="H72" s="361">
        <f>'Quadro DRE Apresentação'!H18+'Quadro DRE Apresentação'!H78+'Quadro DRE Apresentação'!H102-1</f>
        <v>-4647.63734</v>
      </c>
      <c r="I72" s="248" t="str">
        <f>'Quadro DRE Apresentação'!I18+'Quadro DRE Apresentação'!I78+'Quadro DRE Apresentação'!I102+1</f>
        <v>#REF!</v>
      </c>
      <c r="J72" s="248" t="str">
        <f>'Quadro DRE Apresentação'!J18+'Quadro DRE Apresentação'!J78+'Quadro DRE Apresentação'!J102</f>
        <v>#REF!</v>
      </c>
      <c r="K72" s="244" t="str">
        <f t="shared" si="61"/>
        <v> </v>
      </c>
      <c r="L72" s="394" t="str">
        <f t="shared" si="62"/>
        <v> </v>
      </c>
      <c r="M72" s="361">
        <f>'Quadro DRE Apresentação'!M18+'Quadro DRE Apresentação'!M78+'Quadro DRE Apresentação'!M102</f>
        <v>-7969.71652</v>
      </c>
      <c r="N72" s="248">
        <f>'Quadro DRE Apresentação'!N18+'Quadro DRE Apresentação'!N78+'Quadro DRE Apresentação'!N102</f>
        <v>-8651.83405</v>
      </c>
      <c r="O72" s="248">
        <f>'Quadro DRE Apresentação'!O78+'Quadro DRE Apresentação'!O18+'Quadro DRE Apresentação'!O102</f>
        <v>-8980.48278</v>
      </c>
      <c r="P72" s="244">
        <f t="shared" si="63"/>
        <v>0.1268258736</v>
      </c>
      <c r="Q72" s="394">
        <f t="shared" si="64"/>
        <v>0.0379860187</v>
      </c>
      <c r="R72" s="516"/>
      <c r="S72" s="516"/>
      <c r="T72" s="516"/>
      <c r="U72" s="516"/>
      <c r="V72" s="516"/>
      <c r="W72" s="516"/>
      <c r="X72" s="516"/>
      <c r="Y72" s="516"/>
      <c r="Z72" s="516"/>
    </row>
    <row r="73" ht="14.25" hidden="1" customHeight="1">
      <c r="A73" s="516"/>
      <c r="B73" s="393" t="s">
        <v>89</v>
      </c>
      <c r="C73" s="361">
        <f>C55+'Quadro DRE Apresentação'!C19</f>
        <v>3311.94909</v>
      </c>
      <c r="D73" s="248">
        <f>D55+'Quadro DRE Apresentação'!D19</f>
        <v>3451.40438</v>
      </c>
      <c r="E73" s="248">
        <f>'Quadro DRE Apresentação'!E19+'Quadro DRE Apresentação'!E79+'Quadro DRE Apresentação'!E103</f>
        <v>4081.4356</v>
      </c>
      <c r="F73" s="244">
        <f t="shared" si="59"/>
        <v>0.2323364548</v>
      </c>
      <c r="G73" s="394">
        <f t="shared" si="60"/>
        <v>0.1825434376</v>
      </c>
      <c r="H73" s="361" t="str">
        <f>'Quadro DRE Apresentação'!H19+'Quadro DRE Apresentação'!H79+'Quadro DRE Apresentação'!H103-1</f>
        <v>#REF!</v>
      </c>
      <c r="I73" s="248" t="str">
        <f>'Quadro DRE Apresentação'!I19+'Quadro DRE Apresentação'!I79+'Quadro DRE Apresentação'!I103</f>
        <v>#REF!</v>
      </c>
      <c r="J73" s="248" t="str">
        <f>'Quadro DRE Apresentação'!J19+'Quadro DRE Apresentação'!J79+'Quadro DRE Apresentação'!J103</f>
        <v>#REF!</v>
      </c>
      <c r="K73" s="244" t="str">
        <f t="shared" si="61"/>
        <v> </v>
      </c>
      <c r="L73" s="394" t="str">
        <f t="shared" si="62"/>
        <v> </v>
      </c>
      <c r="M73" s="361">
        <f>'Quadro DRE Apresentação'!M19+'Quadro DRE Apresentação'!M79+'Quadro DRE Apresentação'!M103</f>
        <v>39995.82621</v>
      </c>
      <c r="N73" s="248">
        <f>'Quadro DRE Apresentação'!N19+'Quadro DRE Apresentação'!N79+'Quadro DRE Apresentação'!N103</f>
        <v>41535.66795</v>
      </c>
      <c r="O73" s="248">
        <f>'Quadro DRE Apresentação'!O79+'Quadro DRE Apresentação'!O19+'Quadro DRE Apresentação'!O103</f>
        <v>43599.17826</v>
      </c>
      <c r="P73" s="244">
        <f t="shared" si="63"/>
        <v>0.090093202</v>
      </c>
      <c r="Q73" s="394">
        <f t="shared" si="64"/>
        <v>0.04968044122</v>
      </c>
      <c r="R73" s="516"/>
      <c r="S73" s="516"/>
      <c r="T73" s="516"/>
      <c r="U73" s="516"/>
      <c r="V73" s="516"/>
      <c r="W73" s="516"/>
      <c r="X73" s="516"/>
      <c r="Y73" s="516"/>
      <c r="Z73" s="516"/>
    </row>
    <row r="74" ht="6.0" hidden="1" customHeight="1">
      <c r="A74" s="516"/>
      <c r="B74" s="393"/>
      <c r="C74" s="404"/>
      <c r="D74" s="3"/>
      <c r="E74" s="3"/>
      <c r="F74" s="1"/>
      <c r="G74" s="405"/>
      <c r="H74" s="404"/>
      <c r="I74" s="3"/>
      <c r="J74" s="3"/>
      <c r="K74" s="1"/>
      <c r="L74" s="405"/>
      <c r="M74" s="404"/>
      <c r="N74" s="3"/>
      <c r="O74" s="3"/>
      <c r="P74" s="1"/>
      <c r="Q74" s="405"/>
      <c r="R74" s="516"/>
      <c r="S74" s="516"/>
      <c r="T74" s="516"/>
      <c r="U74" s="516"/>
      <c r="V74" s="516"/>
      <c r="W74" s="516"/>
      <c r="X74" s="516"/>
      <c r="Y74" s="516"/>
      <c r="Z74" s="516"/>
    </row>
    <row r="75" ht="16.5" hidden="1" customHeight="1">
      <c r="A75" s="516"/>
      <c r="B75" s="755" t="s">
        <v>100</v>
      </c>
      <c r="C75" s="756">
        <f>IFERROR(C67/C63,0)</f>
        <v>0.7502740952</v>
      </c>
      <c r="D75" s="757">
        <f t="shared" ref="D75:E75" si="65">D67/D63</f>
        <v>0.7838827911</v>
      </c>
      <c r="E75" s="757">
        <f t="shared" si="65"/>
        <v>0.8202399364</v>
      </c>
      <c r="F75" s="758"/>
      <c r="G75" s="759"/>
      <c r="H75" s="756">
        <f>IFERROR(H67/H63,0)</f>
        <v>0</v>
      </c>
      <c r="I75" s="757" t="str">
        <f t="shared" ref="I75:J75" si="66">I67/I63</f>
        <v>#REF!</v>
      </c>
      <c r="J75" s="757" t="str">
        <f t="shared" si="66"/>
        <v>#REF!</v>
      </c>
      <c r="K75" s="758"/>
      <c r="L75" s="759"/>
      <c r="M75" s="756">
        <f>IFERROR(M67/M63,0)</f>
        <v>0.7744821005</v>
      </c>
      <c r="N75" s="757">
        <f t="shared" ref="N75:O75" si="67">N67/N63</f>
        <v>0.7927183822</v>
      </c>
      <c r="O75" s="757">
        <f t="shared" si="67"/>
        <v>0.7973591917</v>
      </c>
      <c r="P75" s="758"/>
      <c r="Q75" s="759"/>
      <c r="R75" s="516"/>
      <c r="S75" s="516"/>
      <c r="T75" s="516"/>
      <c r="U75" s="516"/>
      <c r="V75" s="516"/>
      <c r="W75" s="516"/>
      <c r="X75" s="516"/>
      <c r="Y75" s="516"/>
      <c r="Z75" s="516"/>
    </row>
    <row r="76" ht="3.0" hidden="1" customHeight="1">
      <c r="A76" s="516"/>
      <c r="B76" s="393"/>
      <c r="C76" s="404"/>
      <c r="D76" s="3"/>
      <c r="E76" s="3"/>
      <c r="F76" s="3"/>
      <c r="G76" s="760"/>
      <c r="H76" s="404"/>
      <c r="I76" s="3"/>
      <c r="J76" s="3"/>
      <c r="K76" s="3"/>
      <c r="L76" s="760"/>
      <c r="M76" s="404"/>
      <c r="N76" s="3"/>
      <c r="O76" s="3"/>
      <c r="P76" s="3"/>
      <c r="Q76" s="760"/>
      <c r="R76" s="516"/>
      <c r="S76" s="516"/>
      <c r="T76" s="516"/>
      <c r="U76" s="516"/>
      <c r="V76" s="516"/>
      <c r="W76" s="516"/>
      <c r="X76" s="516"/>
      <c r="Y76" s="516"/>
      <c r="Z76" s="516"/>
    </row>
    <row r="77" ht="16.5" hidden="1" customHeight="1">
      <c r="A77" s="516"/>
      <c r="B77" s="755" t="s">
        <v>211</v>
      </c>
      <c r="C77" s="756">
        <f t="shared" ref="C77:E77" si="68">C64/C63</f>
        <v>0</v>
      </c>
      <c r="D77" s="757">
        <f t="shared" si="68"/>
        <v>0</v>
      </c>
      <c r="E77" s="757">
        <f t="shared" si="68"/>
        <v>0</v>
      </c>
      <c r="F77" s="761"/>
      <c r="G77" s="762"/>
      <c r="H77" s="756">
        <f>IFERROR(SUM('Quadro DRE Ritmo'!N80,'Quadro DRE Ritmo'!N100)/SUM('Quadro DRE Ritmo'!N99,'Quadro DRE Ritmo'!N79),0)</f>
        <v>0</v>
      </c>
      <c r="I77" s="757">
        <f>IFERROR(SUM('Quadro DRE Ritmo'!P80,'Quadro DRE Ritmo'!P100)/SUM('Quadro DRE Ritmo'!P99,'Quadro DRE Ritmo'!P79),0)</f>
        <v>0</v>
      </c>
      <c r="J77" s="757">
        <f>IFERROR(SUM('Quadro DRE Ritmo'!R80,'Quadro DRE Ritmo'!R100)/SUM('Quadro DRE Ritmo'!R99,'Quadro DRE Ritmo'!R79),0)</f>
        <v>0</v>
      </c>
      <c r="K77" s="761"/>
      <c r="L77" s="762"/>
      <c r="M77" s="756">
        <f>IFERROR(SUM('Quadro DRE Ritmo'!X80,'Quadro DRE Ritmo'!X100)/SUM('Quadro DRE Ritmo'!X99,'Quadro DRE Ritmo'!X79),0)</f>
        <v>0</v>
      </c>
      <c r="N77" s="757">
        <f>IFERROR(SUM('Quadro DRE Ritmo'!Z80,'Quadro DRE Ritmo'!Z100)/SUM('Quadro DRE Ritmo'!Z99,'Quadro DRE Ritmo'!Z79),0)</f>
        <v>0</v>
      </c>
      <c r="O77" s="757">
        <f>IFERROR(SUM('Quadro DRE Ritmo'!AB80,'Quadro DRE Ritmo'!AB100)/SUM('Quadro DRE Ritmo'!AB99,'Quadro DRE Ritmo'!AB79),0)</f>
        <v>0</v>
      </c>
      <c r="P77" s="761"/>
      <c r="Q77" s="762"/>
      <c r="R77" s="516"/>
      <c r="S77" s="516"/>
      <c r="T77" s="516"/>
      <c r="U77" s="516"/>
      <c r="V77" s="516"/>
      <c r="W77" s="516"/>
      <c r="X77" s="516"/>
      <c r="Y77" s="516"/>
      <c r="Z77" s="516"/>
    </row>
    <row r="78" ht="14.25" hidden="1" customHeight="1">
      <c r="A78" s="516"/>
      <c r="B78" s="516"/>
      <c r="C78" s="517"/>
      <c r="D78" s="517"/>
      <c r="E78" s="517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6"/>
      <c r="X78" s="516"/>
      <c r="Y78" s="516"/>
      <c r="Z78" s="516"/>
    </row>
    <row r="79" ht="14.25" hidden="1" customHeight="1">
      <c r="A79" s="516"/>
      <c r="B79" s="516"/>
      <c r="C79" s="517"/>
      <c r="D79" s="517"/>
      <c r="E79" s="517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6"/>
      <c r="X79" s="516"/>
      <c r="Y79" s="516"/>
      <c r="Z79" s="516"/>
    </row>
    <row r="80" ht="14.25" hidden="1" customHeight="1">
      <c r="A80" s="1"/>
      <c r="B80" s="717" t="s">
        <v>266</v>
      </c>
      <c r="C80" s="718" t="s">
        <v>248</v>
      </c>
      <c r="D80" s="719"/>
      <c r="E80" s="719"/>
      <c r="F80" s="719"/>
      <c r="G80" s="720"/>
      <c r="H80" s="718" t="s">
        <v>249</v>
      </c>
      <c r="I80" s="719"/>
      <c r="J80" s="719"/>
      <c r="K80" s="719"/>
      <c r="L80" s="720"/>
      <c r="M80" s="718" t="s">
        <v>3</v>
      </c>
      <c r="N80" s="719"/>
      <c r="O80" s="719"/>
      <c r="P80" s="719"/>
      <c r="Q80" s="720"/>
      <c r="R80" s="1"/>
      <c r="S80" s="1"/>
      <c r="T80" s="1"/>
      <c r="U80" s="1"/>
      <c r="V80" s="1"/>
      <c r="W80" s="1"/>
      <c r="X80" s="1"/>
      <c r="Y80" s="1"/>
      <c r="Z80" s="1"/>
    </row>
    <row r="81" ht="36.0" hidden="1" customHeight="1">
      <c r="A81" s="1"/>
      <c r="B81" s="721"/>
      <c r="C81" s="722" t="s">
        <v>175</v>
      </c>
      <c r="D81" s="413" t="s">
        <v>251</v>
      </c>
      <c r="E81" s="413" t="s">
        <v>191</v>
      </c>
      <c r="F81" s="413" t="s">
        <v>252</v>
      </c>
      <c r="G81" s="723" t="s">
        <v>253</v>
      </c>
      <c r="H81" s="722" t="s">
        <v>175</v>
      </c>
      <c r="I81" s="413" t="s">
        <v>251</v>
      </c>
      <c r="J81" s="413" t="s">
        <v>191</v>
      </c>
      <c r="K81" s="413" t="s">
        <v>252</v>
      </c>
      <c r="L81" s="723" t="s">
        <v>253</v>
      </c>
      <c r="M81" s="722" t="s">
        <v>175</v>
      </c>
      <c r="N81" s="413" t="s">
        <v>251</v>
      </c>
      <c r="O81" s="413" t="s">
        <v>254</v>
      </c>
      <c r="P81" s="413" t="s">
        <v>255</v>
      </c>
      <c r="Q81" s="723" t="s">
        <v>256</v>
      </c>
      <c r="R81" s="1"/>
      <c r="S81" s="1"/>
      <c r="T81" s="1"/>
      <c r="U81" s="1"/>
      <c r="V81" s="1"/>
      <c r="W81" s="1"/>
      <c r="X81" s="1"/>
      <c r="Y81" s="1"/>
      <c r="Z81" s="1"/>
    </row>
    <row r="82" ht="14.25" hidden="1" customHeight="1">
      <c r="A82" s="1"/>
      <c r="B82" s="393" t="s">
        <v>40</v>
      </c>
      <c r="C82" s="361">
        <f>'Quadro DRE Apresentação'!C131+'Quadro DRE Apresentação'!C109+'Quadro DRE Apresentação'!C89+'Quadro DRE Apresentação'!C67+'Quadro DRE Apresentação'!C25+'Quadro DRE Apresentação'!C5</f>
        <v>8466.106</v>
      </c>
      <c r="D82" s="248">
        <f>'Quadro DRE Apresentação'!D5+'Quadro DRE Apresentação'!D25+'Quadro DRE Apresentação'!D67+'Quadro DRE Apresentação'!D89+'Quadro DRE Apresentação'!D109+'Quadro DRE Apresentação'!D131</f>
        <v>9338.68462</v>
      </c>
      <c r="E82" s="248">
        <f>'Quadro DRE Apresentação'!E5+'Quadro DRE Apresentação'!E25+'Quadro DRE Apresentação'!E67+'Quadro DRE Apresentação'!E89+'Quadro DRE Apresentação'!E109+'Quadro DRE Apresentação'!E131</f>
        <v>9831.22345</v>
      </c>
      <c r="F82" s="244">
        <f t="shared" ref="F82:F94" si="69">IFERROR(E82/C82-1," ")</f>
        <v>0.1612450222</v>
      </c>
      <c r="G82" s="394">
        <f t="shared" ref="G82:G94" si="70">IFERROR(E82/D82-1," ")</f>
        <v>0.05274177789</v>
      </c>
      <c r="H82" s="361" t="str">
        <f>'Quadro DRE Apresentação'!H131+'Quadro DRE Apresentação'!H109+'Quadro DRE Apresentação'!H89+'Quadro DRE Apresentação'!H67+'Quadro DRE Apresentação'!H25+'Quadro DRE Apresentação'!H5</f>
        <v>#REF!</v>
      </c>
      <c r="I82" s="248" t="str">
        <f>'Quadro DRE Apresentação'!I131+'Quadro DRE Apresentação'!I109+'Quadro DRE Apresentação'!I89+'Quadro DRE Apresentação'!I67+'Quadro DRE Apresentação'!I25+'Quadro DRE Apresentação'!I5</f>
        <v>#REF!</v>
      </c>
      <c r="J82" s="248" t="str">
        <f>'Quadro DRE Apresentação'!J5+'Quadro DRE Apresentação'!J25+'Quadro DRE Apresentação'!J67+'Quadro DRE Apresentação'!J89+'Quadro DRE Apresentação'!J109+'Quadro DRE Apresentação'!J131</f>
        <v>#REF!</v>
      </c>
      <c r="K82" s="244" t="str">
        <f t="shared" ref="K82:K94" si="71">IFERROR(J82/H82-1," ")</f>
        <v> </v>
      </c>
      <c r="L82" s="394" t="str">
        <f t="shared" ref="L82:L94" si="72">IFERROR(J82/I82-1," ")</f>
        <v> </v>
      </c>
      <c r="M82" s="361">
        <f>'Quadro DRE Apresentação'!M131+'Quadro DRE Apresentação'!M109+'Quadro DRE Apresentação'!M89+'Quadro DRE Apresentação'!M67+'Quadro DRE Apresentação'!M25+'Quadro DRE Apresentação'!M5</f>
        <v>103265.3507</v>
      </c>
      <c r="N82" s="248">
        <f>'Quadro DRE Apresentação'!N131+'Quadro DRE Apresentação'!N109+'Quadro DRE Apresentação'!N89+'Quadro DRE Apresentação'!N67+'Quadro DRE Apresentação'!N25+'Quadro DRE Apresentação'!N5</f>
        <v>110676.8405</v>
      </c>
      <c r="O82" s="248">
        <f>'Quadro DRE Apresentação'!O131+'Quadro DRE Apresentação'!O109+'Quadro DRE Apresentação'!O89+'Quadro DRE Apresentação'!O67+'Quadro DRE Apresentação'!O25+'Quadro DRE Apresentação'!O5</f>
        <v>113213.3441</v>
      </c>
      <c r="P82" s="244">
        <f t="shared" ref="P82:P94" si="73">IFERROR(O82/M82-1," ")</f>
        <v>0.09633428179</v>
      </c>
      <c r="Q82" s="394">
        <f t="shared" ref="Q82:Q94" si="74">IFERROR(O82/N82-1," ")</f>
        <v>0.02291810589</v>
      </c>
      <c r="R82" s="1"/>
      <c r="S82" s="1"/>
      <c r="T82" s="1"/>
      <c r="U82" s="1"/>
      <c r="V82" s="1"/>
      <c r="W82" s="1"/>
      <c r="X82" s="1"/>
      <c r="Y82" s="1"/>
      <c r="Z82" s="1"/>
    </row>
    <row r="83" ht="14.25" hidden="1" customHeight="1">
      <c r="A83" s="1"/>
      <c r="B83" s="393" t="s">
        <v>71</v>
      </c>
      <c r="C83" s="361">
        <f>'Quadro DRE Apresentação'!C132+'Quadro DRE Apresentação'!C110+'Quadro DRE Apresentação'!C90+'Quadro DRE Apresentação'!C68+'Quadro DRE Apresentação'!C26+'Quadro DRE Apresentação'!C6</f>
        <v>-362.18919</v>
      </c>
      <c r="D83" s="248">
        <f>'Quadro DRE Apresentação'!D6+'Quadro DRE Apresentação'!D26+'Quadro DRE Apresentação'!D68+'Quadro DRE Apresentação'!D90+'Quadro DRE Apresentação'!D110+'Quadro DRE Apresentação'!D132</f>
        <v>-396.02291</v>
      </c>
      <c r="E83" s="248">
        <f>'Quadro DRE Apresentação'!E6+'Quadro DRE Apresentação'!E26+'Quadro DRE Apresentação'!E68+'Quadro DRE Apresentação'!E90+'Quadro DRE Apresentação'!E110+'Quadro DRE Apresentação'!E132</f>
        <v>-418.67836</v>
      </c>
      <c r="F83" s="244">
        <f t="shared" si="69"/>
        <v>0.1559659194</v>
      </c>
      <c r="G83" s="394">
        <f t="shared" si="70"/>
        <v>0.05720742267</v>
      </c>
      <c r="H83" s="361" t="str">
        <f>'Quadro DRE Apresentação'!H132+'Quadro DRE Apresentação'!H110+'Quadro DRE Apresentação'!H90+'Quadro DRE Apresentação'!H68+'Quadro DRE Apresentação'!H26+'Quadro DRE Apresentação'!H6</f>
        <v>#REF!</v>
      </c>
      <c r="I83" s="248" t="str">
        <f>'Quadro DRE Apresentação'!I132+'Quadro DRE Apresentação'!I110+'Quadro DRE Apresentação'!I90+'Quadro DRE Apresentação'!I68+'Quadro DRE Apresentação'!I26+'Quadro DRE Apresentação'!I6</f>
        <v>#REF!</v>
      </c>
      <c r="J83" s="248" t="str">
        <f>'Quadro DRE Apresentação'!J6+'Quadro DRE Apresentação'!J26+'Quadro DRE Apresentação'!J68+'Quadro DRE Apresentação'!J90+'Quadro DRE Apresentação'!J110+'Quadro DRE Apresentação'!J132</f>
        <v>#REF!</v>
      </c>
      <c r="K83" s="244" t="str">
        <f t="shared" si="71"/>
        <v> </v>
      </c>
      <c r="L83" s="394" t="str">
        <f t="shared" si="72"/>
        <v> </v>
      </c>
      <c r="M83" s="361">
        <f>'Quadro DRE Apresentação'!M132+'Quadro DRE Apresentação'!M110+'Quadro DRE Apresentação'!M90+'Quadro DRE Apresentação'!M68+'Quadro DRE Apresentação'!M26+'Quadro DRE Apresentação'!M6</f>
        <v>-4389.46916</v>
      </c>
      <c r="N83" s="248">
        <f>'Quadro DRE Apresentação'!N132+'Quadro DRE Apresentação'!N110+'Quadro DRE Apresentação'!N90+'Quadro DRE Apresentação'!N68+'Quadro DRE Apresentação'!N26+'Quadro DRE Apresentação'!N6</f>
        <v>-4621.08632</v>
      </c>
      <c r="O83" s="248">
        <f>'Quadro DRE Apresentação'!O132+'Quadro DRE Apresentação'!O110+'Quadro DRE Apresentação'!O90+'Quadro DRE Apresentação'!O68+'Quadro DRE Apresentação'!O26+'Quadro DRE Apresentação'!O6</f>
        <v>-4777.08302</v>
      </c>
      <c r="P83" s="244">
        <f t="shared" si="73"/>
        <v>0.08830540684</v>
      </c>
      <c r="Q83" s="394">
        <f t="shared" si="74"/>
        <v>0.03375758192</v>
      </c>
      <c r="R83" s="1"/>
      <c r="S83" s="1"/>
      <c r="T83" s="1"/>
      <c r="U83" s="1"/>
      <c r="V83" s="1"/>
      <c r="W83" s="1"/>
      <c r="X83" s="1"/>
      <c r="Y83" s="1"/>
      <c r="Z83" s="1"/>
    </row>
    <row r="84" ht="14.25" hidden="1" customHeight="1">
      <c r="A84" s="1"/>
      <c r="B84" s="393" t="s">
        <v>72</v>
      </c>
      <c r="C84" s="361">
        <f>'Quadro DRE Apresentação'!C133+'Quadro DRE Apresentação'!C111+'Quadro DRE Apresentação'!C91+'Quadro DRE Apresentação'!C69+'Quadro DRE Apresentação'!C27+'Quadro DRE Apresentação'!C7</f>
        <v>8103.91681</v>
      </c>
      <c r="D84" s="248">
        <f>'Quadro DRE Apresentação'!D7+'Quadro DRE Apresentação'!D27+'Quadro DRE Apresentação'!D69+'Quadro DRE Apresentação'!D91+'Quadro DRE Apresentação'!D111+'Quadro DRE Apresentação'!D133</f>
        <v>8942.66171</v>
      </c>
      <c r="E84" s="248">
        <f>'Quadro DRE Apresentação'!E7+'Quadro DRE Apresentação'!E27+'Quadro DRE Apresentação'!E69+'Quadro DRE Apresentação'!E91+'Quadro DRE Apresentação'!E111+'Quadro DRE Apresentação'!E133</f>
        <v>9412.54509</v>
      </c>
      <c r="F84" s="244">
        <f t="shared" si="69"/>
        <v>0.1614809617</v>
      </c>
      <c r="G84" s="394">
        <f t="shared" si="70"/>
        <v>0.05254401824</v>
      </c>
      <c r="H84" s="361" t="str">
        <f>'Quadro DRE Apresentação'!H133+'Quadro DRE Apresentação'!H111+'Quadro DRE Apresentação'!H91+'Quadro DRE Apresentação'!H69+'Quadro DRE Apresentação'!H27+'Quadro DRE Apresentação'!H7</f>
        <v>#REF!</v>
      </c>
      <c r="I84" s="248" t="str">
        <f>'Quadro DRE Apresentação'!I133+'Quadro DRE Apresentação'!I111+'Quadro DRE Apresentação'!I91+'Quadro DRE Apresentação'!I69+'Quadro DRE Apresentação'!I27+'Quadro DRE Apresentação'!I7</f>
        <v>#REF!</v>
      </c>
      <c r="J84" s="248" t="str">
        <f>'Quadro DRE Apresentação'!J7+'Quadro DRE Apresentação'!J27+'Quadro DRE Apresentação'!J69+'Quadro DRE Apresentação'!J91+'Quadro DRE Apresentação'!J111+'Quadro DRE Apresentação'!J133</f>
        <v>#REF!</v>
      </c>
      <c r="K84" s="244" t="str">
        <f t="shared" si="71"/>
        <v> </v>
      </c>
      <c r="L84" s="394" t="str">
        <f t="shared" si="72"/>
        <v> </v>
      </c>
      <c r="M84" s="361">
        <f>'Quadro DRE Apresentação'!M133+'Quadro DRE Apresentação'!M111+'Quadro DRE Apresentação'!M91+'Quadro DRE Apresentação'!M69+'Quadro DRE Apresentação'!M27+'Quadro DRE Apresentação'!M7</f>
        <v>98875.8815</v>
      </c>
      <c r="N84" s="248">
        <f>'Quadro DRE Apresentação'!N133+'Quadro DRE Apresentação'!N111+'Quadro DRE Apresentação'!N91+'Quadro DRE Apresentação'!N69+'Quadro DRE Apresentação'!N27+'Quadro DRE Apresentação'!N7</f>
        <v>106056.7542</v>
      </c>
      <c r="O84" s="248">
        <f>'Quadro DRE Apresentação'!O133+'Quadro DRE Apresentação'!O111+'Quadro DRE Apresentação'!O91+'Quadro DRE Apresentação'!O69+'Quadro DRE Apresentação'!O27+'Quadro DRE Apresentação'!O7</f>
        <v>108436.261</v>
      </c>
      <c r="P84" s="244">
        <f t="shared" si="73"/>
        <v>0.0966907135</v>
      </c>
      <c r="Q84" s="394">
        <f t="shared" si="74"/>
        <v>0.02243616513</v>
      </c>
      <c r="R84" s="1"/>
      <c r="S84" s="1"/>
      <c r="T84" s="1"/>
      <c r="U84" s="1"/>
      <c r="V84" s="1"/>
      <c r="W84" s="1"/>
      <c r="X84" s="1"/>
      <c r="Y84" s="1"/>
      <c r="Z84" s="1"/>
    </row>
    <row r="85" ht="14.25" hidden="1" customHeight="1">
      <c r="A85" s="1"/>
      <c r="B85" s="393" t="s">
        <v>73</v>
      </c>
      <c r="C85" s="361">
        <f>'Quadro DRE Apresentação'!C134+'Quadro DRE Apresentação'!C112+'Quadro DRE Apresentação'!C92+'Quadro DRE Apresentação'!C70+'Quadro DRE Apresentação'!C28+'Quadro DRE Apresentação'!C8</f>
        <v>0</v>
      </c>
      <c r="D85" s="248">
        <f>'Quadro DRE Apresentação'!D8+'Quadro DRE Apresentação'!D28+'Quadro DRE Apresentação'!D70+'Quadro DRE Apresentação'!D92+'Quadro DRE Apresentação'!D112+'Quadro DRE Apresentação'!D134</f>
        <v>0</v>
      </c>
      <c r="E85" s="248">
        <f>'Quadro DRE Apresentação'!E8+'Quadro DRE Apresentação'!E28+'Quadro DRE Apresentação'!E70+'Quadro DRE Apresentação'!E92+'Quadro DRE Apresentação'!E112+'Quadro DRE Apresentação'!E134</f>
        <v>0</v>
      </c>
      <c r="F85" s="244" t="str">
        <f t="shared" si="69"/>
        <v> </v>
      </c>
      <c r="G85" s="394" t="str">
        <f t="shared" si="70"/>
        <v> </v>
      </c>
      <c r="H85" s="361">
        <f>'Quadro DRE Apresentação'!H134+'Quadro DRE Apresentação'!H112+'Quadro DRE Apresentação'!H92+'Quadro DRE Apresentação'!H70+'Quadro DRE Apresentação'!H28+'Quadro DRE Apresentação'!H8</f>
        <v>-4168.40874</v>
      </c>
      <c r="I85" s="248">
        <f>'Quadro DRE Apresentação'!I134+'Quadro DRE Apresentação'!I112+'Quadro DRE Apresentação'!I92+'Quadro DRE Apresentação'!I70+'Quadro DRE Apresentação'!I28+'Quadro DRE Apresentação'!I8</f>
        <v>0</v>
      </c>
      <c r="J85" s="248">
        <f>'Quadro DRE Apresentação'!J8+'Quadro DRE Apresentação'!J28+'Quadro DRE Apresentação'!J70+'Quadro DRE Apresentação'!J92+'Quadro DRE Apresentação'!J112+'Quadro DRE Apresentação'!J134</f>
        <v>0</v>
      </c>
      <c r="K85" s="244">
        <f t="shared" si="71"/>
        <v>-1</v>
      </c>
      <c r="L85" s="394" t="str">
        <f t="shared" si="72"/>
        <v> </v>
      </c>
      <c r="M85" s="361">
        <f>'Quadro DRE Apresentação'!M134+'Quadro DRE Apresentação'!M112+'Quadro DRE Apresentação'!M92+'Quadro DRE Apresentação'!M70+'Quadro DRE Apresentação'!M28+'Quadro DRE Apresentação'!M8</f>
        <v>-4168.31</v>
      </c>
      <c r="N85" s="248">
        <f>'Quadro DRE Apresentação'!N134+'Quadro DRE Apresentação'!N112+'Quadro DRE Apresentação'!N92+'Quadro DRE Apresentação'!N70+'Quadro DRE Apresentação'!N28+'Quadro DRE Apresentação'!N8</f>
        <v>0</v>
      </c>
      <c r="O85" s="248">
        <f>'Quadro DRE Apresentação'!O134+'Quadro DRE Apresentação'!O112+'Quadro DRE Apresentação'!O92+'Quadro DRE Apresentação'!O70+'Quadro DRE Apresentação'!O28+'Quadro DRE Apresentação'!O8</f>
        <v>0</v>
      </c>
      <c r="P85" s="244">
        <f t="shared" si="73"/>
        <v>-1</v>
      </c>
      <c r="Q85" s="394" t="str">
        <f t="shared" si="74"/>
        <v> </v>
      </c>
      <c r="R85" s="1"/>
      <c r="S85" s="1"/>
      <c r="T85" s="1"/>
      <c r="U85" s="1"/>
      <c r="V85" s="1"/>
      <c r="W85" s="1"/>
      <c r="X85" s="1"/>
      <c r="Y85" s="1"/>
      <c r="Z85" s="1"/>
    </row>
    <row r="86" ht="14.25" hidden="1" customHeight="1">
      <c r="A86" s="1"/>
      <c r="B86" s="393" t="s">
        <v>75</v>
      </c>
      <c r="C86" s="361">
        <f>'Quadro DRE Apresentação'!C135+'Quadro DRE Apresentação'!C113+'Quadro DRE Apresentação'!C93+'Quadro DRE Apresentação'!C71+'Quadro DRE Apresentação'!C29+'Quadro DRE Apresentação'!C9</f>
        <v>8103.91681</v>
      </c>
      <c r="D86" s="248">
        <f>'Quadro DRE Apresentação'!D9+'Quadro DRE Apresentação'!D29+'Quadro DRE Apresentação'!D71+'Quadro DRE Apresentação'!D93+'Quadro DRE Apresentação'!D113+'Quadro DRE Apresentação'!D135</f>
        <v>8942.66171</v>
      </c>
      <c r="E86" s="248">
        <f>'Quadro DRE Apresentação'!E9+'Quadro DRE Apresentação'!E29+'Quadro DRE Apresentação'!E71+'Quadro DRE Apresentação'!E93+'Quadro DRE Apresentação'!E113+'Quadro DRE Apresentação'!E135</f>
        <v>9412.54509</v>
      </c>
      <c r="F86" s="244">
        <f t="shared" si="69"/>
        <v>0.1614809617</v>
      </c>
      <c r="G86" s="394">
        <f t="shared" si="70"/>
        <v>0.05254401824</v>
      </c>
      <c r="H86" s="361" t="str">
        <f>'Quadro DRE Apresentação'!H135+'Quadro DRE Apresentação'!H113+'Quadro DRE Apresentação'!H93+'Quadro DRE Apresentação'!H71+'Quadro DRE Apresentação'!H29+'Quadro DRE Apresentação'!H9</f>
        <v>#REF!</v>
      </c>
      <c r="I86" s="248" t="str">
        <f>'Quadro DRE Apresentação'!I135+'Quadro DRE Apresentação'!I113+'Quadro DRE Apresentação'!I93+'Quadro DRE Apresentação'!I71+'Quadro DRE Apresentação'!I29+'Quadro DRE Apresentação'!I9</f>
        <v>#REF!</v>
      </c>
      <c r="J86" s="248" t="str">
        <f>'Quadro DRE Apresentação'!J9+'Quadro DRE Apresentação'!J29+'Quadro DRE Apresentação'!J71+'Quadro DRE Apresentação'!J93+'Quadro DRE Apresentação'!J113+'Quadro DRE Apresentação'!J135</f>
        <v>#REF!</v>
      </c>
      <c r="K86" s="244" t="str">
        <f t="shared" si="71"/>
        <v> </v>
      </c>
      <c r="L86" s="394" t="str">
        <f t="shared" si="72"/>
        <v> </v>
      </c>
      <c r="M86" s="361">
        <f>'Quadro DRE Apresentação'!M135+'Quadro DRE Apresentação'!M113+'Quadro DRE Apresentação'!M93+'Quadro DRE Apresentação'!M71+'Quadro DRE Apresentação'!M29+'Quadro DRE Apresentação'!M9</f>
        <v>94707.5715</v>
      </c>
      <c r="N86" s="248">
        <f>'Quadro DRE Apresentação'!N135+'Quadro DRE Apresentação'!N113+'Quadro DRE Apresentação'!N93+'Quadro DRE Apresentação'!N71+'Quadro DRE Apresentação'!N29+'Quadro DRE Apresentação'!N9</f>
        <v>106056.7542</v>
      </c>
      <c r="O86" s="248">
        <f>'Quadro DRE Apresentação'!O135+'Quadro DRE Apresentação'!O113+'Quadro DRE Apresentação'!O93+'Quadro DRE Apresentação'!O71+'Quadro DRE Apresentação'!O29+'Quadro DRE Apresentação'!O9</f>
        <v>108436.261</v>
      </c>
      <c r="P86" s="244">
        <f t="shared" si="73"/>
        <v>0.1449587326</v>
      </c>
      <c r="Q86" s="394">
        <f t="shared" si="74"/>
        <v>0.02243616513</v>
      </c>
      <c r="R86" s="1"/>
      <c r="S86" s="1"/>
      <c r="T86" s="1"/>
      <c r="U86" s="1"/>
      <c r="V86" s="1"/>
      <c r="W86" s="1"/>
      <c r="X86" s="1"/>
      <c r="Y86" s="1"/>
      <c r="Z86" s="1"/>
    </row>
    <row r="87" ht="14.25" hidden="1" customHeight="1">
      <c r="A87" s="1"/>
      <c r="B87" s="393" t="s">
        <v>77</v>
      </c>
      <c r="C87" s="361">
        <f>'Quadro DRE Apresentação'!C136+'Quadro DRE Apresentação'!C114+'Quadro DRE Apresentação'!C94+'Quadro DRE Apresentação'!C72+'Quadro DRE Apresentação'!C30+'Quadro DRE Apresentação'!C10</f>
        <v>-1990.27621</v>
      </c>
      <c r="D87" s="248">
        <f>'Quadro DRE Apresentação'!D10+'Quadro DRE Apresentação'!D30+'Quadro DRE Apresentação'!D72+'Quadro DRE Apresentação'!D94+'Quadro DRE Apresentação'!D114+'Quadro DRE Apresentação'!D136</f>
        <v>-1964.75423</v>
      </c>
      <c r="E87" s="248">
        <f>'Quadro DRE Apresentação'!E10+'Quadro DRE Apresentação'!E30+'Quadro DRE Apresentação'!E72+'Quadro DRE Apresentação'!E94+'Quadro DRE Apresentação'!E114+'Quadro DRE Apresentação'!E136</f>
        <v>-2005.84844</v>
      </c>
      <c r="F87" s="244">
        <f t="shared" si="69"/>
        <v>0.007824155221</v>
      </c>
      <c r="G87" s="394">
        <f t="shared" si="70"/>
        <v>0.02091569998</v>
      </c>
      <c r="H87" s="361" t="str">
        <f>'Quadro DRE Apresentação'!H136+'Quadro DRE Apresentação'!H114+'Quadro DRE Apresentação'!H94+'Quadro DRE Apresentação'!H72+'Quadro DRE Apresentação'!H30+'Quadro DRE Apresentação'!H10</f>
        <v>#REF!</v>
      </c>
      <c r="I87" s="248" t="str">
        <f>'Quadro DRE Apresentação'!I136+'Quadro DRE Apresentação'!I114+'Quadro DRE Apresentação'!I94+'Quadro DRE Apresentação'!I72+'Quadro DRE Apresentação'!I30+'Quadro DRE Apresentação'!I10</f>
        <v>#REF!</v>
      </c>
      <c r="J87" s="248" t="str">
        <f>'Quadro DRE Apresentação'!J10+'Quadro DRE Apresentação'!J30+'Quadro DRE Apresentação'!J72+'Quadro DRE Apresentação'!J94+'Quadro DRE Apresentação'!J114+'Quadro DRE Apresentação'!J136</f>
        <v>#REF!</v>
      </c>
      <c r="K87" s="244" t="str">
        <f t="shared" si="71"/>
        <v> </v>
      </c>
      <c r="L87" s="394" t="str">
        <f t="shared" si="72"/>
        <v> </v>
      </c>
      <c r="M87" s="361">
        <f>'Quadro DRE Apresentação'!M136+'Quadro DRE Apresentação'!M114+'Quadro DRE Apresentação'!M94+'Quadro DRE Apresentação'!M72+'Quadro DRE Apresentação'!M30+'Quadro DRE Apresentação'!M10</f>
        <v>-18639.60044</v>
      </c>
      <c r="N87" s="248">
        <f>'Quadro DRE Apresentação'!N136+'Quadro DRE Apresentação'!N114+'Quadro DRE Apresentação'!N94+'Quadro DRE Apresentação'!N72+'Quadro DRE Apresentação'!N30+'Quadro DRE Apresentação'!N10</f>
        <v>-21551.3505</v>
      </c>
      <c r="O87" s="248">
        <f>'Quadro DRE Apresentação'!O136+'Quadro DRE Apresentação'!O114+'Quadro DRE Apresentação'!O94+'Quadro DRE Apresentação'!O72+'Quadro DRE Apresentação'!O30+'Quadro DRE Apresentação'!O10</f>
        <v>-21854.69774</v>
      </c>
      <c r="P87" s="244">
        <f t="shared" si="73"/>
        <v>0.1724874581</v>
      </c>
      <c r="Q87" s="394">
        <f t="shared" si="74"/>
        <v>0.01407555596</v>
      </c>
      <c r="R87" s="1"/>
      <c r="S87" s="1"/>
      <c r="T87" s="1"/>
      <c r="U87" s="1"/>
      <c r="V87" s="1"/>
      <c r="W87" s="1"/>
      <c r="X87" s="1"/>
      <c r="Y87" s="1"/>
      <c r="Z87" s="1"/>
    </row>
    <row r="88" ht="14.25" hidden="1" customHeight="1">
      <c r="A88" s="165"/>
      <c r="B88" s="740" t="s">
        <v>80</v>
      </c>
      <c r="C88" s="741">
        <f>('Quadro DRE Apresentação'!C137+'Quadro DRE Apresentação'!C115+'Quadro DRE Apresentação'!C95+'Quadro DRE Apresentação'!C73+'Quadro DRE Apresentação'!C31+'Quadro DRE Apresentação'!C11)</f>
        <v>6113.6406</v>
      </c>
      <c r="D88" s="743">
        <f>('Quadro DRE Apresentação'!D11+'Quadro DRE Apresentação'!D31+'Quadro DRE Apresentação'!D73+'Quadro DRE Apresentação'!D95+'Quadro DRE Apresentação'!D115+'Quadro DRE Apresentação'!D137)</f>
        <v>6977.90748</v>
      </c>
      <c r="E88" s="743">
        <f>('Quadro DRE Apresentação'!E11+'Quadro DRE Apresentação'!E31+'Quadro DRE Apresentação'!E73+'Quadro DRE Apresentação'!E95+'Quadro DRE Apresentação'!E115+'Quadro DRE Apresentação'!E137)</f>
        <v>7406.69665</v>
      </c>
      <c r="F88" s="475">
        <f t="shared" si="69"/>
        <v>0.2115034453</v>
      </c>
      <c r="G88" s="744">
        <f t="shared" si="70"/>
        <v>0.06144953501</v>
      </c>
      <c r="H88" s="741" t="str">
        <f>('Quadro DRE Apresentação'!H137+'Quadro DRE Apresentação'!H115+'Quadro DRE Apresentação'!H95+'Quadro DRE Apresentação'!H73+'Quadro DRE Apresentação'!H31+'Quadro DRE Apresentação'!H11)</f>
        <v>#REF!</v>
      </c>
      <c r="I88" s="743" t="str">
        <f>('Quadro DRE Apresentação'!I137+'Quadro DRE Apresentação'!I115+'Quadro DRE Apresentação'!I95+'Quadro DRE Apresentação'!I73+'Quadro DRE Apresentação'!I31+'Quadro DRE Apresentação'!I11)</f>
        <v>#REF!</v>
      </c>
      <c r="J88" s="743" t="str">
        <f>'Quadro DRE Apresentação'!J11+'Quadro DRE Apresentação'!J31+'Quadro DRE Apresentação'!J73+'Quadro DRE Apresentação'!J95+'Quadro DRE Apresentação'!J115+'Quadro DRE Apresentação'!J137</f>
        <v>#REF!</v>
      </c>
      <c r="K88" s="475" t="str">
        <f t="shared" si="71"/>
        <v> </v>
      </c>
      <c r="L88" s="744" t="str">
        <f t="shared" si="72"/>
        <v> </v>
      </c>
      <c r="M88" s="741">
        <f>'Quadro DRE Apresentação'!M137+'Quadro DRE Apresentação'!M115+'Quadro DRE Apresentação'!M95+'Quadro DRE Apresentação'!M73+'Quadro DRE Apresentação'!M31+'Quadro DRE Apresentação'!M11</f>
        <v>76067.97106</v>
      </c>
      <c r="N88" s="743">
        <f>'Quadro DRE Apresentação'!N137+'Quadro DRE Apresentação'!N115+'Quadro DRE Apresentação'!N95+'Quadro DRE Apresentação'!N73+'Quadro DRE Apresentação'!N31+'Quadro DRE Apresentação'!N11</f>
        <v>84504.40368</v>
      </c>
      <c r="O88" s="743">
        <f>('Quadro DRE Apresentação'!O137+'Quadro DRE Apresentação'!O115+'Quadro DRE Apresentação'!O95+'Quadro DRE Apresentação'!O73+'Quadro DRE Apresentação'!O31+'Quadro DRE Apresentação'!O11)</f>
        <v>86581.56329</v>
      </c>
      <c r="P88" s="475">
        <f t="shared" si="73"/>
        <v>0.1382131281</v>
      </c>
      <c r="Q88" s="744">
        <f t="shared" si="74"/>
        <v>0.02458048953</v>
      </c>
      <c r="R88" s="165"/>
      <c r="S88" s="165"/>
      <c r="T88" s="165"/>
      <c r="U88" s="165"/>
      <c r="V88" s="165"/>
      <c r="W88" s="165"/>
      <c r="X88" s="165"/>
      <c r="Y88" s="165"/>
      <c r="Z88" s="165"/>
    </row>
    <row r="89" ht="14.25" hidden="1" customHeight="1">
      <c r="A89" s="1"/>
      <c r="B89" s="393" t="s">
        <v>82</v>
      </c>
      <c r="C89" s="361">
        <f>'Quadro DRE Apresentação'!C139+'Quadro DRE Apresentação'!C117+'Quadro DRE Apresentação'!C96+'Quadro DRE Apresentação'!C74+'Quadro DRE Apresentação'!C32+'Quadro DRE Apresentação'!C12</f>
        <v>-680.49714</v>
      </c>
      <c r="D89" s="248">
        <f>'Quadro DRE Apresentação'!D12+'Quadro DRE Apresentação'!D32+'Quadro DRE Apresentação'!D74+'Quadro DRE Apresentação'!D96+'Quadro DRE Apresentação'!D117+'Quadro DRE Apresentação'!D139</f>
        <v>-728.11868</v>
      </c>
      <c r="E89" s="248">
        <f>'Quadro DRE Apresentação'!E12+'Quadro DRE Apresentação'!E32+'Quadro DRE Apresentação'!E74+'Quadro DRE Apresentação'!E96+'Quadro DRE Apresentação'!E117+'Quadro DRE Apresentação'!E139</f>
        <v>-684.69949</v>
      </c>
      <c r="F89" s="244">
        <f t="shared" si="69"/>
        <v>0.0061754117</v>
      </c>
      <c r="G89" s="394">
        <f t="shared" si="70"/>
        <v>-0.05963202318</v>
      </c>
      <c r="H89" s="361" t="str">
        <f>'Quadro DRE Apresentação'!H139+'Quadro DRE Apresentação'!H117+'Quadro DRE Apresentação'!H96+'Quadro DRE Apresentação'!H74+'Quadro DRE Apresentação'!H32+'Quadro DRE Apresentação'!H12</f>
        <v>#REF!</v>
      </c>
      <c r="I89" s="248" t="str">
        <f>'Quadro DRE Apresentação'!I139+'Quadro DRE Apresentação'!I117+'Quadro DRE Apresentação'!I96+'Quadro DRE Apresentação'!I74+'Quadro DRE Apresentação'!I32+'Quadro DRE Apresentação'!I12</f>
        <v>#REF!</v>
      </c>
      <c r="J89" s="248" t="str">
        <f>'Quadro DRE Apresentação'!J12+'Quadro DRE Apresentação'!J32+'Quadro DRE Apresentação'!J74+'Quadro DRE Apresentação'!J96+'Quadro DRE Apresentação'!J117+'Quadro DRE Apresentação'!J139</f>
        <v>#REF!</v>
      </c>
      <c r="K89" s="244" t="str">
        <f t="shared" si="71"/>
        <v> </v>
      </c>
      <c r="L89" s="394" t="str">
        <f t="shared" si="72"/>
        <v> </v>
      </c>
      <c r="M89" s="361">
        <f>'Quadro DRE Apresentação'!M139+'Quadro DRE Apresentação'!M117+'Quadro DRE Apresentação'!M96+'Quadro DRE Apresentação'!M74+'Quadro DRE Apresentação'!M32+'Quadro DRE Apresentação'!M12</f>
        <v>-7402.87025</v>
      </c>
      <c r="N89" s="248">
        <f>'Quadro DRE Apresentação'!N139+'Quadro DRE Apresentação'!N117+'Quadro DRE Apresentação'!N96+'Quadro DRE Apresentação'!N74+'Quadro DRE Apresentação'!N32+'Quadro DRE Apresentação'!N12</f>
        <v>-8863.28213</v>
      </c>
      <c r="O89" s="248">
        <f>'Quadro DRE Apresentação'!O139+'Quadro DRE Apresentação'!O117+'Quadro DRE Apresentação'!O96+'Quadro DRE Apresentação'!O74+'Quadro DRE Apresentação'!O32+'Quadro DRE Apresentação'!O12</f>
        <v>-8520.60555</v>
      </c>
      <c r="P89" s="244">
        <f t="shared" si="73"/>
        <v>0.1509867473</v>
      </c>
      <c r="Q89" s="394">
        <f t="shared" si="74"/>
        <v>-0.03866249263</v>
      </c>
      <c r="R89" s="1"/>
      <c r="S89" s="1"/>
      <c r="T89" s="1"/>
      <c r="U89" s="1"/>
      <c r="V89" s="1"/>
      <c r="W89" s="1"/>
      <c r="X89" s="1"/>
      <c r="Y89" s="1"/>
      <c r="Z89" s="1"/>
    </row>
    <row r="90" ht="14.25" hidden="1" customHeight="1">
      <c r="A90" s="1"/>
      <c r="B90" s="393" t="s">
        <v>83</v>
      </c>
      <c r="C90" s="361">
        <f>'Quadro DRE Apresentação'!C140+'Quadro DRE Apresentação'!C118+'Quadro DRE Apresentação'!C97+'Quadro DRE Apresentação'!C75+'Quadro DRE Apresentação'!C33+'Quadro DRE Apresentação'!C13</f>
        <v>5433.14346</v>
      </c>
      <c r="D90" s="248">
        <f>'Quadro DRE Apresentação'!D13+'Quadro DRE Apresentação'!D33+'Quadro DRE Apresentação'!D75+'Quadro DRE Apresentação'!D97+'Quadro DRE Apresentação'!D118+'Quadro DRE Apresentação'!D140</f>
        <v>6249.7888</v>
      </c>
      <c r="E90" s="248">
        <f>'Quadro DRE Apresentação'!E13+'Quadro DRE Apresentação'!E33+'Quadro DRE Apresentação'!E75+'Quadro DRE Apresentação'!E97+'Quadro DRE Apresentação'!E118+'Quadro DRE Apresentação'!E140</f>
        <v>6721.99716</v>
      </c>
      <c r="F90" s="244">
        <f t="shared" si="69"/>
        <v>0.2372206273</v>
      </c>
      <c r="G90" s="394">
        <f t="shared" si="70"/>
        <v>0.07555589078</v>
      </c>
      <c r="H90" s="361" t="str">
        <f>'Quadro DRE Apresentação'!H140+'Quadro DRE Apresentação'!H118+'Quadro DRE Apresentação'!H97+'Quadro DRE Apresentação'!H75+'Quadro DRE Apresentação'!H33+'Quadro DRE Apresentação'!H13</f>
        <v>#REF!</v>
      </c>
      <c r="I90" s="248" t="str">
        <f>'Quadro DRE Apresentação'!I140+'Quadro DRE Apresentação'!I118+'Quadro DRE Apresentação'!I97+'Quadro DRE Apresentação'!I75+'Quadro DRE Apresentação'!I33+'Quadro DRE Apresentação'!I13</f>
        <v>#REF!</v>
      </c>
      <c r="J90" s="248" t="str">
        <f>'Quadro DRE Apresentação'!J13+'Quadro DRE Apresentação'!J33+'Quadro DRE Apresentação'!J75+'Quadro DRE Apresentação'!J97+'Quadro DRE Apresentação'!J118+'Quadro DRE Apresentação'!J140</f>
        <v>#REF!</v>
      </c>
      <c r="K90" s="244" t="str">
        <f t="shared" si="71"/>
        <v> </v>
      </c>
      <c r="L90" s="394" t="str">
        <f t="shared" si="72"/>
        <v> </v>
      </c>
      <c r="M90" s="361">
        <f>'Quadro DRE Apresentação'!M140+'Quadro DRE Apresentação'!M118+'Quadro DRE Apresentação'!M97+'Quadro DRE Apresentação'!M75+'Quadro DRE Apresentação'!M33+'Quadro DRE Apresentação'!M13</f>
        <v>68665.10081</v>
      </c>
      <c r="N90" s="248">
        <f>'Quadro DRE Apresentação'!N140+'Quadro DRE Apresentação'!N118+'Quadro DRE Apresentação'!N97+'Quadro DRE Apresentação'!N75+'Quadro DRE Apresentação'!N33+'Quadro DRE Apresentação'!N13</f>
        <v>75641.12155</v>
      </c>
      <c r="O90" s="248">
        <f>'Quadro DRE Apresentação'!O140+'Quadro DRE Apresentação'!O118+'Quadro DRE Apresentação'!O97+'Quadro DRE Apresentação'!O75+'Quadro DRE Apresentação'!O33+'Quadro DRE Apresentação'!O13</f>
        <v>78060.95774</v>
      </c>
      <c r="P90" s="244">
        <f t="shared" si="73"/>
        <v>0.1368359883</v>
      </c>
      <c r="Q90" s="394">
        <f t="shared" si="74"/>
        <v>0.03199101415</v>
      </c>
      <c r="R90" s="1"/>
      <c r="S90" s="1"/>
      <c r="T90" s="1"/>
      <c r="U90" s="1"/>
      <c r="V90" s="1"/>
      <c r="W90" s="1"/>
      <c r="X90" s="1"/>
      <c r="Y90" s="1"/>
      <c r="Z90" s="1"/>
    </row>
    <row r="91" ht="14.25" hidden="1" customHeight="1">
      <c r="A91" s="1"/>
      <c r="B91" s="393" t="s">
        <v>179</v>
      </c>
      <c r="C91" s="361">
        <f>'Quadro DRE Apresentação'!C141+'Quadro DRE Apresentação'!C119+'Quadro DRE Apresentação'!C98+'Quadro DRE Apresentação'!C76+'Quadro DRE Apresentação'!C34+'Quadro DRE Apresentação'!C14</f>
        <v>-271.48231</v>
      </c>
      <c r="D91" s="248">
        <f>'Quadro DRE Apresentação'!D14+'Quadro DRE Apresentação'!D34+'Quadro DRE Apresentação'!D76+'Quadro DRE Apresentação'!D98+'Quadro DRE Apresentação'!D119+'Quadro DRE Apresentação'!D141</f>
        <v>-660.63987</v>
      </c>
      <c r="E91" s="248">
        <f>'Quadro DRE Apresentação'!E14+'Quadro DRE Apresentação'!E34+'Quadro DRE Apresentação'!E76+'Quadro DRE Apresentação'!E98+'Quadro DRE Apresentação'!E119+'Quadro DRE Apresentação'!E141</f>
        <v>-543.60509</v>
      </c>
      <c r="F91" s="244">
        <f t="shared" si="69"/>
        <v>1.002359159</v>
      </c>
      <c r="G91" s="394">
        <f t="shared" si="70"/>
        <v>-0.1771536738</v>
      </c>
      <c r="H91" s="361" t="str">
        <f>'Quadro DRE Apresentação'!H141+'Quadro DRE Apresentação'!H119+'Quadro DRE Apresentação'!H98+'Quadro DRE Apresentação'!H76+'Quadro DRE Apresentação'!H34+'Quadro DRE Apresentação'!H14</f>
        <v>#REF!</v>
      </c>
      <c r="I91" s="248" t="str">
        <f>'Quadro DRE Apresentação'!I141+'Quadro DRE Apresentação'!I119+'Quadro DRE Apresentação'!I98+'Quadro DRE Apresentação'!I76+'Quadro DRE Apresentação'!I34+'Quadro DRE Apresentação'!I14</f>
        <v>#REF!</v>
      </c>
      <c r="J91" s="248" t="str">
        <f>'Quadro DRE Apresentação'!J14+'Quadro DRE Apresentação'!J34+'Quadro DRE Apresentação'!J76+'Quadro DRE Apresentação'!J98+'Quadro DRE Apresentação'!J119+'Quadro DRE Apresentação'!J141</f>
        <v>#REF!</v>
      </c>
      <c r="K91" s="244" t="str">
        <f t="shared" si="71"/>
        <v> </v>
      </c>
      <c r="L91" s="394" t="str">
        <f t="shared" si="72"/>
        <v> </v>
      </c>
      <c r="M91" s="361">
        <f>'Quadro DRE Apresentação'!M141+'Quadro DRE Apresentação'!M119+'Quadro DRE Apresentação'!M98+'Quadro DRE Apresentação'!M76+'Quadro DRE Apresentação'!M34+'Quadro DRE Apresentação'!M14</f>
        <v>-3806.15703</v>
      </c>
      <c r="N91" s="248">
        <f>'Quadro DRE Apresentação'!N141+'Quadro DRE Apresentação'!N119+'Quadro DRE Apresentação'!N98+'Quadro DRE Apresentação'!N76+'Quadro DRE Apresentação'!N34+'Quadro DRE Apresentação'!N14</f>
        <v>-8016.67385</v>
      </c>
      <c r="O91" s="248">
        <f>'Quadro DRE Apresentação'!O141+'Quadro DRE Apresentação'!O119+'Quadro DRE Apresentação'!O98+'Quadro DRE Apresentação'!O76+'Quadro DRE Apresentação'!O34+'Quadro DRE Apresentação'!O14</f>
        <v>-7090.27914</v>
      </c>
      <c r="P91" s="244">
        <f t="shared" si="73"/>
        <v>0.8628446184</v>
      </c>
      <c r="Q91" s="394">
        <f t="shared" si="74"/>
        <v>-0.1155584881</v>
      </c>
      <c r="R91" s="1"/>
      <c r="S91" s="1"/>
      <c r="T91" s="1"/>
      <c r="U91" s="1"/>
      <c r="V91" s="1"/>
      <c r="W91" s="1"/>
      <c r="X91" s="1"/>
      <c r="Y91" s="1"/>
      <c r="Z91" s="1"/>
    </row>
    <row r="92" ht="14.25" hidden="1" customHeight="1">
      <c r="A92" s="1"/>
      <c r="B92" s="393" t="s">
        <v>86</v>
      </c>
      <c r="C92" s="361">
        <f>'Quadro DRE Apresentação'!C142+'Quadro DRE Apresentação'!C120+'Quadro DRE Apresentação'!C101+'Quadro DRE Apresentação'!C77+'Quadro DRE Apresentação'!C37+'Quadro DRE Apresentação'!C17</f>
        <v>5161.66115</v>
      </c>
      <c r="D92" s="248">
        <f>'Quadro DRE Apresentação'!D17+'Quadro DRE Apresentação'!D37+'Quadro DRE Apresentação'!D77+'Quadro DRE Apresentação'!D101+'Quadro DRE Apresentação'!D120+'Quadro DRE Apresentação'!D142</f>
        <v>5589.14893</v>
      </c>
      <c r="E92" s="248">
        <f>'Quadro DRE Apresentação'!E17+'Quadro DRE Apresentação'!E37+'Quadro DRE Apresentação'!E77+'Quadro DRE Apresentação'!E101+'Quadro DRE Apresentação'!E120+'Quadro DRE Apresentação'!E142</f>
        <v>6178.39207</v>
      </c>
      <c r="F92" s="244">
        <f t="shared" si="69"/>
        <v>0.1969774634</v>
      </c>
      <c r="G92" s="394">
        <f t="shared" si="70"/>
        <v>0.1054262728</v>
      </c>
      <c r="H92" s="361" t="str">
        <f>'Quadro DRE Apresentação'!H142+'Quadro DRE Apresentação'!H120+'Quadro DRE Apresentação'!H101+'Quadro DRE Apresentação'!H77+'Quadro DRE Apresentação'!H37+'Quadro DRE Apresentação'!H17</f>
        <v>#REF!</v>
      </c>
      <c r="I92" s="248" t="str">
        <f>'Quadro DRE Apresentação'!I142+'Quadro DRE Apresentação'!I120+'Quadro DRE Apresentação'!I101+'Quadro DRE Apresentação'!I77+'Quadro DRE Apresentação'!I37+'Quadro DRE Apresentação'!I17</f>
        <v>#REF!</v>
      </c>
      <c r="J92" s="248" t="str">
        <f>'Quadro DRE Apresentação'!J17+'Quadro DRE Apresentação'!J37+'Quadro DRE Apresentação'!J77+'Quadro DRE Apresentação'!J101+'Quadro DRE Apresentação'!J120+'Quadro DRE Apresentação'!J142</f>
        <v>#REF!</v>
      </c>
      <c r="K92" s="244" t="str">
        <f t="shared" si="71"/>
        <v> </v>
      </c>
      <c r="L92" s="394" t="str">
        <f t="shared" si="72"/>
        <v> </v>
      </c>
      <c r="M92" s="361">
        <f>'Quadro DRE Apresentação'!M142+'Quadro DRE Apresentação'!M120+'Quadro DRE Apresentação'!M101+'Quadro DRE Apresentação'!M77+'Quadro DRE Apresentação'!M37+'Quadro DRE Apresentação'!M17</f>
        <v>64858.94378</v>
      </c>
      <c r="N92" s="248">
        <f>'Quadro DRE Apresentação'!N142+'Quadro DRE Apresentação'!N120+'Quadro DRE Apresentação'!N101+'Quadro DRE Apresentação'!N77+'Quadro DRE Apresentação'!N37+'Quadro DRE Apresentação'!N17</f>
        <v>67624.4477</v>
      </c>
      <c r="O92" s="248">
        <f>'Quadro DRE Apresentação'!O142+'Quadro DRE Apresentação'!O120+'Quadro DRE Apresentação'!O101+'Quadro DRE Apresentação'!O77+'Quadro DRE Apresentação'!O37+'Quadro DRE Apresentação'!O17</f>
        <v>70970.6786</v>
      </c>
      <c r="P92" s="244">
        <f t="shared" si="73"/>
        <v>0.09423118022</v>
      </c>
      <c r="Q92" s="394">
        <f t="shared" si="74"/>
        <v>0.04948256162</v>
      </c>
      <c r="R92" s="1"/>
      <c r="S92" s="1"/>
      <c r="T92" s="1"/>
      <c r="U92" s="1"/>
      <c r="V92" s="1"/>
      <c r="W92" s="1"/>
      <c r="X92" s="1"/>
      <c r="Y92" s="1"/>
      <c r="Z92" s="1"/>
    </row>
    <row r="93" ht="14.25" hidden="1" customHeight="1">
      <c r="A93" s="1"/>
      <c r="B93" s="393" t="s">
        <v>87</v>
      </c>
      <c r="C93" s="361">
        <f>'Quadro DRE Apresentação'!C143+'Quadro DRE Apresentação'!C121+'Quadro DRE Apresentação'!C102+'Quadro DRE Apresentação'!C78+'Quadro DRE Apresentação'!C38+'Quadro DRE Apresentação'!C18</f>
        <v>-1001.65325</v>
      </c>
      <c r="D93" s="248">
        <f>'Quadro DRE Apresentação'!D18+'Quadro DRE Apresentação'!D38+'Quadro DRE Apresentação'!D78+'Quadro DRE Apresentação'!D102+'Quadro DRE Apresentação'!D121+'Quadro DRE Apresentação'!D143</f>
        <v>-1142.05115</v>
      </c>
      <c r="E93" s="248">
        <f>'Quadro DRE Apresentação'!E18+'Quadro DRE Apresentação'!E38+'Quadro DRE Apresentação'!E78+'Quadro DRE Apresentação'!E102+'Quadro DRE Apresentação'!E121+'Quadro DRE Apresentação'!E143</f>
        <v>-1232.79342</v>
      </c>
      <c r="F93" s="244">
        <f t="shared" si="69"/>
        <v>0.2307586682</v>
      </c>
      <c r="G93" s="394">
        <f t="shared" si="70"/>
        <v>0.07945552176</v>
      </c>
      <c r="H93" s="361">
        <f>'Quadro DRE Apresentação'!H143+'Quadro DRE Apresentação'!H121+'Quadro DRE Apresentação'!H102+'Quadro DRE Apresentação'!H78+'Quadro DRE Apresentação'!H38+'Quadro DRE Apresentação'!H18</f>
        <v>-6760.21068</v>
      </c>
      <c r="I93" s="248" t="str">
        <f>'Quadro DRE Apresentação'!I143+'Quadro DRE Apresentação'!I121+'Quadro DRE Apresentação'!I102+'Quadro DRE Apresentação'!I78+'Quadro DRE Apresentação'!I38+'Quadro DRE Apresentação'!I18</f>
        <v>#REF!</v>
      </c>
      <c r="J93" s="248" t="str">
        <f>'Quadro DRE Apresentação'!J18+'Quadro DRE Apresentação'!J38+'Quadro DRE Apresentação'!J78+'Quadro DRE Apresentação'!J102+'Quadro DRE Apresentação'!J121+'Quadro DRE Apresentação'!J143</f>
        <v>#REF!</v>
      </c>
      <c r="K93" s="244" t="str">
        <f t="shared" si="71"/>
        <v> </v>
      </c>
      <c r="L93" s="394" t="str">
        <f t="shared" si="72"/>
        <v> </v>
      </c>
      <c r="M93" s="361">
        <f>'Quadro DRE Apresentação'!M143+'Quadro DRE Apresentação'!M121+'Quadro DRE Apresentação'!M102+'Quadro DRE Apresentação'!M78+'Quadro DRE Apresentação'!M38+'Quadro DRE Apresentação'!M18</f>
        <v>-12262.05192</v>
      </c>
      <c r="N93" s="248">
        <f>'Quadro DRE Apresentação'!N143+'Quadro DRE Apresentação'!N121+'Quadro DRE Apresentação'!N102+'Quadro DRE Apresentação'!N78+'Quadro DRE Apresentação'!N38+'Quadro DRE Apresentação'!N18</f>
        <v>-13348.3697</v>
      </c>
      <c r="O93" s="248">
        <f>'Quadro DRE Apresentação'!O143+'Quadro DRE Apresentação'!O121+'Quadro DRE Apresentação'!O102+'Quadro DRE Apresentação'!O78+'Quadro DRE Apresentação'!O38+'Quadro DRE Apresentação'!O18</f>
        <v>-13892.48387</v>
      </c>
      <c r="P93" s="244">
        <f t="shared" si="73"/>
        <v>0.1329656701</v>
      </c>
      <c r="Q93" s="394">
        <f t="shared" si="74"/>
        <v>0.04076259365</v>
      </c>
      <c r="R93" s="1"/>
      <c r="S93" s="1"/>
      <c r="T93" s="1"/>
      <c r="U93" s="1"/>
      <c r="V93" s="1"/>
      <c r="W93" s="1"/>
      <c r="X93" s="1"/>
      <c r="Y93" s="1"/>
      <c r="Z93" s="1"/>
    </row>
    <row r="94" ht="14.25" hidden="1" customHeight="1">
      <c r="A94" s="1"/>
      <c r="B94" s="393" t="s">
        <v>89</v>
      </c>
      <c r="C94" s="361">
        <f>'Quadro DRE Apresentação'!C144+'Quadro DRE Apresentação'!C122+'Quadro DRE Apresentação'!C103+'Quadro DRE Apresentação'!C79+'Quadro DRE Apresentação'!C39+'Quadro DRE Apresentação'!C19</f>
        <v>4160.0079</v>
      </c>
      <c r="D94" s="248">
        <f>'Quadro DRE Apresentação'!D19+'Quadro DRE Apresentação'!D39+'Quadro DRE Apresentação'!D79+'Quadro DRE Apresentação'!D103+'Quadro DRE Apresentação'!D122+'Quadro DRE Apresentação'!D144</f>
        <v>4447.09778</v>
      </c>
      <c r="E94" s="248">
        <f>'Quadro DRE Apresentação'!E19+'Quadro DRE Apresentação'!E39+'Quadro DRE Apresentação'!E79+'Quadro DRE Apresentação'!E103+'Quadro DRE Apresentação'!E122+'Quadro DRE Apresentação'!E144</f>
        <v>4945.59865</v>
      </c>
      <c r="F94" s="244">
        <f t="shared" si="69"/>
        <v>0.1888435717</v>
      </c>
      <c r="G94" s="394">
        <f t="shared" si="70"/>
        <v>0.1120957745</v>
      </c>
      <c r="H94" s="361" t="str">
        <f>'Quadro DRE Apresentação'!H144+'Quadro DRE Apresentação'!H122+'Quadro DRE Apresentação'!H103+'Quadro DRE Apresentação'!H79+'Quadro DRE Apresentação'!H39+'Quadro DRE Apresentação'!H19</f>
        <v>#REF!</v>
      </c>
      <c r="I94" s="248" t="str">
        <f>'Quadro DRE Apresentação'!I144+'Quadro DRE Apresentação'!I122+'Quadro DRE Apresentação'!I103+'Quadro DRE Apresentação'!I79+'Quadro DRE Apresentação'!I39+'Quadro DRE Apresentação'!I19</f>
        <v>#REF!</v>
      </c>
      <c r="J94" s="248" t="str">
        <f>'Quadro DRE Apresentação'!J19+'Quadro DRE Apresentação'!J39+'Quadro DRE Apresentação'!J79+'Quadro DRE Apresentação'!J103+'Quadro DRE Apresentação'!J122+'Quadro DRE Apresentação'!J144</f>
        <v>#REF!</v>
      </c>
      <c r="K94" s="244" t="str">
        <f t="shared" si="71"/>
        <v> </v>
      </c>
      <c r="L94" s="394" t="str">
        <f t="shared" si="72"/>
        <v> </v>
      </c>
      <c r="M94" s="361">
        <f>'Quadro DRE Apresentação'!M144+'Quadro DRE Apresentação'!M122+'Quadro DRE Apresentação'!M103+'Quadro DRE Apresentação'!M79+'Quadro DRE Apresentação'!M39+'Quadro DRE Apresentação'!M19</f>
        <v>52596.89186</v>
      </c>
      <c r="N94" s="248">
        <f>'Quadro DRE Apresentação'!N144+'Quadro DRE Apresentação'!N122+'Quadro DRE Apresentação'!N103+'Quadro DRE Apresentação'!N79+'Quadro DRE Apresentação'!N39+'Quadro DRE Apresentação'!N19</f>
        <v>54276.078</v>
      </c>
      <c r="O94" s="248">
        <f>'Quadro DRE Apresentação'!O144+'Quadro DRE Apresentação'!O122+'Quadro DRE Apresentação'!O103+'Quadro DRE Apresentação'!O79+'Quadro DRE Apresentação'!O39+'Quadro DRE Apresentação'!O19</f>
        <v>57078.19473</v>
      </c>
      <c r="P94" s="244">
        <f t="shared" si="73"/>
        <v>0.08520090658</v>
      </c>
      <c r="Q94" s="394">
        <f t="shared" si="74"/>
        <v>0.05162710412</v>
      </c>
      <c r="R94" s="1"/>
      <c r="S94" s="1"/>
      <c r="T94" s="1"/>
      <c r="U94" s="1"/>
      <c r="V94" s="1"/>
      <c r="W94" s="1"/>
      <c r="X94" s="1"/>
      <c r="Y94" s="1"/>
      <c r="Z94" s="1"/>
    </row>
    <row r="95" ht="6.0" hidden="1" customHeight="1">
      <c r="A95" s="1"/>
      <c r="B95" s="393"/>
      <c r="C95" s="404"/>
      <c r="D95" s="3"/>
      <c r="E95" s="3"/>
      <c r="F95" s="1"/>
      <c r="G95" s="405"/>
      <c r="H95" s="404"/>
      <c r="I95" s="3"/>
      <c r="J95" s="3"/>
      <c r="K95" s="1"/>
      <c r="L95" s="405"/>
      <c r="M95" s="404"/>
      <c r="N95" s="3"/>
      <c r="O95" s="3"/>
      <c r="P95" s="1"/>
      <c r="Q95" s="405"/>
      <c r="R95" s="1"/>
      <c r="S95" s="1"/>
      <c r="T95" s="1"/>
      <c r="U95" s="1"/>
      <c r="V95" s="1"/>
      <c r="W95" s="1"/>
      <c r="X95" s="1"/>
      <c r="Y95" s="1"/>
      <c r="Z95" s="1"/>
    </row>
    <row r="96" ht="16.5" hidden="1" customHeight="1">
      <c r="A96" s="1"/>
      <c r="B96" s="783" t="s">
        <v>100</v>
      </c>
      <c r="C96" s="784">
        <f>IFERROR(C88/C84,0)</f>
        <v>0.7544056465</v>
      </c>
      <c r="D96" s="785">
        <f t="shared" ref="D96:E96" si="75">D88/D84</f>
        <v>0.7802942464</v>
      </c>
      <c r="E96" s="785">
        <f t="shared" si="75"/>
        <v>0.7868962729</v>
      </c>
      <c r="F96" s="2"/>
      <c r="G96" s="383"/>
      <c r="H96" s="784">
        <f>IFERROR(H88/H84,0)</f>
        <v>0</v>
      </c>
      <c r="I96" s="785" t="str">
        <f t="shared" ref="I96:J96" si="76">I88/I84</f>
        <v>#REF!</v>
      </c>
      <c r="J96" s="785" t="str">
        <f t="shared" si="76"/>
        <v>#REF!</v>
      </c>
      <c r="K96" s="2"/>
      <c r="L96" s="383"/>
      <c r="M96" s="784">
        <f>IFERROR(M88/M84,0)</f>
        <v>0.7693278675</v>
      </c>
      <c r="N96" s="785">
        <f t="shared" ref="N96:O96" si="77">N88/N84</f>
        <v>0.7967847435</v>
      </c>
      <c r="O96" s="785">
        <f t="shared" si="77"/>
        <v>0.798455816</v>
      </c>
      <c r="P96" s="2"/>
      <c r="Q96" s="383"/>
      <c r="R96" s="1"/>
      <c r="S96" s="1"/>
      <c r="T96" s="1"/>
      <c r="U96" s="1"/>
      <c r="V96" s="1"/>
      <c r="W96" s="1"/>
      <c r="X96" s="1"/>
      <c r="Y96" s="1"/>
      <c r="Z96" s="1"/>
    </row>
    <row r="97" ht="3.0" hidden="1" customHeight="1">
      <c r="A97" s="1"/>
      <c r="B97" s="393"/>
      <c r="C97" s="404"/>
      <c r="D97" s="3"/>
      <c r="E97" s="3"/>
      <c r="F97" s="3"/>
      <c r="G97" s="760"/>
      <c r="H97" s="404"/>
      <c r="I97" s="3"/>
      <c r="J97" s="3"/>
      <c r="K97" s="3"/>
      <c r="L97" s="760"/>
      <c r="M97" s="404"/>
      <c r="N97" s="3"/>
      <c r="O97" s="3"/>
      <c r="P97" s="3"/>
      <c r="Q97" s="760"/>
      <c r="R97" s="1"/>
      <c r="S97" s="1"/>
      <c r="T97" s="1"/>
      <c r="U97" s="1"/>
      <c r="V97" s="1"/>
      <c r="W97" s="1"/>
      <c r="X97" s="1"/>
      <c r="Y97" s="1"/>
      <c r="Z97" s="1"/>
    </row>
    <row r="98" ht="16.5" hidden="1" customHeight="1">
      <c r="A98" s="1"/>
      <c r="B98" s="755" t="s">
        <v>211</v>
      </c>
      <c r="C98" s="756">
        <f>IFERROR(SUM('Quadro DRE Ritmo'!D200,'Quadro DRE Ritmo'!D221)/SUM('Quadro DRE Ritmo'!D220,'Quadro DRE Ritmo'!D199),0)</f>
        <v>0</v>
      </c>
      <c r="D98" s="757">
        <f>IFERROR(SUM('Quadro DRE Ritmo'!F200,'Quadro DRE Ritmo'!F221)/SUM('Quadro DRE Ritmo'!F220,'Quadro DRE Ritmo'!F199),0)</f>
        <v>0</v>
      </c>
      <c r="E98" s="757">
        <f>IFERROR(SUM('Quadro DRE Ritmo'!H200,'Quadro DRE Ritmo'!H221)/SUM('Quadro DRE Ritmo'!H220,'Quadro DRE Ritmo'!H199),0)</f>
        <v>0</v>
      </c>
      <c r="F98" s="758"/>
      <c r="G98" s="759"/>
      <c r="H98" s="756">
        <f>IFERROR(SUM('Quadro DRE Ritmo'!N196,'Quadro DRE Ritmo'!N216)/SUM('Quadro DRE Ritmo'!N215,'Quadro DRE Ritmo'!N195),0)</f>
        <v>0</v>
      </c>
      <c r="I98" s="757">
        <f>IFERROR(SUM('Quadro DRE Ritmo'!P196,'Quadro DRE Ritmo'!P216)/SUM('Quadro DRE Ritmo'!P215,'Quadro DRE Ritmo'!P195),0)</f>
        <v>0</v>
      </c>
      <c r="J98" s="757">
        <f>IFERROR(SUM('Quadro DRE Ritmo'!R196,'Quadro DRE Ritmo'!R216)/SUM('Quadro DRE Ritmo'!R215,'Quadro DRE Ritmo'!R195),0)</f>
        <v>0</v>
      </c>
      <c r="K98" s="758"/>
      <c r="L98" s="759"/>
      <c r="M98" s="756">
        <f>IFERROR(SUM('Quadro DRE Ritmo'!X196,'Quadro DRE Ritmo'!X216)/SUM('Quadro DRE Ritmo'!X215,'Quadro DRE Ritmo'!X195),0)</f>
        <v>0</v>
      </c>
      <c r="N98" s="757">
        <f>IFERROR(SUM('Quadro DRE Ritmo'!Z196,'Quadro DRE Ritmo'!Z216)/SUM('Quadro DRE Ritmo'!Z215,'Quadro DRE Ritmo'!Z195),0)</f>
        <v>0</v>
      </c>
      <c r="O98" s="757">
        <f>IFERROR(SUM('Quadro DRE Ritmo'!AB196,'Quadro DRE Ritmo'!AB216)/SUM('Quadro DRE Ritmo'!AB215,'Quadro DRE Ritmo'!AB195),0)</f>
        <v>0</v>
      </c>
      <c r="P98" s="758"/>
      <c r="Q98" s="759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516"/>
      <c r="B99" s="516"/>
      <c r="C99" s="786"/>
      <c r="D99" s="786"/>
      <c r="E99" s="786"/>
      <c r="F99" s="516"/>
      <c r="G99" s="516"/>
      <c r="H99" s="516"/>
      <c r="I99" s="516"/>
      <c r="J99" s="516"/>
      <c r="K99" s="516"/>
      <c r="L99" s="516"/>
      <c r="M99" s="516"/>
      <c r="N99" s="516"/>
      <c r="O99" s="516"/>
      <c r="P99" s="516"/>
      <c r="Q99" s="516"/>
      <c r="R99" s="516"/>
      <c r="S99" s="516"/>
      <c r="T99" s="516"/>
      <c r="U99" s="516"/>
      <c r="V99" s="516"/>
      <c r="W99" s="516"/>
      <c r="X99" s="516"/>
      <c r="Y99" s="516"/>
      <c r="Z99" s="516"/>
    </row>
    <row r="100" ht="14.25" customHeight="1">
      <c r="A100" s="516"/>
      <c r="B100" s="516"/>
      <c r="C100" s="787"/>
      <c r="D100" s="787"/>
      <c r="E100" s="787"/>
      <c r="F100" s="788" t="s">
        <v>283</v>
      </c>
      <c r="G100" s="789"/>
      <c r="H100" s="790"/>
      <c r="I100" s="791"/>
      <c r="J100" s="791"/>
      <c r="K100" s="516"/>
      <c r="L100" s="516"/>
      <c r="M100" s="791"/>
      <c r="N100" s="791"/>
      <c r="O100" s="791"/>
      <c r="P100" s="516"/>
      <c r="Q100" s="516"/>
      <c r="R100" s="516"/>
      <c r="S100" s="516"/>
      <c r="T100" s="516"/>
      <c r="U100" s="516"/>
      <c r="V100" s="516"/>
      <c r="W100" s="516"/>
      <c r="X100" s="516"/>
      <c r="Y100" s="516"/>
      <c r="Z100" s="516"/>
    </row>
    <row r="101" ht="14.25" customHeight="1">
      <c r="A101" s="516"/>
      <c r="B101" s="792"/>
      <c r="C101" s="787"/>
      <c r="D101" s="787"/>
      <c r="E101" s="787"/>
      <c r="F101" s="516"/>
      <c r="G101" s="516"/>
      <c r="H101" s="791"/>
      <c r="I101" s="791"/>
      <c r="J101" s="791"/>
      <c r="K101" s="516"/>
      <c r="L101" s="516"/>
      <c r="M101" s="791"/>
      <c r="N101" s="791"/>
      <c r="O101" s="791"/>
      <c r="P101" s="516"/>
      <c r="Q101" s="516"/>
      <c r="R101" s="516"/>
      <c r="S101" s="516"/>
      <c r="T101" s="516"/>
      <c r="U101" s="516"/>
      <c r="V101" s="516"/>
      <c r="W101" s="516"/>
      <c r="X101" s="516"/>
      <c r="Y101" s="516"/>
      <c r="Z101" s="516"/>
    </row>
    <row r="102" ht="14.25" customHeight="1">
      <c r="A102" s="516"/>
      <c r="B102" s="516"/>
      <c r="C102" s="787"/>
      <c r="D102" s="787"/>
      <c r="E102" s="787"/>
      <c r="F102" s="516"/>
      <c r="G102" s="793"/>
      <c r="H102" s="794"/>
      <c r="I102" s="791"/>
      <c r="J102" s="791"/>
      <c r="K102" s="516"/>
      <c r="L102" s="516"/>
      <c r="M102" s="794"/>
      <c r="N102" s="791"/>
      <c r="O102" s="791"/>
      <c r="P102" s="516"/>
      <c r="Q102" s="516"/>
      <c r="R102" s="516"/>
      <c r="S102" s="516"/>
      <c r="T102" s="516"/>
      <c r="U102" s="516"/>
      <c r="V102" s="516"/>
      <c r="W102" s="516"/>
      <c r="X102" s="516"/>
      <c r="Y102" s="516"/>
      <c r="Z102" s="516"/>
    </row>
    <row r="103" ht="14.25" customHeight="1">
      <c r="A103" s="516"/>
      <c r="B103" s="516"/>
      <c r="C103" s="787"/>
      <c r="D103" s="787"/>
      <c r="E103" s="787"/>
      <c r="F103" s="516"/>
      <c r="G103" s="516"/>
      <c r="H103" s="791"/>
      <c r="I103" s="791"/>
      <c r="J103" s="791"/>
      <c r="K103" s="516"/>
      <c r="L103" s="516"/>
      <c r="M103" s="791"/>
      <c r="N103" s="791"/>
      <c r="O103" s="791"/>
      <c r="P103" s="516"/>
      <c r="Q103" s="516"/>
      <c r="R103" s="516"/>
      <c r="S103" s="516"/>
      <c r="T103" s="516"/>
      <c r="U103" s="516"/>
      <c r="V103" s="516"/>
      <c r="W103" s="516"/>
      <c r="X103" s="516"/>
      <c r="Y103" s="516"/>
      <c r="Z103" s="516"/>
    </row>
    <row r="104" ht="14.25" customHeight="1">
      <c r="A104" s="516"/>
      <c r="B104" s="516"/>
      <c r="C104" s="787"/>
      <c r="D104" s="787"/>
      <c r="E104" s="787"/>
      <c r="F104" s="516"/>
      <c r="G104" s="516"/>
      <c r="H104" s="791"/>
      <c r="I104" s="791"/>
      <c r="J104" s="791"/>
      <c r="K104" s="516"/>
      <c r="L104" s="516"/>
      <c r="M104" s="791"/>
      <c r="N104" s="791"/>
      <c r="O104" s="791"/>
      <c r="P104" s="516"/>
      <c r="Q104" s="516"/>
      <c r="R104" s="516"/>
      <c r="S104" s="516"/>
      <c r="T104" s="516"/>
      <c r="U104" s="516"/>
      <c r="V104" s="516"/>
      <c r="W104" s="516"/>
      <c r="X104" s="516"/>
      <c r="Y104" s="516"/>
      <c r="Z104" s="516"/>
    </row>
    <row r="105" ht="14.25" customHeight="1">
      <c r="A105" s="516"/>
      <c r="B105" s="516"/>
      <c r="C105" s="517"/>
      <c r="D105" s="517"/>
      <c r="E105" s="517"/>
      <c r="F105" s="516"/>
      <c r="G105" s="516"/>
      <c r="H105" s="516"/>
      <c r="I105" s="516"/>
      <c r="J105" s="516"/>
      <c r="K105" s="516"/>
      <c r="L105" s="516"/>
      <c r="M105" s="516"/>
      <c r="N105" s="516"/>
      <c r="O105" s="516"/>
      <c r="P105" s="516"/>
      <c r="Q105" s="516"/>
      <c r="R105" s="516"/>
      <c r="S105" s="516"/>
      <c r="T105" s="516"/>
      <c r="U105" s="516"/>
      <c r="V105" s="516"/>
      <c r="W105" s="516"/>
      <c r="X105" s="516"/>
      <c r="Y105" s="516"/>
      <c r="Z105" s="516"/>
    </row>
    <row r="106" ht="14.25" customHeight="1">
      <c r="A106" s="516"/>
      <c r="B106" s="516"/>
      <c r="C106" s="517"/>
      <c r="D106" s="517"/>
      <c r="E106" s="517"/>
      <c r="F106" s="516"/>
      <c r="G106" s="516"/>
      <c r="H106" s="516"/>
      <c r="I106" s="516"/>
      <c r="J106" s="516"/>
      <c r="K106" s="516"/>
      <c r="L106" s="516"/>
      <c r="M106" s="516"/>
      <c r="N106" s="516"/>
      <c r="O106" s="516"/>
      <c r="P106" s="516"/>
      <c r="Q106" s="516"/>
      <c r="R106" s="516"/>
      <c r="S106" s="516"/>
      <c r="T106" s="516"/>
      <c r="U106" s="516"/>
      <c r="V106" s="516"/>
      <c r="W106" s="516"/>
      <c r="X106" s="516"/>
      <c r="Y106" s="516"/>
      <c r="Z106" s="516"/>
    </row>
    <row r="107" ht="14.25" customHeight="1">
      <c r="A107" s="516"/>
      <c r="B107" s="516"/>
      <c r="C107" s="517"/>
      <c r="D107" s="517"/>
      <c r="E107" s="517"/>
      <c r="F107" s="516"/>
      <c r="G107" s="516"/>
      <c r="H107" s="516"/>
      <c r="I107" s="516"/>
      <c r="J107" s="516"/>
      <c r="K107" s="516"/>
      <c r="L107" s="516"/>
      <c r="M107" s="516"/>
      <c r="N107" s="516"/>
      <c r="O107" s="516"/>
      <c r="P107" s="516"/>
      <c r="Q107" s="516"/>
      <c r="R107" s="516"/>
      <c r="S107" s="516"/>
      <c r="T107" s="516"/>
      <c r="U107" s="516"/>
      <c r="V107" s="516"/>
      <c r="W107" s="516"/>
      <c r="X107" s="516"/>
      <c r="Y107" s="516"/>
      <c r="Z107" s="516"/>
    </row>
    <row r="108" ht="14.25" customHeight="1">
      <c r="A108" s="516"/>
      <c r="B108" s="516"/>
      <c r="C108" s="517"/>
      <c r="D108" s="517"/>
      <c r="E108" s="517"/>
      <c r="F108" s="516"/>
      <c r="G108" s="516"/>
      <c r="H108" s="516"/>
      <c r="I108" s="516"/>
      <c r="J108" s="516"/>
      <c r="K108" s="516"/>
      <c r="L108" s="516"/>
      <c r="M108" s="516"/>
      <c r="N108" s="516"/>
      <c r="O108" s="516"/>
      <c r="P108" s="516"/>
      <c r="Q108" s="516"/>
      <c r="R108" s="516"/>
      <c r="S108" s="516"/>
      <c r="T108" s="516"/>
      <c r="U108" s="516"/>
      <c r="V108" s="516"/>
      <c r="W108" s="516"/>
      <c r="X108" s="516"/>
      <c r="Y108" s="516"/>
      <c r="Z108" s="516"/>
    </row>
    <row r="109" ht="14.25" customHeight="1">
      <c r="A109" s="516"/>
      <c r="B109" s="516"/>
      <c r="C109" s="517"/>
      <c r="D109" s="517"/>
      <c r="E109" s="517"/>
      <c r="F109" s="516"/>
      <c r="G109" s="516"/>
      <c r="H109" s="516"/>
      <c r="I109" s="516"/>
      <c r="J109" s="516"/>
      <c r="K109" s="516"/>
      <c r="L109" s="516"/>
      <c r="M109" s="516"/>
      <c r="N109" s="516"/>
      <c r="O109" s="516"/>
      <c r="P109" s="516"/>
      <c r="Q109" s="516"/>
      <c r="R109" s="516"/>
      <c r="S109" s="516"/>
      <c r="T109" s="516"/>
      <c r="U109" s="516"/>
      <c r="V109" s="516"/>
      <c r="W109" s="516"/>
      <c r="X109" s="516"/>
      <c r="Y109" s="516"/>
      <c r="Z109" s="516"/>
    </row>
    <row r="110" ht="14.25" customHeight="1">
      <c r="A110" s="516"/>
      <c r="B110" s="516"/>
      <c r="C110" s="517"/>
      <c r="D110" s="517"/>
      <c r="E110" s="517"/>
      <c r="F110" s="516"/>
      <c r="G110" s="516"/>
      <c r="H110" s="516"/>
      <c r="I110" s="516"/>
      <c r="J110" s="516"/>
      <c r="K110" s="516"/>
      <c r="L110" s="516"/>
      <c r="M110" s="516"/>
      <c r="N110" s="516"/>
      <c r="O110" s="516"/>
      <c r="P110" s="516"/>
      <c r="Q110" s="516"/>
      <c r="R110" s="516"/>
      <c r="S110" s="516"/>
      <c r="T110" s="516"/>
      <c r="U110" s="516"/>
      <c r="V110" s="516"/>
      <c r="W110" s="516"/>
      <c r="X110" s="516"/>
      <c r="Y110" s="516"/>
      <c r="Z110" s="516"/>
    </row>
    <row r="111" ht="14.25" customHeight="1">
      <c r="A111" s="516"/>
      <c r="B111" s="516"/>
      <c r="C111" s="517"/>
      <c r="D111" s="517"/>
      <c r="E111" s="517"/>
      <c r="F111" s="516"/>
      <c r="G111" s="516"/>
      <c r="H111" s="516"/>
      <c r="I111" s="516"/>
      <c r="J111" s="516"/>
      <c r="K111" s="516"/>
      <c r="L111" s="516"/>
      <c r="M111" s="516"/>
      <c r="N111" s="516"/>
      <c r="O111" s="516"/>
      <c r="P111" s="516"/>
      <c r="Q111" s="516"/>
      <c r="R111" s="516"/>
      <c r="S111" s="516"/>
      <c r="T111" s="516"/>
      <c r="U111" s="516"/>
      <c r="V111" s="516"/>
      <c r="W111" s="516"/>
      <c r="X111" s="516"/>
      <c r="Y111" s="516"/>
      <c r="Z111" s="516"/>
    </row>
    <row r="112" ht="14.25" customHeight="1">
      <c r="A112" s="516"/>
      <c r="B112" s="516"/>
      <c r="C112" s="517"/>
      <c r="D112" s="517"/>
      <c r="E112" s="517"/>
      <c r="F112" s="516"/>
      <c r="G112" s="516"/>
      <c r="H112" s="516"/>
      <c r="I112" s="516"/>
      <c r="J112" s="516"/>
      <c r="K112" s="516"/>
      <c r="L112" s="516"/>
      <c r="M112" s="516"/>
      <c r="N112" s="516"/>
      <c r="O112" s="516"/>
      <c r="P112" s="516"/>
      <c r="Q112" s="516"/>
      <c r="R112" s="516"/>
      <c r="S112" s="516"/>
      <c r="T112" s="516"/>
      <c r="U112" s="516"/>
      <c r="V112" s="516"/>
      <c r="W112" s="516"/>
      <c r="X112" s="516"/>
      <c r="Y112" s="516"/>
      <c r="Z112" s="516"/>
    </row>
    <row r="113" ht="14.25" customHeight="1">
      <c r="A113" s="516"/>
      <c r="B113" s="516"/>
      <c r="C113" s="517"/>
      <c r="D113" s="517"/>
      <c r="E113" s="517"/>
      <c r="F113" s="516"/>
      <c r="G113" s="516"/>
      <c r="H113" s="516"/>
      <c r="I113" s="516"/>
      <c r="J113" s="516"/>
      <c r="K113" s="516"/>
      <c r="L113" s="516"/>
      <c r="M113" s="516"/>
      <c r="N113" s="516"/>
      <c r="O113" s="516"/>
      <c r="P113" s="516"/>
      <c r="Q113" s="516"/>
      <c r="R113" s="516"/>
      <c r="S113" s="516"/>
      <c r="T113" s="516"/>
      <c r="U113" s="516"/>
      <c r="V113" s="516"/>
      <c r="W113" s="516"/>
      <c r="X113" s="516"/>
      <c r="Y113" s="516"/>
      <c r="Z113" s="516"/>
    </row>
    <row r="114" ht="14.25" customHeight="1">
      <c r="A114" s="516"/>
      <c r="B114" s="516"/>
      <c r="C114" s="517"/>
      <c r="D114" s="517"/>
      <c r="E114" s="517"/>
      <c r="F114" s="516"/>
      <c r="G114" s="516"/>
      <c r="H114" s="516"/>
      <c r="I114" s="516"/>
      <c r="J114" s="516"/>
      <c r="K114" s="516"/>
      <c r="L114" s="516"/>
      <c r="M114" s="516"/>
      <c r="N114" s="516"/>
      <c r="O114" s="516"/>
      <c r="P114" s="516"/>
      <c r="Q114" s="516"/>
      <c r="R114" s="516"/>
      <c r="S114" s="516"/>
      <c r="T114" s="516"/>
      <c r="U114" s="516"/>
      <c r="V114" s="516"/>
      <c r="W114" s="516"/>
      <c r="X114" s="516"/>
      <c r="Y114" s="516"/>
      <c r="Z114" s="516"/>
    </row>
    <row r="115" ht="14.25" customHeight="1">
      <c r="A115" s="516"/>
      <c r="B115" s="516"/>
      <c r="C115" s="517"/>
      <c r="D115" s="517"/>
      <c r="E115" s="517"/>
      <c r="F115" s="516"/>
      <c r="G115" s="516"/>
      <c r="H115" s="516"/>
      <c r="I115" s="516"/>
      <c r="J115" s="516"/>
      <c r="K115" s="516"/>
      <c r="L115" s="516"/>
      <c r="M115" s="516"/>
      <c r="N115" s="516"/>
      <c r="O115" s="516"/>
      <c r="P115" s="516"/>
      <c r="Q115" s="516"/>
      <c r="R115" s="516"/>
      <c r="S115" s="516"/>
      <c r="T115" s="516"/>
      <c r="U115" s="516"/>
      <c r="V115" s="516"/>
      <c r="W115" s="516"/>
      <c r="X115" s="516"/>
      <c r="Y115" s="516"/>
      <c r="Z115" s="516"/>
    </row>
    <row r="116" ht="14.25" customHeight="1">
      <c r="A116" s="516"/>
      <c r="B116" s="516"/>
      <c r="C116" s="517"/>
      <c r="D116" s="517"/>
      <c r="E116" s="517"/>
      <c r="F116" s="516"/>
      <c r="G116" s="516"/>
      <c r="H116" s="516"/>
      <c r="I116" s="516"/>
      <c r="J116" s="516"/>
      <c r="K116" s="516"/>
      <c r="L116" s="516"/>
      <c r="M116" s="516"/>
      <c r="N116" s="516"/>
      <c r="O116" s="516"/>
      <c r="P116" s="516"/>
      <c r="Q116" s="516"/>
      <c r="R116" s="516"/>
      <c r="S116" s="516"/>
      <c r="T116" s="516"/>
      <c r="U116" s="516"/>
      <c r="V116" s="516"/>
      <c r="W116" s="516"/>
      <c r="X116" s="516"/>
      <c r="Y116" s="516"/>
      <c r="Z116" s="516"/>
    </row>
    <row r="117" ht="14.25" customHeight="1">
      <c r="A117" s="516"/>
      <c r="B117" s="516"/>
      <c r="C117" s="517"/>
      <c r="D117" s="517"/>
      <c r="E117" s="517"/>
      <c r="F117" s="516"/>
      <c r="G117" s="516"/>
      <c r="H117" s="516"/>
      <c r="I117" s="516"/>
      <c r="J117" s="516"/>
      <c r="K117" s="516"/>
      <c r="L117" s="516"/>
      <c r="M117" s="516"/>
      <c r="N117" s="516"/>
      <c r="O117" s="516"/>
      <c r="P117" s="516"/>
      <c r="Q117" s="516"/>
      <c r="R117" s="516"/>
      <c r="S117" s="516"/>
      <c r="T117" s="516"/>
      <c r="U117" s="516"/>
      <c r="V117" s="516"/>
      <c r="W117" s="516"/>
      <c r="X117" s="516"/>
      <c r="Y117" s="516"/>
      <c r="Z117" s="516"/>
    </row>
    <row r="118" ht="14.25" customHeight="1">
      <c r="A118" s="516"/>
      <c r="B118" s="516"/>
      <c r="C118" s="517"/>
      <c r="D118" s="517"/>
      <c r="E118" s="517"/>
      <c r="F118" s="516"/>
      <c r="G118" s="516"/>
      <c r="H118" s="516"/>
      <c r="I118" s="516"/>
      <c r="J118" s="516"/>
      <c r="K118" s="516"/>
      <c r="L118" s="516"/>
      <c r="M118" s="516"/>
      <c r="N118" s="516"/>
      <c r="O118" s="516"/>
      <c r="P118" s="516"/>
      <c r="Q118" s="516"/>
      <c r="R118" s="516"/>
      <c r="S118" s="516"/>
      <c r="T118" s="516"/>
      <c r="U118" s="516"/>
      <c r="V118" s="516"/>
      <c r="W118" s="516"/>
      <c r="X118" s="516"/>
      <c r="Y118" s="516"/>
      <c r="Z118" s="516"/>
    </row>
    <row r="119" ht="14.25" customHeight="1">
      <c r="A119" s="516"/>
      <c r="B119" s="516"/>
      <c r="C119" s="517"/>
      <c r="D119" s="517"/>
      <c r="E119" s="517"/>
      <c r="F119" s="516"/>
      <c r="G119" s="516"/>
      <c r="H119" s="516"/>
      <c r="I119" s="516"/>
      <c r="J119" s="516"/>
      <c r="K119" s="516"/>
      <c r="L119" s="516"/>
      <c r="M119" s="516"/>
      <c r="N119" s="516"/>
      <c r="O119" s="516"/>
      <c r="P119" s="516"/>
      <c r="Q119" s="516"/>
      <c r="R119" s="516"/>
      <c r="S119" s="516"/>
      <c r="T119" s="516"/>
      <c r="U119" s="516"/>
      <c r="V119" s="516"/>
      <c r="W119" s="516"/>
      <c r="X119" s="516"/>
      <c r="Y119" s="516"/>
      <c r="Z119" s="516"/>
    </row>
    <row r="120" ht="14.25" customHeight="1">
      <c r="A120" s="516"/>
      <c r="B120" s="516"/>
      <c r="C120" s="517"/>
      <c r="D120" s="517"/>
      <c r="E120" s="517"/>
      <c r="F120" s="516"/>
      <c r="G120" s="516"/>
      <c r="H120" s="516"/>
      <c r="I120" s="516"/>
      <c r="J120" s="516"/>
      <c r="K120" s="516"/>
      <c r="L120" s="516"/>
      <c r="M120" s="516"/>
      <c r="N120" s="516"/>
      <c r="O120" s="516"/>
      <c r="P120" s="516"/>
      <c r="Q120" s="516"/>
      <c r="R120" s="516"/>
      <c r="S120" s="516"/>
      <c r="T120" s="516"/>
      <c r="U120" s="516"/>
      <c r="V120" s="516"/>
      <c r="W120" s="516"/>
      <c r="X120" s="516"/>
      <c r="Y120" s="516"/>
      <c r="Z120" s="516"/>
    </row>
    <row r="121" ht="14.25" customHeight="1">
      <c r="A121" s="516"/>
      <c r="B121" s="516"/>
      <c r="C121" s="517"/>
      <c r="D121" s="517"/>
      <c r="E121" s="517"/>
      <c r="F121" s="516"/>
      <c r="G121" s="516"/>
      <c r="H121" s="516"/>
      <c r="I121" s="516"/>
      <c r="J121" s="516"/>
      <c r="K121" s="516"/>
      <c r="L121" s="516"/>
      <c r="M121" s="516"/>
      <c r="N121" s="516"/>
      <c r="O121" s="516"/>
      <c r="P121" s="516"/>
      <c r="Q121" s="516"/>
      <c r="R121" s="516"/>
      <c r="S121" s="516"/>
      <c r="T121" s="516"/>
      <c r="U121" s="516"/>
      <c r="V121" s="516"/>
      <c r="W121" s="516"/>
      <c r="X121" s="516"/>
      <c r="Y121" s="516"/>
      <c r="Z121" s="516"/>
    </row>
    <row r="122" ht="14.25" customHeight="1">
      <c r="A122" s="516"/>
      <c r="B122" s="516"/>
      <c r="C122" s="517"/>
      <c r="D122" s="517"/>
      <c r="E122" s="517"/>
      <c r="F122" s="516"/>
      <c r="G122" s="516"/>
      <c r="H122" s="516"/>
      <c r="I122" s="516"/>
      <c r="J122" s="516"/>
      <c r="K122" s="516"/>
      <c r="L122" s="516"/>
      <c r="M122" s="516"/>
      <c r="N122" s="516"/>
      <c r="O122" s="516"/>
      <c r="P122" s="516"/>
      <c r="Q122" s="516"/>
      <c r="R122" s="516"/>
      <c r="S122" s="516"/>
      <c r="T122" s="516"/>
      <c r="U122" s="516"/>
      <c r="V122" s="516"/>
      <c r="W122" s="516"/>
      <c r="X122" s="516"/>
      <c r="Y122" s="516"/>
      <c r="Z122" s="516"/>
    </row>
    <row r="123" ht="14.25" customHeight="1">
      <c r="A123" s="516"/>
      <c r="B123" s="516"/>
      <c r="C123" s="517"/>
      <c r="D123" s="517"/>
      <c r="E123" s="517"/>
      <c r="F123" s="516"/>
      <c r="G123" s="516"/>
      <c r="H123" s="516"/>
      <c r="I123" s="516"/>
      <c r="J123" s="516"/>
      <c r="K123" s="516"/>
      <c r="L123" s="516"/>
      <c r="M123" s="516"/>
      <c r="N123" s="516"/>
      <c r="O123" s="516"/>
      <c r="P123" s="516"/>
      <c r="Q123" s="516"/>
      <c r="R123" s="516"/>
      <c r="S123" s="516"/>
      <c r="T123" s="516"/>
      <c r="U123" s="516"/>
      <c r="V123" s="516"/>
      <c r="W123" s="516"/>
      <c r="X123" s="516"/>
      <c r="Y123" s="516"/>
      <c r="Z123" s="516"/>
    </row>
    <row r="124" ht="14.25" customHeight="1">
      <c r="A124" s="516"/>
      <c r="B124" s="516"/>
      <c r="C124" s="517"/>
      <c r="D124" s="517"/>
      <c r="E124" s="517"/>
      <c r="F124" s="516"/>
      <c r="G124" s="516"/>
      <c r="H124" s="516"/>
      <c r="I124" s="516"/>
      <c r="J124" s="516"/>
      <c r="K124" s="516"/>
      <c r="L124" s="516"/>
      <c r="M124" s="516"/>
      <c r="N124" s="516"/>
      <c r="O124" s="516"/>
      <c r="P124" s="516"/>
      <c r="Q124" s="516"/>
      <c r="R124" s="516"/>
      <c r="S124" s="516"/>
      <c r="T124" s="516"/>
      <c r="U124" s="516"/>
      <c r="V124" s="516"/>
      <c r="W124" s="516"/>
      <c r="X124" s="516"/>
      <c r="Y124" s="516"/>
      <c r="Z124" s="516"/>
    </row>
    <row r="125" ht="14.25" customHeight="1">
      <c r="A125" s="516"/>
      <c r="B125" s="516"/>
      <c r="C125" s="517"/>
      <c r="D125" s="517"/>
      <c r="E125" s="517"/>
      <c r="F125" s="516"/>
      <c r="G125" s="516"/>
      <c r="H125" s="516"/>
      <c r="I125" s="516"/>
      <c r="J125" s="516"/>
      <c r="K125" s="516"/>
      <c r="L125" s="516"/>
      <c r="M125" s="516"/>
      <c r="N125" s="516"/>
      <c r="O125" s="516"/>
      <c r="P125" s="516"/>
      <c r="Q125" s="516"/>
      <c r="R125" s="516"/>
      <c r="S125" s="516"/>
      <c r="T125" s="516"/>
      <c r="U125" s="516"/>
      <c r="V125" s="516"/>
      <c r="W125" s="516"/>
      <c r="X125" s="516"/>
      <c r="Y125" s="516"/>
      <c r="Z125" s="516"/>
    </row>
    <row r="126" ht="14.25" customHeight="1">
      <c r="A126" s="516"/>
      <c r="B126" s="516"/>
      <c r="C126" s="517"/>
      <c r="D126" s="517"/>
      <c r="E126" s="517"/>
      <c r="F126" s="516"/>
      <c r="G126" s="516"/>
      <c r="H126" s="516"/>
      <c r="I126" s="516"/>
      <c r="J126" s="516"/>
      <c r="K126" s="516"/>
      <c r="L126" s="516"/>
      <c r="M126" s="516"/>
      <c r="N126" s="516"/>
      <c r="O126" s="516"/>
      <c r="P126" s="516"/>
      <c r="Q126" s="516"/>
      <c r="R126" s="516"/>
      <c r="S126" s="516"/>
      <c r="T126" s="516"/>
      <c r="U126" s="516"/>
      <c r="V126" s="516"/>
      <c r="W126" s="516"/>
      <c r="X126" s="516"/>
      <c r="Y126" s="516"/>
      <c r="Z126" s="516"/>
    </row>
    <row r="127" ht="14.25" customHeight="1">
      <c r="A127" s="516"/>
      <c r="B127" s="516"/>
      <c r="C127" s="517"/>
      <c r="D127" s="517"/>
      <c r="E127" s="517"/>
      <c r="F127" s="516"/>
      <c r="G127" s="516"/>
      <c r="H127" s="516"/>
      <c r="I127" s="516"/>
      <c r="J127" s="516"/>
      <c r="K127" s="516"/>
      <c r="L127" s="516"/>
      <c r="M127" s="516"/>
      <c r="N127" s="516"/>
      <c r="O127" s="516"/>
      <c r="P127" s="516"/>
      <c r="Q127" s="516"/>
      <c r="R127" s="516"/>
      <c r="S127" s="516"/>
      <c r="T127" s="516"/>
      <c r="U127" s="516"/>
      <c r="V127" s="516"/>
      <c r="W127" s="516"/>
      <c r="X127" s="516"/>
      <c r="Y127" s="516"/>
      <c r="Z127" s="516"/>
    </row>
    <row r="128" ht="14.25" customHeight="1">
      <c r="A128" s="516"/>
      <c r="B128" s="516"/>
      <c r="C128" s="517"/>
      <c r="D128" s="517"/>
      <c r="E128" s="517"/>
      <c r="F128" s="516"/>
      <c r="G128" s="516"/>
      <c r="H128" s="516"/>
      <c r="I128" s="516"/>
      <c r="J128" s="516"/>
      <c r="K128" s="516"/>
      <c r="L128" s="516"/>
      <c r="M128" s="516"/>
      <c r="N128" s="516"/>
      <c r="O128" s="516"/>
      <c r="P128" s="516"/>
      <c r="Q128" s="516"/>
      <c r="R128" s="516"/>
      <c r="S128" s="516"/>
      <c r="T128" s="516"/>
      <c r="U128" s="516"/>
      <c r="V128" s="516"/>
      <c r="W128" s="516"/>
      <c r="X128" s="516"/>
      <c r="Y128" s="516"/>
      <c r="Z128" s="516"/>
    </row>
    <row r="129" ht="14.25" customHeight="1">
      <c r="A129" s="516"/>
      <c r="B129" s="516"/>
      <c r="C129" s="517"/>
      <c r="D129" s="517"/>
      <c r="E129" s="517"/>
      <c r="F129" s="516"/>
      <c r="G129" s="516"/>
      <c r="H129" s="516"/>
      <c r="I129" s="516"/>
      <c r="J129" s="516"/>
      <c r="K129" s="516"/>
      <c r="L129" s="516"/>
      <c r="M129" s="516"/>
      <c r="N129" s="516"/>
      <c r="O129" s="516"/>
      <c r="P129" s="516"/>
      <c r="Q129" s="516"/>
      <c r="R129" s="516"/>
      <c r="S129" s="516"/>
      <c r="T129" s="516"/>
      <c r="U129" s="516"/>
      <c r="V129" s="516"/>
      <c r="W129" s="516"/>
      <c r="X129" s="516"/>
      <c r="Y129" s="516"/>
      <c r="Z129" s="516"/>
    </row>
    <row r="130" ht="14.25" customHeight="1">
      <c r="A130" s="516"/>
      <c r="B130" s="516"/>
      <c r="C130" s="517"/>
      <c r="D130" s="517"/>
      <c r="E130" s="517"/>
      <c r="F130" s="516"/>
      <c r="G130" s="516"/>
      <c r="H130" s="516"/>
      <c r="I130" s="516"/>
      <c r="J130" s="516"/>
      <c r="K130" s="516"/>
      <c r="L130" s="516"/>
      <c r="M130" s="516"/>
      <c r="N130" s="516"/>
      <c r="O130" s="516"/>
      <c r="P130" s="516"/>
      <c r="Q130" s="516"/>
      <c r="R130" s="516"/>
      <c r="S130" s="516"/>
      <c r="T130" s="516"/>
      <c r="U130" s="516"/>
      <c r="V130" s="516"/>
      <c r="W130" s="516"/>
      <c r="X130" s="516"/>
      <c r="Y130" s="516"/>
      <c r="Z130" s="516"/>
    </row>
    <row r="131" ht="14.25" customHeight="1">
      <c r="A131" s="516"/>
      <c r="B131" s="516"/>
      <c r="C131" s="517"/>
      <c r="D131" s="517"/>
      <c r="E131" s="517"/>
      <c r="F131" s="516"/>
      <c r="G131" s="516"/>
      <c r="H131" s="516"/>
      <c r="I131" s="516"/>
      <c r="J131" s="516"/>
      <c r="K131" s="516"/>
      <c r="L131" s="516"/>
      <c r="M131" s="516"/>
      <c r="N131" s="516"/>
      <c r="O131" s="516"/>
      <c r="P131" s="516"/>
      <c r="Q131" s="516"/>
      <c r="R131" s="516"/>
      <c r="S131" s="516"/>
      <c r="T131" s="516"/>
      <c r="U131" s="516"/>
      <c r="V131" s="516"/>
      <c r="W131" s="516"/>
      <c r="X131" s="516"/>
      <c r="Y131" s="516"/>
      <c r="Z131" s="516"/>
    </row>
    <row r="132" ht="14.25" customHeight="1">
      <c r="A132" s="516"/>
      <c r="B132" s="516"/>
      <c r="C132" s="517"/>
      <c r="D132" s="517"/>
      <c r="E132" s="517"/>
      <c r="F132" s="516"/>
      <c r="G132" s="516"/>
      <c r="H132" s="516"/>
      <c r="I132" s="516"/>
      <c r="J132" s="516"/>
      <c r="K132" s="516"/>
      <c r="L132" s="516"/>
      <c r="M132" s="516"/>
      <c r="N132" s="516"/>
      <c r="O132" s="516"/>
      <c r="P132" s="516"/>
      <c r="Q132" s="516"/>
      <c r="R132" s="516"/>
      <c r="S132" s="516"/>
      <c r="T132" s="516"/>
      <c r="U132" s="516"/>
      <c r="V132" s="516"/>
      <c r="W132" s="516"/>
      <c r="X132" s="516"/>
      <c r="Y132" s="516"/>
      <c r="Z132" s="516"/>
    </row>
    <row r="133" ht="14.25" customHeight="1">
      <c r="A133" s="516"/>
      <c r="B133" s="516"/>
      <c r="C133" s="517"/>
      <c r="D133" s="517"/>
      <c r="E133" s="517"/>
      <c r="F133" s="516"/>
      <c r="G133" s="516"/>
      <c r="H133" s="516"/>
      <c r="I133" s="516"/>
      <c r="J133" s="516"/>
      <c r="K133" s="516"/>
      <c r="L133" s="516"/>
      <c r="M133" s="516"/>
      <c r="N133" s="516"/>
      <c r="O133" s="516"/>
      <c r="P133" s="516"/>
      <c r="Q133" s="516"/>
      <c r="R133" s="516"/>
      <c r="S133" s="516"/>
      <c r="T133" s="516"/>
      <c r="U133" s="516"/>
      <c r="V133" s="516"/>
      <c r="W133" s="516"/>
      <c r="X133" s="516"/>
      <c r="Y133" s="516"/>
      <c r="Z133" s="516"/>
    </row>
    <row r="134" ht="14.25" customHeight="1">
      <c r="A134" s="516"/>
      <c r="B134" s="516"/>
      <c r="C134" s="517"/>
      <c r="D134" s="517"/>
      <c r="E134" s="517"/>
      <c r="F134" s="516"/>
      <c r="G134" s="516"/>
      <c r="H134" s="516"/>
      <c r="I134" s="516"/>
      <c r="J134" s="516"/>
      <c r="K134" s="516"/>
      <c r="L134" s="516"/>
      <c r="M134" s="516"/>
      <c r="N134" s="516"/>
      <c r="O134" s="516"/>
      <c r="P134" s="516"/>
      <c r="Q134" s="516"/>
      <c r="R134" s="516"/>
      <c r="S134" s="516"/>
      <c r="T134" s="516"/>
      <c r="U134" s="516"/>
      <c r="V134" s="516"/>
      <c r="W134" s="516"/>
      <c r="X134" s="516"/>
      <c r="Y134" s="516"/>
      <c r="Z134" s="516"/>
    </row>
    <row r="135" ht="14.25" customHeight="1">
      <c r="A135" s="516"/>
      <c r="B135" s="516"/>
      <c r="C135" s="517"/>
      <c r="D135" s="517"/>
      <c r="E135" s="517"/>
      <c r="F135" s="516"/>
      <c r="G135" s="516"/>
      <c r="H135" s="516"/>
      <c r="I135" s="516"/>
      <c r="J135" s="516"/>
      <c r="K135" s="516"/>
      <c r="L135" s="516"/>
      <c r="M135" s="516"/>
      <c r="N135" s="516"/>
      <c r="O135" s="516"/>
      <c r="P135" s="516"/>
      <c r="Q135" s="516"/>
      <c r="R135" s="516"/>
      <c r="S135" s="516"/>
      <c r="T135" s="516"/>
      <c r="U135" s="516"/>
      <c r="V135" s="516"/>
      <c r="W135" s="516"/>
      <c r="X135" s="516"/>
      <c r="Y135" s="516"/>
      <c r="Z135" s="516"/>
    </row>
    <row r="136" ht="14.25" customHeight="1">
      <c r="A136" s="516"/>
      <c r="B136" s="516"/>
      <c r="C136" s="517"/>
      <c r="D136" s="517"/>
      <c r="E136" s="517"/>
      <c r="F136" s="516"/>
      <c r="G136" s="516"/>
      <c r="H136" s="516"/>
      <c r="I136" s="516"/>
      <c r="J136" s="516"/>
      <c r="K136" s="516"/>
      <c r="L136" s="516"/>
      <c r="M136" s="516"/>
      <c r="N136" s="516"/>
      <c r="O136" s="516"/>
      <c r="P136" s="516"/>
      <c r="Q136" s="516"/>
      <c r="R136" s="516"/>
      <c r="S136" s="516"/>
      <c r="T136" s="516"/>
      <c r="U136" s="516"/>
      <c r="V136" s="516"/>
      <c r="W136" s="516"/>
      <c r="X136" s="516"/>
      <c r="Y136" s="516"/>
      <c r="Z136" s="516"/>
    </row>
    <row r="137" ht="14.25" customHeight="1">
      <c r="A137" s="516"/>
      <c r="B137" s="516"/>
      <c r="C137" s="517"/>
      <c r="D137" s="517"/>
      <c r="E137" s="517"/>
      <c r="F137" s="516"/>
      <c r="G137" s="516"/>
      <c r="H137" s="516"/>
      <c r="I137" s="516"/>
      <c r="J137" s="516"/>
      <c r="K137" s="516"/>
      <c r="L137" s="516"/>
      <c r="M137" s="516"/>
      <c r="N137" s="516"/>
      <c r="O137" s="516"/>
      <c r="P137" s="516"/>
      <c r="Q137" s="516"/>
      <c r="R137" s="516"/>
      <c r="S137" s="516"/>
      <c r="T137" s="516"/>
      <c r="U137" s="516"/>
      <c r="V137" s="516"/>
      <c r="W137" s="516"/>
      <c r="X137" s="516"/>
      <c r="Y137" s="516"/>
      <c r="Z137" s="516"/>
    </row>
    <row r="138" ht="14.25" customHeight="1">
      <c r="A138" s="516"/>
      <c r="B138" s="516"/>
      <c r="C138" s="517"/>
      <c r="D138" s="517"/>
      <c r="E138" s="517"/>
      <c r="F138" s="516"/>
      <c r="G138" s="516"/>
      <c r="H138" s="516"/>
      <c r="I138" s="516"/>
      <c r="J138" s="516"/>
      <c r="K138" s="516"/>
      <c r="L138" s="516"/>
      <c r="M138" s="516"/>
      <c r="N138" s="516"/>
      <c r="O138" s="516"/>
      <c r="P138" s="516"/>
      <c r="Q138" s="516"/>
      <c r="R138" s="516"/>
      <c r="S138" s="516"/>
      <c r="T138" s="516"/>
      <c r="U138" s="516"/>
      <c r="V138" s="516"/>
      <c r="W138" s="516"/>
      <c r="X138" s="516"/>
      <c r="Y138" s="516"/>
      <c r="Z138" s="516"/>
    </row>
    <row r="139" ht="14.25" customHeight="1">
      <c r="A139" s="516"/>
      <c r="B139" s="516"/>
      <c r="C139" s="517"/>
      <c r="D139" s="517"/>
      <c r="E139" s="517"/>
      <c r="F139" s="516"/>
      <c r="G139" s="516"/>
      <c r="H139" s="516"/>
      <c r="I139" s="516"/>
      <c r="J139" s="516"/>
      <c r="K139" s="516"/>
      <c r="L139" s="516"/>
      <c r="M139" s="516"/>
      <c r="N139" s="516"/>
      <c r="O139" s="516"/>
      <c r="P139" s="516"/>
      <c r="Q139" s="516"/>
      <c r="R139" s="516"/>
      <c r="S139" s="516"/>
      <c r="T139" s="516"/>
      <c r="U139" s="516"/>
      <c r="V139" s="516"/>
      <c r="W139" s="516"/>
      <c r="X139" s="516"/>
      <c r="Y139" s="516"/>
      <c r="Z139" s="516"/>
    </row>
    <row r="140" ht="14.25" customHeight="1">
      <c r="A140" s="516"/>
      <c r="B140" s="516"/>
      <c r="C140" s="517"/>
      <c r="D140" s="517"/>
      <c r="E140" s="517"/>
      <c r="F140" s="516"/>
      <c r="G140" s="516"/>
      <c r="H140" s="516"/>
      <c r="I140" s="516"/>
      <c r="J140" s="516"/>
      <c r="K140" s="516"/>
      <c r="L140" s="516"/>
      <c r="M140" s="516"/>
      <c r="N140" s="516"/>
      <c r="O140" s="516"/>
      <c r="P140" s="516"/>
      <c r="Q140" s="516"/>
      <c r="R140" s="516"/>
      <c r="S140" s="516"/>
      <c r="T140" s="516"/>
      <c r="U140" s="516"/>
      <c r="V140" s="516"/>
      <c r="W140" s="516"/>
      <c r="X140" s="516"/>
      <c r="Y140" s="516"/>
      <c r="Z140" s="516"/>
    </row>
    <row r="141" ht="14.25" customHeight="1">
      <c r="A141" s="516"/>
      <c r="B141" s="516"/>
      <c r="C141" s="517"/>
      <c r="D141" s="517"/>
      <c r="E141" s="517"/>
      <c r="F141" s="516"/>
      <c r="G141" s="516"/>
      <c r="H141" s="516"/>
      <c r="I141" s="516"/>
      <c r="J141" s="516"/>
      <c r="K141" s="516"/>
      <c r="L141" s="516"/>
      <c r="M141" s="516"/>
      <c r="N141" s="516"/>
      <c r="O141" s="516"/>
      <c r="P141" s="516"/>
      <c r="Q141" s="516"/>
      <c r="R141" s="516"/>
      <c r="S141" s="516"/>
      <c r="T141" s="516"/>
      <c r="U141" s="516"/>
      <c r="V141" s="516"/>
      <c r="W141" s="516"/>
      <c r="X141" s="516"/>
      <c r="Y141" s="516"/>
      <c r="Z141" s="516"/>
    </row>
    <row r="142" ht="14.25" customHeight="1">
      <c r="A142" s="516"/>
      <c r="B142" s="516"/>
      <c r="C142" s="517"/>
      <c r="D142" s="517"/>
      <c r="E142" s="517"/>
      <c r="F142" s="516"/>
      <c r="G142" s="516"/>
      <c r="H142" s="516"/>
      <c r="I142" s="516"/>
      <c r="J142" s="516"/>
      <c r="K142" s="516"/>
      <c r="L142" s="516"/>
      <c r="M142" s="516"/>
      <c r="N142" s="516"/>
      <c r="O142" s="516"/>
      <c r="P142" s="516"/>
      <c r="Q142" s="516"/>
      <c r="R142" s="516"/>
      <c r="S142" s="516"/>
      <c r="T142" s="516"/>
      <c r="U142" s="516"/>
      <c r="V142" s="516"/>
      <c r="W142" s="516"/>
      <c r="X142" s="516"/>
      <c r="Y142" s="516"/>
      <c r="Z142" s="516"/>
    </row>
    <row r="143" ht="14.25" customHeight="1">
      <c r="A143" s="516"/>
      <c r="B143" s="516"/>
      <c r="C143" s="517"/>
      <c r="D143" s="517"/>
      <c r="E143" s="517"/>
      <c r="F143" s="516"/>
      <c r="G143" s="516"/>
      <c r="H143" s="516"/>
      <c r="I143" s="516"/>
      <c r="J143" s="516"/>
      <c r="K143" s="516"/>
      <c r="L143" s="516"/>
      <c r="M143" s="516"/>
      <c r="N143" s="516"/>
      <c r="O143" s="516"/>
      <c r="P143" s="516"/>
      <c r="Q143" s="516"/>
      <c r="R143" s="516"/>
      <c r="S143" s="516"/>
      <c r="T143" s="516"/>
      <c r="U143" s="516"/>
      <c r="V143" s="516"/>
      <c r="W143" s="516"/>
      <c r="X143" s="516"/>
      <c r="Y143" s="516"/>
      <c r="Z143" s="516"/>
    </row>
    <row r="144" ht="14.25" customHeight="1">
      <c r="A144" s="516"/>
      <c r="B144" s="516"/>
      <c r="C144" s="517"/>
      <c r="D144" s="517"/>
      <c r="E144" s="517"/>
      <c r="F144" s="516"/>
      <c r="G144" s="516"/>
      <c r="H144" s="516"/>
      <c r="I144" s="516"/>
      <c r="J144" s="516"/>
      <c r="K144" s="516"/>
      <c r="L144" s="516"/>
      <c r="M144" s="516"/>
      <c r="N144" s="516"/>
      <c r="O144" s="516"/>
      <c r="P144" s="516"/>
      <c r="Q144" s="516"/>
      <c r="R144" s="516"/>
      <c r="S144" s="516"/>
      <c r="T144" s="516"/>
      <c r="U144" s="516"/>
      <c r="V144" s="516"/>
      <c r="W144" s="516"/>
      <c r="X144" s="516"/>
      <c r="Y144" s="516"/>
      <c r="Z144" s="516"/>
    </row>
    <row r="145" ht="14.25" customHeight="1">
      <c r="A145" s="516"/>
      <c r="B145" s="516"/>
      <c r="C145" s="517"/>
      <c r="D145" s="517"/>
      <c r="E145" s="517"/>
      <c r="F145" s="516"/>
      <c r="G145" s="516"/>
      <c r="H145" s="516"/>
      <c r="I145" s="516"/>
      <c r="J145" s="516"/>
      <c r="K145" s="516"/>
      <c r="L145" s="516"/>
      <c r="M145" s="516"/>
      <c r="N145" s="516"/>
      <c r="O145" s="516"/>
      <c r="P145" s="516"/>
      <c r="Q145" s="516"/>
      <c r="R145" s="516"/>
      <c r="S145" s="516"/>
      <c r="T145" s="516"/>
      <c r="U145" s="516"/>
      <c r="V145" s="516"/>
      <c r="W145" s="516"/>
      <c r="X145" s="516"/>
      <c r="Y145" s="516"/>
      <c r="Z145" s="516"/>
    </row>
    <row r="146" ht="14.25" customHeight="1">
      <c r="A146" s="516"/>
      <c r="B146" s="516"/>
      <c r="C146" s="517"/>
      <c r="D146" s="517"/>
      <c r="E146" s="517"/>
      <c r="F146" s="516"/>
      <c r="G146" s="516"/>
      <c r="H146" s="516"/>
      <c r="I146" s="516"/>
      <c r="J146" s="516"/>
      <c r="K146" s="516"/>
      <c r="L146" s="516"/>
      <c r="M146" s="516"/>
      <c r="N146" s="516"/>
      <c r="O146" s="516"/>
      <c r="P146" s="516"/>
      <c r="Q146" s="516"/>
      <c r="R146" s="516"/>
      <c r="S146" s="516"/>
      <c r="T146" s="516"/>
      <c r="U146" s="516"/>
      <c r="V146" s="516"/>
      <c r="W146" s="516"/>
      <c r="X146" s="516"/>
      <c r="Y146" s="516"/>
      <c r="Z146" s="516"/>
    </row>
    <row r="147" ht="14.25" customHeight="1">
      <c r="A147" s="516"/>
      <c r="B147" s="516"/>
      <c r="C147" s="517"/>
      <c r="D147" s="517"/>
      <c r="E147" s="517"/>
      <c r="F147" s="516"/>
      <c r="G147" s="516"/>
      <c r="H147" s="516"/>
      <c r="I147" s="516"/>
      <c r="J147" s="516"/>
      <c r="K147" s="516"/>
      <c r="L147" s="516"/>
      <c r="M147" s="516"/>
      <c r="N147" s="516"/>
      <c r="O147" s="516"/>
      <c r="P147" s="516"/>
      <c r="Q147" s="516"/>
      <c r="R147" s="516"/>
      <c r="S147" s="516"/>
      <c r="T147" s="516"/>
      <c r="U147" s="516"/>
      <c r="V147" s="516"/>
      <c r="W147" s="516"/>
      <c r="X147" s="516"/>
      <c r="Y147" s="516"/>
      <c r="Z147" s="516"/>
    </row>
    <row r="148" ht="14.25" customHeight="1">
      <c r="A148" s="516"/>
      <c r="B148" s="516"/>
      <c r="C148" s="517"/>
      <c r="D148" s="517"/>
      <c r="E148" s="517"/>
      <c r="F148" s="516"/>
      <c r="G148" s="516"/>
      <c r="H148" s="516"/>
      <c r="I148" s="516"/>
      <c r="J148" s="516"/>
      <c r="K148" s="516"/>
      <c r="L148" s="516"/>
      <c r="M148" s="516"/>
      <c r="N148" s="516"/>
      <c r="O148" s="516"/>
      <c r="P148" s="516"/>
      <c r="Q148" s="516"/>
      <c r="R148" s="516"/>
      <c r="S148" s="516"/>
      <c r="T148" s="516"/>
      <c r="U148" s="516"/>
      <c r="V148" s="516"/>
      <c r="W148" s="516"/>
      <c r="X148" s="516"/>
      <c r="Y148" s="516"/>
      <c r="Z148" s="516"/>
    </row>
    <row r="149" ht="14.25" customHeight="1">
      <c r="A149" s="516"/>
      <c r="B149" s="516"/>
      <c r="C149" s="517"/>
      <c r="D149" s="517"/>
      <c r="E149" s="517"/>
      <c r="F149" s="516"/>
      <c r="G149" s="516"/>
      <c r="H149" s="516"/>
      <c r="I149" s="516"/>
      <c r="J149" s="516"/>
      <c r="K149" s="516"/>
      <c r="L149" s="516"/>
      <c r="M149" s="516"/>
      <c r="N149" s="516"/>
      <c r="O149" s="516"/>
      <c r="P149" s="516"/>
      <c r="Q149" s="516"/>
      <c r="R149" s="516"/>
      <c r="S149" s="516"/>
      <c r="T149" s="516"/>
      <c r="U149" s="516"/>
      <c r="V149" s="516"/>
      <c r="W149" s="516"/>
      <c r="X149" s="516"/>
      <c r="Y149" s="516"/>
      <c r="Z149" s="516"/>
    </row>
    <row r="150" ht="14.25" customHeight="1">
      <c r="A150" s="516"/>
      <c r="B150" s="516"/>
      <c r="C150" s="517"/>
      <c r="D150" s="517"/>
      <c r="E150" s="517"/>
      <c r="F150" s="516"/>
      <c r="G150" s="516"/>
      <c r="H150" s="516"/>
      <c r="I150" s="516"/>
      <c r="J150" s="516"/>
      <c r="K150" s="516"/>
      <c r="L150" s="516"/>
      <c r="M150" s="516"/>
      <c r="N150" s="516"/>
      <c r="O150" s="516"/>
      <c r="P150" s="516"/>
      <c r="Q150" s="516"/>
      <c r="R150" s="516"/>
      <c r="S150" s="516"/>
      <c r="T150" s="516"/>
      <c r="U150" s="516"/>
      <c r="V150" s="516"/>
      <c r="W150" s="516"/>
      <c r="X150" s="516"/>
      <c r="Y150" s="516"/>
      <c r="Z150" s="516"/>
    </row>
    <row r="151" ht="14.25" customHeight="1">
      <c r="A151" s="516"/>
      <c r="B151" s="516"/>
      <c r="C151" s="517"/>
      <c r="D151" s="517"/>
      <c r="E151" s="517"/>
      <c r="F151" s="516"/>
      <c r="G151" s="516"/>
      <c r="H151" s="516"/>
      <c r="I151" s="516"/>
      <c r="J151" s="516"/>
      <c r="K151" s="516"/>
      <c r="L151" s="516"/>
      <c r="M151" s="516"/>
      <c r="N151" s="516"/>
      <c r="O151" s="516"/>
      <c r="P151" s="516"/>
      <c r="Q151" s="516"/>
      <c r="R151" s="516"/>
      <c r="S151" s="516"/>
      <c r="T151" s="516"/>
      <c r="U151" s="516"/>
      <c r="V151" s="516"/>
      <c r="W151" s="516"/>
      <c r="X151" s="516"/>
      <c r="Y151" s="516"/>
      <c r="Z151" s="516"/>
    </row>
    <row r="152" ht="14.25" customHeight="1">
      <c r="A152" s="516"/>
      <c r="B152" s="516"/>
      <c r="C152" s="517"/>
      <c r="D152" s="517"/>
      <c r="E152" s="517"/>
      <c r="F152" s="516"/>
      <c r="G152" s="516"/>
      <c r="H152" s="516"/>
      <c r="I152" s="516"/>
      <c r="J152" s="516"/>
      <c r="K152" s="516"/>
      <c r="L152" s="516"/>
      <c r="M152" s="516"/>
      <c r="N152" s="516"/>
      <c r="O152" s="516"/>
      <c r="P152" s="516"/>
      <c r="Q152" s="516"/>
      <c r="R152" s="516"/>
      <c r="S152" s="516"/>
      <c r="T152" s="516"/>
      <c r="U152" s="516"/>
      <c r="V152" s="516"/>
      <c r="W152" s="516"/>
      <c r="X152" s="516"/>
      <c r="Y152" s="516"/>
      <c r="Z152" s="516"/>
    </row>
    <row r="153" ht="14.25" customHeight="1">
      <c r="A153" s="516"/>
      <c r="B153" s="516"/>
      <c r="C153" s="517"/>
      <c r="D153" s="517"/>
      <c r="E153" s="517"/>
      <c r="F153" s="516"/>
      <c r="G153" s="516"/>
      <c r="H153" s="516"/>
      <c r="I153" s="516"/>
      <c r="J153" s="516"/>
      <c r="K153" s="516"/>
      <c r="L153" s="516"/>
      <c r="M153" s="516"/>
      <c r="N153" s="516"/>
      <c r="O153" s="516"/>
      <c r="P153" s="516"/>
      <c r="Q153" s="516"/>
      <c r="R153" s="516"/>
      <c r="S153" s="516"/>
      <c r="T153" s="516"/>
      <c r="U153" s="516"/>
      <c r="V153" s="516"/>
      <c r="W153" s="516"/>
      <c r="X153" s="516"/>
      <c r="Y153" s="516"/>
      <c r="Z153" s="516"/>
    </row>
    <row r="154" ht="14.25" customHeight="1">
      <c r="A154" s="516"/>
      <c r="B154" s="516"/>
      <c r="C154" s="517"/>
      <c r="D154" s="517"/>
      <c r="E154" s="517"/>
      <c r="F154" s="516"/>
      <c r="G154" s="516"/>
      <c r="H154" s="516"/>
      <c r="I154" s="516"/>
      <c r="J154" s="516"/>
      <c r="K154" s="516"/>
      <c r="L154" s="516"/>
      <c r="M154" s="516"/>
      <c r="N154" s="516"/>
      <c r="O154" s="516"/>
      <c r="P154" s="516"/>
      <c r="Q154" s="516"/>
      <c r="R154" s="516"/>
      <c r="S154" s="516"/>
      <c r="T154" s="516"/>
      <c r="U154" s="516"/>
      <c r="V154" s="516"/>
      <c r="W154" s="516"/>
      <c r="X154" s="516"/>
      <c r="Y154" s="516"/>
      <c r="Z154" s="516"/>
    </row>
    <row r="155" ht="14.25" customHeight="1">
      <c r="A155" s="516"/>
      <c r="B155" s="516"/>
      <c r="C155" s="517"/>
      <c r="D155" s="517"/>
      <c r="E155" s="517"/>
      <c r="F155" s="516"/>
      <c r="G155" s="516"/>
      <c r="H155" s="516"/>
      <c r="I155" s="516"/>
      <c r="J155" s="516"/>
      <c r="K155" s="516"/>
      <c r="L155" s="516"/>
      <c r="M155" s="516"/>
      <c r="N155" s="516"/>
      <c r="O155" s="516"/>
      <c r="P155" s="516"/>
      <c r="Q155" s="516"/>
      <c r="R155" s="516"/>
      <c r="S155" s="516"/>
      <c r="T155" s="516"/>
      <c r="U155" s="516"/>
      <c r="V155" s="516"/>
      <c r="W155" s="516"/>
      <c r="X155" s="516"/>
      <c r="Y155" s="516"/>
      <c r="Z155" s="516"/>
    </row>
    <row r="156" ht="14.25" customHeight="1">
      <c r="A156" s="516"/>
      <c r="B156" s="516"/>
      <c r="C156" s="517"/>
      <c r="D156" s="517"/>
      <c r="E156" s="517"/>
      <c r="F156" s="516"/>
      <c r="G156" s="516"/>
      <c r="H156" s="516"/>
      <c r="I156" s="516"/>
      <c r="J156" s="516"/>
      <c r="K156" s="516"/>
      <c r="L156" s="516"/>
      <c r="M156" s="516"/>
      <c r="N156" s="516"/>
      <c r="O156" s="516"/>
      <c r="P156" s="516"/>
      <c r="Q156" s="516"/>
      <c r="R156" s="516"/>
      <c r="S156" s="516"/>
      <c r="T156" s="516"/>
      <c r="U156" s="516"/>
      <c r="V156" s="516"/>
      <c r="W156" s="516"/>
      <c r="X156" s="516"/>
      <c r="Y156" s="516"/>
      <c r="Z156" s="516"/>
    </row>
    <row r="157" ht="14.25" customHeight="1">
      <c r="A157" s="516"/>
      <c r="B157" s="516"/>
      <c r="C157" s="517"/>
      <c r="D157" s="517"/>
      <c r="E157" s="517"/>
      <c r="F157" s="516"/>
      <c r="G157" s="516"/>
      <c r="H157" s="516"/>
      <c r="I157" s="516"/>
      <c r="J157" s="516"/>
      <c r="K157" s="516"/>
      <c r="L157" s="516"/>
      <c r="M157" s="516"/>
      <c r="N157" s="516"/>
      <c r="O157" s="516"/>
      <c r="P157" s="516"/>
      <c r="Q157" s="516"/>
      <c r="R157" s="516"/>
      <c r="S157" s="516"/>
      <c r="T157" s="516"/>
      <c r="U157" s="516"/>
      <c r="V157" s="516"/>
      <c r="W157" s="516"/>
      <c r="X157" s="516"/>
      <c r="Y157" s="516"/>
      <c r="Z157" s="516"/>
    </row>
    <row r="158" ht="14.25" customHeight="1">
      <c r="A158" s="516"/>
      <c r="B158" s="516"/>
      <c r="C158" s="517"/>
      <c r="D158" s="517"/>
      <c r="E158" s="517"/>
      <c r="F158" s="516"/>
      <c r="G158" s="516"/>
      <c r="H158" s="516"/>
      <c r="I158" s="516"/>
      <c r="J158" s="516"/>
      <c r="K158" s="516"/>
      <c r="L158" s="516"/>
      <c r="M158" s="516"/>
      <c r="N158" s="516"/>
      <c r="O158" s="516"/>
      <c r="P158" s="516"/>
      <c r="Q158" s="516"/>
      <c r="R158" s="516"/>
      <c r="S158" s="516"/>
      <c r="T158" s="516"/>
      <c r="U158" s="516"/>
      <c r="V158" s="516"/>
      <c r="W158" s="516"/>
      <c r="X158" s="516"/>
      <c r="Y158" s="516"/>
      <c r="Z158" s="516"/>
    </row>
    <row r="159" ht="14.25" customHeight="1">
      <c r="A159" s="516"/>
      <c r="B159" s="516"/>
      <c r="C159" s="517"/>
      <c r="D159" s="517"/>
      <c r="E159" s="517"/>
      <c r="F159" s="516"/>
      <c r="G159" s="516"/>
      <c r="H159" s="516"/>
      <c r="I159" s="516"/>
      <c r="J159" s="516"/>
      <c r="K159" s="516"/>
      <c r="L159" s="516"/>
      <c r="M159" s="516"/>
      <c r="N159" s="516"/>
      <c r="O159" s="516"/>
      <c r="P159" s="516"/>
      <c r="Q159" s="516"/>
      <c r="R159" s="516"/>
      <c r="S159" s="516"/>
      <c r="T159" s="516"/>
      <c r="U159" s="516"/>
      <c r="V159" s="516"/>
      <c r="W159" s="516"/>
      <c r="X159" s="516"/>
      <c r="Y159" s="516"/>
      <c r="Z159" s="516"/>
    </row>
    <row r="160" ht="14.25" customHeight="1">
      <c r="A160" s="516"/>
      <c r="B160" s="516"/>
      <c r="C160" s="517"/>
      <c r="D160" s="517"/>
      <c r="E160" s="517"/>
      <c r="F160" s="516"/>
      <c r="G160" s="516"/>
      <c r="H160" s="516"/>
      <c r="I160" s="516"/>
      <c r="J160" s="516"/>
      <c r="K160" s="516"/>
      <c r="L160" s="516"/>
      <c r="M160" s="516"/>
      <c r="N160" s="516"/>
      <c r="O160" s="516"/>
      <c r="P160" s="516"/>
      <c r="Q160" s="516"/>
      <c r="R160" s="516"/>
      <c r="S160" s="516"/>
      <c r="T160" s="516"/>
      <c r="U160" s="516"/>
      <c r="V160" s="516"/>
      <c r="W160" s="516"/>
      <c r="X160" s="516"/>
      <c r="Y160" s="516"/>
      <c r="Z160" s="516"/>
    </row>
    <row r="161" ht="14.25" customHeight="1">
      <c r="A161" s="516"/>
      <c r="B161" s="516"/>
      <c r="C161" s="517"/>
      <c r="D161" s="517"/>
      <c r="E161" s="517"/>
      <c r="F161" s="516"/>
      <c r="G161" s="516"/>
      <c r="H161" s="516"/>
      <c r="I161" s="516"/>
      <c r="J161" s="516"/>
      <c r="K161" s="516"/>
      <c r="L161" s="516"/>
      <c r="M161" s="516"/>
      <c r="N161" s="516"/>
      <c r="O161" s="516"/>
      <c r="P161" s="516"/>
      <c r="Q161" s="516"/>
      <c r="R161" s="516"/>
      <c r="S161" s="516"/>
      <c r="T161" s="516"/>
      <c r="U161" s="516"/>
      <c r="V161" s="516"/>
      <c r="W161" s="516"/>
      <c r="X161" s="516"/>
      <c r="Y161" s="516"/>
      <c r="Z161" s="516"/>
    </row>
    <row r="162" ht="14.25" customHeight="1">
      <c r="A162" s="516"/>
      <c r="B162" s="516"/>
      <c r="C162" s="517"/>
      <c r="D162" s="517"/>
      <c r="E162" s="517"/>
      <c r="F162" s="516"/>
      <c r="G162" s="516"/>
      <c r="H162" s="516"/>
      <c r="I162" s="516"/>
      <c r="J162" s="516"/>
      <c r="K162" s="516"/>
      <c r="L162" s="516"/>
      <c r="M162" s="516"/>
      <c r="N162" s="516"/>
      <c r="O162" s="516"/>
      <c r="P162" s="516"/>
      <c r="Q162" s="516"/>
      <c r="R162" s="516"/>
      <c r="S162" s="516"/>
      <c r="T162" s="516"/>
      <c r="U162" s="516"/>
      <c r="V162" s="516"/>
      <c r="W162" s="516"/>
      <c r="X162" s="516"/>
      <c r="Y162" s="516"/>
      <c r="Z162" s="516"/>
    </row>
    <row r="163" ht="14.25" customHeight="1">
      <c r="A163" s="516"/>
      <c r="B163" s="516"/>
      <c r="C163" s="517"/>
      <c r="D163" s="517"/>
      <c r="E163" s="517"/>
      <c r="F163" s="516"/>
      <c r="G163" s="516"/>
      <c r="H163" s="516"/>
      <c r="I163" s="516"/>
      <c r="J163" s="516"/>
      <c r="K163" s="516"/>
      <c r="L163" s="516"/>
      <c r="M163" s="516"/>
      <c r="N163" s="516"/>
      <c r="O163" s="516"/>
      <c r="P163" s="516"/>
      <c r="Q163" s="516"/>
      <c r="R163" s="516"/>
      <c r="S163" s="516"/>
      <c r="T163" s="516"/>
      <c r="U163" s="516"/>
      <c r="V163" s="516"/>
      <c r="W163" s="516"/>
      <c r="X163" s="516"/>
      <c r="Y163" s="516"/>
      <c r="Z163" s="516"/>
    </row>
    <row r="164" ht="14.25" customHeight="1">
      <c r="A164" s="516"/>
      <c r="B164" s="516"/>
      <c r="C164" s="517"/>
      <c r="D164" s="517"/>
      <c r="E164" s="517"/>
      <c r="F164" s="516"/>
      <c r="G164" s="516"/>
      <c r="H164" s="516"/>
      <c r="I164" s="516"/>
      <c r="J164" s="516"/>
      <c r="K164" s="516"/>
      <c r="L164" s="516"/>
      <c r="M164" s="516"/>
      <c r="N164" s="516"/>
      <c r="O164" s="516"/>
      <c r="P164" s="516"/>
      <c r="Q164" s="516"/>
      <c r="R164" s="516"/>
      <c r="S164" s="516"/>
      <c r="T164" s="516"/>
      <c r="U164" s="516"/>
      <c r="V164" s="516"/>
      <c r="W164" s="516"/>
      <c r="X164" s="516"/>
      <c r="Y164" s="516"/>
      <c r="Z164" s="516"/>
    </row>
    <row r="165" ht="14.25" customHeight="1">
      <c r="A165" s="516"/>
      <c r="B165" s="516"/>
      <c r="C165" s="517"/>
      <c r="D165" s="517"/>
      <c r="E165" s="517"/>
      <c r="F165" s="516"/>
      <c r="G165" s="516"/>
      <c r="H165" s="516"/>
      <c r="I165" s="516"/>
      <c r="J165" s="516"/>
      <c r="K165" s="516"/>
      <c r="L165" s="516"/>
      <c r="M165" s="516"/>
      <c r="N165" s="516"/>
      <c r="O165" s="516"/>
      <c r="P165" s="516"/>
      <c r="Q165" s="516"/>
      <c r="R165" s="516"/>
      <c r="S165" s="516"/>
      <c r="T165" s="516"/>
      <c r="U165" s="516"/>
      <c r="V165" s="516"/>
      <c r="W165" s="516"/>
      <c r="X165" s="516"/>
      <c r="Y165" s="516"/>
      <c r="Z165" s="516"/>
    </row>
    <row r="166" ht="14.25" customHeight="1">
      <c r="A166" s="516"/>
      <c r="B166" s="516"/>
      <c r="C166" s="517"/>
      <c r="D166" s="517"/>
      <c r="E166" s="517"/>
      <c r="F166" s="516"/>
      <c r="G166" s="516"/>
      <c r="H166" s="516"/>
      <c r="I166" s="516"/>
      <c r="J166" s="516"/>
      <c r="K166" s="516"/>
      <c r="L166" s="516"/>
      <c r="M166" s="516"/>
      <c r="N166" s="516"/>
      <c r="O166" s="516"/>
      <c r="P166" s="516"/>
      <c r="Q166" s="516"/>
      <c r="R166" s="516"/>
      <c r="S166" s="516"/>
      <c r="T166" s="516"/>
      <c r="U166" s="516"/>
      <c r="V166" s="516"/>
      <c r="W166" s="516"/>
      <c r="X166" s="516"/>
      <c r="Y166" s="516"/>
      <c r="Z166" s="516"/>
    </row>
    <row r="167" ht="14.25" customHeight="1">
      <c r="A167" s="516"/>
      <c r="B167" s="516"/>
      <c r="C167" s="517"/>
      <c r="D167" s="517"/>
      <c r="E167" s="517"/>
      <c r="F167" s="516"/>
      <c r="G167" s="516"/>
      <c r="H167" s="516"/>
      <c r="I167" s="516"/>
      <c r="J167" s="516"/>
      <c r="K167" s="516"/>
      <c r="L167" s="516"/>
      <c r="M167" s="516"/>
      <c r="N167" s="516"/>
      <c r="O167" s="516"/>
      <c r="P167" s="516"/>
      <c r="Q167" s="516"/>
      <c r="R167" s="516"/>
      <c r="S167" s="516"/>
      <c r="T167" s="516"/>
      <c r="U167" s="516"/>
      <c r="V167" s="516"/>
      <c r="W167" s="516"/>
      <c r="X167" s="516"/>
      <c r="Y167" s="516"/>
      <c r="Z167" s="516"/>
    </row>
    <row r="168" ht="14.25" customHeight="1">
      <c r="A168" s="516"/>
      <c r="B168" s="516"/>
      <c r="C168" s="517"/>
      <c r="D168" s="517"/>
      <c r="E168" s="517"/>
      <c r="F168" s="516"/>
      <c r="G168" s="516"/>
      <c r="H168" s="516"/>
      <c r="I168" s="516"/>
      <c r="J168" s="516"/>
      <c r="K168" s="516"/>
      <c r="L168" s="516"/>
      <c r="M168" s="516"/>
      <c r="N168" s="516"/>
      <c r="O168" s="516"/>
      <c r="P168" s="516"/>
      <c r="Q168" s="516"/>
      <c r="R168" s="516"/>
      <c r="S168" s="516"/>
      <c r="T168" s="516"/>
      <c r="U168" s="516"/>
      <c r="V168" s="516"/>
      <c r="W168" s="516"/>
      <c r="X168" s="516"/>
      <c r="Y168" s="516"/>
      <c r="Z168" s="516"/>
    </row>
    <row r="169" ht="14.25" customHeight="1">
      <c r="A169" s="516"/>
      <c r="B169" s="516"/>
      <c r="C169" s="517"/>
      <c r="D169" s="517"/>
      <c r="E169" s="517"/>
      <c r="F169" s="516"/>
      <c r="G169" s="516"/>
      <c r="H169" s="516"/>
      <c r="I169" s="516"/>
      <c r="J169" s="516"/>
      <c r="K169" s="516"/>
      <c r="L169" s="516"/>
      <c r="M169" s="516"/>
      <c r="N169" s="516"/>
      <c r="O169" s="516"/>
      <c r="P169" s="516"/>
      <c r="Q169" s="516"/>
      <c r="R169" s="516"/>
      <c r="S169" s="516"/>
      <c r="T169" s="516"/>
      <c r="U169" s="516"/>
      <c r="V169" s="516"/>
      <c r="W169" s="516"/>
      <c r="X169" s="516"/>
      <c r="Y169" s="516"/>
      <c r="Z169" s="516"/>
    </row>
    <row r="170" ht="14.25" customHeight="1">
      <c r="A170" s="516"/>
      <c r="B170" s="516"/>
      <c r="C170" s="517"/>
      <c r="D170" s="517"/>
      <c r="E170" s="517"/>
      <c r="F170" s="516"/>
      <c r="G170" s="516"/>
      <c r="H170" s="516"/>
      <c r="I170" s="516"/>
      <c r="J170" s="516"/>
      <c r="K170" s="516"/>
      <c r="L170" s="516"/>
      <c r="M170" s="516"/>
      <c r="N170" s="516"/>
      <c r="O170" s="516"/>
      <c r="P170" s="516"/>
      <c r="Q170" s="516"/>
      <c r="R170" s="516"/>
      <c r="S170" s="516"/>
      <c r="T170" s="516"/>
      <c r="U170" s="516"/>
      <c r="V170" s="516"/>
      <c r="W170" s="516"/>
      <c r="X170" s="516"/>
      <c r="Y170" s="516"/>
      <c r="Z170" s="516"/>
    </row>
    <row r="171" ht="14.25" customHeight="1">
      <c r="A171" s="516"/>
      <c r="B171" s="516"/>
      <c r="C171" s="517"/>
      <c r="D171" s="517"/>
      <c r="E171" s="517"/>
      <c r="F171" s="516"/>
      <c r="G171" s="516"/>
      <c r="H171" s="516"/>
      <c r="I171" s="516"/>
      <c r="J171" s="516"/>
      <c r="K171" s="516"/>
      <c r="L171" s="516"/>
      <c r="M171" s="516"/>
      <c r="N171" s="516"/>
      <c r="O171" s="516"/>
      <c r="P171" s="516"/>
      <c r="Q171" s="516"/>
      <c r="R171" s="516"/>
      <c r="S171" s="516"/>
      <c r="T171" s="516"/>
      <c r="U171" s="516"/>
      <c r="V171" s="516"/>
      <c r="W171" s="516"/>
      <c r="X171" s="516"/>
      <c r="Y171" s="516"/>
      <c r="Z171" s="516"/>
    </row>
    <row r="172" ht="14.25" customHeight="1">
      <c r="A172" s="516"/>
      <c r="B172" s="516"/>
      <c r="C172" s="517"/>
      <c r="D172" s="517"/>
      <c r="E172" s="517"/>
      <c r="F172" s="516"/>
      <c r="G172" s="516"/>
      <c r="H172" s="516"/>
      <c r="I172" s="516"/>
      <c r="J172" s="516"/>
      <c r="K172" s="516"/>
      <c r="L172" s="516"/>
      <c r="M172" s="516"/>
      <c r="N172" s="516"/>
      <c r="O172" s="516"/>
      <c r="P172" s="516"/>
      <c r="Q172" s="516"/>
      <c r="R172" s="516"/>
      <c r="S172" s="516"/>
      <c r="T172" s="516"/>
      <c r="U172" s="516"/>
      <c r="V172" s="516"/>
      <c r="W172" s="516"/>
      <c r="X172" s="516"/>
      <c r="Y172" s="516"/>
      <c r="Z172" s="516"/>
    </row>
    <row r="173" ht="14.25" customHeight="1">
      <c r="A173" s="516"/>
      <c r="B173" s="516"/>
      <c r="C173" s="517"/>
      <c r="D173" s="517"/>
      <c r="E173" s="517"/>
      <c r="F173" s="516"/>
      <c r="G173" s="516"/>
      <c r="H173" s="516"/>
      <c r="I173" s="516"/>
      <c r="J173" s="516"/>
      <c r="K173" s="516"/>
      <c r="L173" s="516"/>
      <c r="M173" s="516"/>
      <c r="N173" s="516"/>
      <c r="O173" s="516"/>
      <c r="P173" s="516"/>
      <c r="Q173" s="516"/>
      <c r="R173" s="516"/>
      <c r="S173" s="516"/>
      <c r="T173" s="516"/>
      <c r="U173" s="516"/>
      <c r="V173" s="516"/>
      <c r="W173" s="516"/>
      <c r="X173" s="516"/>
      <c r="Y173" s="516"/>
      <c r="Z173" s="516"/>
    </row>
    <row r="174" ht="14.25" customHeight="1">
      <c r="A174" s="516"/>
      <c r="B174" s="516"/>
      <c r="C174" s="517"/>
      <c r="D174" s="517"/>
      <c r="E174" s="517"/>
      <c r="F174" s="516"/>
      <c r="G174" s="516"/>
      <c r="H174" s="516"/>
      <c r="I174" s="516"/>
      <c r="J174" s="516"/>
      <c r="K174" s="516"/>
      <c r="L174" s="516"/>
      <c r="M174" s="516"/>
      <c r="N174" s="516"/>
      <c r="O174" s="516"/>
      <c r="P174" s="516"/>
      <c r="Q174" s="516"/>
      <c r="R174" s="516"/>
      <c r="S174" s="516"/>
      <c r="T174" s="516"/>
      <c r="U174" s="516"/>
      <c r="V174" s="516"/>
      <c r="W174" s="516"/>
      <c r="X174" s="516"/>
      <c r="Y174" s="516"/>
      <c r="Z174" s="516"/>
    </row>
    <row r="175" ht="14.25" customHeight="1">
      <c r="A175" s="516"/>
      <c r="B175" s="516"/>
      <c r="C175" s="517"/>
      <c r="D175" s="517"/>
      <c r="E175" s="517"/>
      <c r="F175" s="516"/>
      <c r="G175" s="516"/>
      <c r="H175" s="516"/>
      <c r="I175" s="516"/>
      <c r="J175" s="516"/>
      <c r="K175" s="516"/>
      <c r="L175" s="516"/>
      <c r="M175" s="516"/>
      <c r="N175" s="516"/>
      <c r="O175" s="516"/>
      <c r="P175" s="516"/>
      <c r="Q175" s="516"/>
      <c r="R175" s="516"/>
      <c r="S175" s="516"/>
      <c r="T175" s="516"/>
      <c r="U175" s="516"/>
      <c r="V175" s="516"/>
      <c r="W175" s="516"/>
      <c r="X175" s="516"/>
      <c r="Y175" s="516"/>
      <c r="Z175" s="516"/>
    </row>
    <row r="176" ht="14.25" customHeight="1">
      <c r="A176" s="516"/>
      <c r="B176" s="516"/>
      <c r="C176" s="517"/>
      <c r="D176" s="517"/>
      <c r="E176" s="517"/>
      <c r="F176" s="516"/>
      <c r="G176" s="516"/>
      <c r="H176" s="516"/>
      <c r="I176" s="516"/>
      <c r="J176" s="516"/>
      <c r="K176" s="516"/>
      <c r="L176" s="516"/>
      <c r="M176" s="516"/>
      <c r="N176" s="516"/>
      <c r="O176" s="516"/>
      <c r="P176" s="516"/>
      <c r="Q176" s="516"/>
      <c r="R176" s="516"/>
      <c r="S176" s="516"/>
      <c r="T176" s="516"/>
      <c r="U176" s="516"/>
      <c r="V176" s="516"/>
      <c r="W176" s="516"/>
      <c r="X176" s="516"/>
      <c r="Y176" s="516"/>
      <c r="Z176" s="516"/>
    </row>
    <row r="177" ht="14.25" customHeight="1">
      <c r="A177" s="516"/>
      <c r="B177" s="516"/>
      <c r="C177" s="517"/>
      <c r="D177" s="517"/>
      <c r="E177" s="517"/>
      <c r="F177" s="516"/>
      <c r="G177" s="516"/>
      <c r="H177" s="516"/>
      <c r="I177" s="516"/>
      <c r="J177" s="516"/>
      <c r="K177" s="516"/>
      <c r="L177" s="516"/>
      <c r="M177" s="516"/>
      <c r="N177" s="516"/>
      <c r="O177" s="516"/>
      <c r="P177" s="516"/>
      <c r="Q177" s="516"/>
      <c r="R177" s="516"/>
      <c r="S177" s="516"/>
      <c r="T177" s="516"/>
      <c r="U177" s="516"/>
      <c r="V177" s="516"/>
      <c r="W177" s="516"/>
      <c r="X177" s="516"/>
      <c r="Y177" s="516"/>
      <c r="Z177" s="516"/>
    </row>
    <row r="178" ht="14.25" customHeight="1">
      <c r="A178" s="516"/>
      <c r="B178" s="516"/>
      <c r="C178" s="517"/>
      <c r="D178" s="517"/>
      <c r="E178" s="517"/>
      <c r="F178" s="516"/>
      <c r="G178" s="516"/>
      <c r="H178" s="516"/>
      <c r="I178" s="516"/>
      <c r="J178" s="516"/>
      <c r="K178" s="516"/>
      <c r="L178" s="516"/>
      <c r="M178" s="516"/>
      <c r="N178" s="516"/>
      <c r="O178" s="516"/>
      <c r="P178" s="516"/>
      <c r="Q178" s="516"/>
      <c r="R178" s="516"/>
      <c r="S178" s="516"/>
      <c r="T178" s="516"/>
      <c r="U178" s="516"/>
      <c r="V178" s="516"/>
      <c r="W178" s="516"/>
      <c r="X178" s="516"/>
      <c r="Y178" s="516"/>
      <c r="Z178" s="516"/>
    </row>
    <row r="179" ht="14.25" customHeight="1">
      <c r="A179" s="516"/>
      <c r="B179" s="516"/>
      <c r="C179" s="517"/>
      <c r="D179" s="517"/>
      <c r="E179" s="517"/>
      <c r="F179" s="516"/>
      <c r="G179" s="516"/>
      <c r="H179" s="516"/>
      <c r="I179" s="516"/>
      <c r="J179" s="516"/>
      <c r="K179" s="516"/>
      <c r="L179" s="516"/>
      <c r="M179" s="516"/>
      <c r="N179" s="516"/>
      <c r="O179" s="516"/>
      <c r="P179" s="516"/>
      <c r="Q179" s="516"/>
      <c r="R179" s="516"/>
      <c r="S179" s="516"/>
      <c r="T179" s="516"/>
      <c r="U179" s="516"/>
      <c r="V179" s="516"/>
      <c r="W179" s="516"/>
      <c r="X179" s="516"/>
      <c r="Y179" s="516"/>
      <c r="Z179" s="516"/>
    </row>
    <row r="180" ht="14.25" customHeight="1">
      <c r="A180" s="516"/>
      <c r="B180" s="516"/>
      <c r="C180" s="517"/>
      <c r="D180" s="517"/>
      <c r="E180" s="517"/>
      <c r="F180" s="516"/>
      <c r="G180" s="516"/>
      <c r="H180" s="516"/>
      <c r="I180" s="516"/>
      <c r="J180" s="516"/>
      <c r="K180" s="516"/>
      <c r="L180" s="516"/>
      <c r="M180" s="516"/>
      <c r="N180" s="516"/>
      <c r="O180" s="516"/>
      <c r="P180" s="516"/>
      <c r="Q180" s="516"/>
      <c r="R180" s="516"/>
      <c r="S180" s="516"/>
      <c r="T180" s="516"/>
      <c r="U180" s="516"/>
      <c r="V180" s="516"/>
      <c r="W180" s="516"/>
      <c r="X180" s="516"/>
      <c r="Y180" s="516"/>
      <c r="Z180" s="516"/>
    </row>
    <row r="181" ht="14.25" customHeight="1">
      <c r="A181" s="516"/>
      <c r="B181" s="516"/>
      <c r="C181" s="517"/>
      <c r="D181" s="517"/>
      <c r="E181" s="517"/>
      <c r="F181" s="516"/>
      <c r="G181" s="516"/>
      <c r="H181" s="516"/>
      <c r="I181" s="516"/>
      <c r="J181" s="516"/>
      <c r="K181" s="516"/>
      <c r="L181" s="516"/>
      <c r="M181" s="516"/>
      <c r="N181" s="516"/>
      <c r="O181" s="516"/>
      <c r="P181" s="516"/>
      <c r="Q181" s="516"/>
      <c r="R181" s="516"/>
      <c r="S181" s="516"/>
      <c r="T181" s="516"/>
      <c r="U181" s="516"/>
      <c r="V181" s="516"/>
      <c r="W181" s="516"/>
      <c r="X181" s="516"/>
      <c r="Y181" s="516"/>
      <c r="Z181" s="516"/>
    </row>
    <row r="182" ht="14.25" customHeight="1">
      <c r="A182" s="516"/>
      <c r="B182" s="516"/>
      <c r="C182" s="517"/>
      <c r="D182" s="517"/>
      <c r="E182" s="517"/>
      <c r="F182" s="516"/>
      <c r="G182" s="516"/>
      <c r="H182" s="516"/>
      <c r="I182" s="516"/>
      <c r="J182" s="516"/>
      <c r="K182" s="516"/>
      <c r="L182" s="516"/>
      <c r="M182" s="516"/>
      <c r="N182" s="516"/>
      <c r="O182" s="516"/>
      <c r="P182" s="516"/>
      <c r="Q182" s="516"/>
      <c r="R182" s="516"/>
      <c r="S182" s="516"/>
      <c r="T182" s="516"/>
      <c r="U182" s="516"/>
      <c r="V182" s="516"/>
      <c r="W182" s="516"/>
      <c r="X182" s="516"/>
      <c r="Y182" s="516"/>
      <c r="Z182" s="516"/>
    </row>
    <row r="183" ht="14.25" customHeight="1">
      <c r="A183" s="516"/>
      <c r="B183" s="516"/>
      <c r="C183" s="517"/>
      <c r="D183" s="517"/>
      <c r="E183" s="517"/>
      <c r="F183" s="516"/>
      <c r="G183" s="516"/>
      <c r="H183" s="516"/>
      <c r="I183" s="516"/>
      <c r="J183" s="516"/>
      <c r="K183" s="516"/>
      <c r="L183" s="516"/>
      <c r="M183" s="516"/>
      <c r="N183" s="516"/>
      <c r="O183" s="516"/>
      <c r="P183" s="516"/>
      <c r="Q183" s="516"/>
      <c r="R183" s="516"/>
      <c r="S183" s="516"/>
      <c r="T183" s="516"/>
      <c r="U183" s="516"/>
      <c r="V183" s="516"/>
      <c r="W183" s="516"/>
      <c r="X183" s="516"/>
      <c r="Y183" s="516"/>
      <c r="Z183" s="516"/>
    </row>
    <row r="184" ht="14.25" customHeight="1">
      <c r="A184" s="516"/>
      <c r="B184" s="516"/>
      <c r="C184" s="517"/>
      <c r="D184" s="517"/>
      <c r="E184" s="517"/>
      <c r="F184" s="516"/>
      <c r="G184" s="516"/>
      <c r="H184" s="516"/>
      <c r="I184" s="516"/>
      <c r="J184" s="516"/>
      <c r="K184" s="516"/>
      <c r="L184" s="516"/>
      <c r="M184" s="516"/>
      <c r="N184" s="516"/>
      <c r="O184" s="516"/>
      <c r="P184" s="516"/>
      <c r="Q184" s="516"/>
      <c r="R184" s="516"/>
      <c r="S184" s="516"/>
      <c r="T184" s="516"/>
      <c r="U184" s="516"/>
      <c r="V184" s="516"/>
      <c r="W184" s="516"/>
      <c r="X184" s="516"/>
      <c r="Y184" s="516"/>
      <c r="Z184" s="516"/>
    </row>
    <row r="185" ht="14.25" customHeight="1">
      <c r="A185" s="516"/>
      <c r="B185" s="516"/>
      <c r="C185" s="517"/>
      <c r="D185" s="517"/>
      <c r="E185" s="517"/>
      <c r="F185" s="516"/>
      <c r="G185" s="516"/>
      <c r="H185" s="516"/>
      <c r="I185" s="516"/>
      <c r="J185" s="516"/>
      <c r="K185" s="516"/>
      <c r="L185" s="516"/>
      <c r="M185" s="516"/>
      <c r="N185" s="516"/>
      <c r="O185" s="516"/>
      <c r="P185" s="516"/>
      <c r="Q185" s="516"/>
      <c r="R185" s="516"/>
      <c r="S185" s="516"/>
      <c r="T185" s="516"/>
      <c r="U185" s="516"/>
      <c r="V185" s="516"/>
      <c r="W185" s="516"/>
      <c r="X185" s="516"/>
      <c r="Y185" s="516"/>
      <c r="Z185" s="516"/>
    </row>
    <row r="186" ht="14.25" customHeight="1">
      <c r="A186" s="516"/>
      <c r="B186" s="516"/>
      <c r="C186" s="517"/>
      <c r="D186" s="517"/>
      <c r="E186" s="517"/>
      <c r="F186" s="516"/>
      <c r="G186" s="516"/>
      <c r="H186" s="516"/>
      <c r="I186" s="516"/>
      <c r="J186" s="516"/>
      <c r="K186" s="516"/>
      <c r="L186" s="516"/>
      <c r="M186" s="516"/>
      <c r="N186" s="516"/>
      <c r="O186" s="516"/>
      <c r="P186" s="516"/>
      <c r="Q186" s="516"/>
      <c r="R186" s="516"/>
      <c r="S186" s="516"/>
      <c r="T186" s="516"/>
      <c r="U186" s="516"/>
      <c r="V186" s="516"/>
      <c r="W186" s="516"/>
      <c r="X186" s="516"/>
      <c r="Y186" s="516"/>
      <c r="Z186" s="516"/>
    </row>
    <row r="187" ht="14.25" customHeight="1">
      <c r="A187" s="516"/>
      <c r="B187" s="516"/>
      <c r="C187" s="517"/>
      <c r="D187" s="517"/>
      <c r="E187" s="517"/>
      <c r="F187" s="516"/>
      <c r="G187" s="516"/>
      <c r="H187" s="516"/>
      <c r="I187" s="516"/>
      <c r="J187" s="516"/>
      <c r="K187" s="516"/>
      <c r="L187" s="516"/>
      <c r="M187" s="516"/>
      <c r="N187" s="516"/>
      <c r="O187" s="516"/>
      <c r="P187" s="516"/>
      <c r="Q187" s="516"/>
      <c r="R187" s="516"/>
      <c r="S187" s="516"/>
      <c r="T187" s="516"/>
      <c r="U187" s="516"/>
      <c r="V187" s="516"/>
      <c r="W187" s="516"/>
      <c r="X187" s="516"/>
      <c r="Y187" s="516"/>
      <c r="Z187" s="516"/>
    </row>
    <row r="188" ht="14.25" customHeight="1">
      <c r="A188" s="516"/>
      <c r="B188" s="516"/>
      <c r="C188" s="517"/>
      <c r="D188" s="517"/>
      <c r="E188" s="517"/>
      <c r="F188" s="516"/>
      <c r="G188" s="516"/>
      <c r="H188" s="516"/>
      <c r="I188" s="516"/>
      <c r="J188" s="516"/>
      <c r="K188" s="516"/>
      <c r="L188" s="516"/>
      <c r="M188" s="516"/>
      <c r="N188" s="516"/>
      <c r="O188" s="516"/>
      <c r="P188" s="516"/>
      <c r="Q188" s="516"/>
      <c r="R188" s="516"/>
      <c r="S188" s="516"/>
      <c r="T188" s="516"/>
      <c r="U188" s="516"/>
      <c r="V188" s="516"/>
      <c r="W188" s="516"/>
      <c r="X188" s="516"/>
      <c r="Y188" s="516"/>
      <c r="Z188" s="516"/>
    </row>
    <row r="189" ht="14.25" customHeight="1">
      <c r="A189" s="516"/>
      <c r="B189" s="516"/>
      <c r="C189" s="517"/>
      <c r="D189" s="517"/>
      <c r="E189" s="517"/>
      <c r="F189" s="516"/>
      <c r="G189" s="516"/>
      <c r="H189" s="516"/>
      <c r="I189" s="516"/>
      <c r="J189" s="516"/>
      <c r="K189" s="516"/>
      <c r="L189" s="516"/>
      <c r="M189" s="516"/>
      <c r="N189" s="516"/>
      <c r="O189" s="516"/>
      <c r="P189" s="516"/>
      <c r="Q189" s="516"/>
      <c r="R189" s="516"/>
      <c r="S189" s="516"/>
      <c r="T189" s="516"/>
      <c r="U189" s="516"/>
      <c r="V189" s="516"/>
      <c r="W189" s="516"/>
      <c r="X189" s="516"/>
      <c r="Y189" s="516"/>
      <c r="Z189" s="516"/>
    </row>
    <row r="190" ht="14.25" customHeight="1">
      <c r="A190" s="516"/>
      <c r="B190" s="516"/>
      <c r="C190" s="517"/>
      <c r="D190" s="517"/>
      <c r="E190" s="517"/>
      <c r="F190" s="516"/>
      <c r="G190" s="516"/>
      <c r="H190" s="516"/>
      <c r="I190" s="516"/>
      <c r="J190" s="516"/>
      <c r="K190" s="516"/>
      <c r="L190" s="516"/>
      <c r="M190" s="516"/>
      <c r="N190" s="516"/>
      <c r="O190" s="516"/>
      <c r="P190" s="516"/>
      <c r="Q190" s="516"/>
      <c r="R190" s="516"/>
      <c r="S190" s="516"/>
      <c r="T190" s="516"/>
      <c r="U190" s="516"/>
      <c r="V190" s="516"/>
      <c r="W190" s="516"/>
      <c r="X190" s="516"/>
      <c r="Y190" s="516"/>
      <c r="Z190" s="516"/>
    </row>
    <row r="191" ht="14.25" customHeight="1">
      <c r="A191" s="516"/>
      <c r="B191" s="516"/>
      <c r="C191" s="517"/>
      <c r="D191" s="517"/>
      <c r="E191" s="517"/>
      <c r="F191" s="516"/>
      <c r="G191" s="516"/>
      <c r="H191" s="516"/>
      <c r="I191" s="516"/>
      <c r="J191" s="516"/>
      <c r="K191" s="516"/>
      <c r="L191" s="516"/>
      <c r="M191" s="516"/>
      <c r="N191" s="516"/>
      <c r="O191" s="516"/>
      <c r="P191" s="516"/>
      <c r="Q191" s="516"/>
      <c r="R191" s="516"/>
      <c r="S191" s="516"/>
      <c r="T191" s="516"/>
      <c r="U191" s="516"/>
      <c r="V191" s="516"/>
      <c r="W191" s="516"/>
      <c r="X191" s="516"/>
      <c r="Y191" s="516"/>
      <c r="Z191" s="516"/>
    </row>
    <row r="192" ht="14.25" customHeight="1">
      <c r="A192" s="516"/>
      <c r="B192" s="516"/>
      <c r="C192" s="517"/>
      <c r="D192" s="517"/>
      <c r="E192" s="517"/>
      <c r="F192" s="516"/>
      <c r="G192" s="516"/>
      <c r="H192" s="516"/>
      <c r="I192" s="516"/>
      <c r="J192" s="516"/>
      <c r="K192" s="516"/>
      <c r="L192" s="516"/>
      <c r="M192" s="516"/>
      <c r="N192" s="516"/>
      <c r="O192" s="516"/>
      <c r="P192" s="516"/>
      <c r="Q192" s="516"/>
      <c r="R192" s="516"/>
      <c r="S192" s="516"/>
      <c r="T192" s="516"/>
      <c r="U192" s="516"/>
      <c r="V192" s="516"/>
      <c r="W192" s="516"/>
      <c r="X192" s="516"/>
      <c r="Y192" s="516"/>
      <c r="Z192" s="516"/>
    </row>
    <row r="193" ht="14.25" customHeight="1">
      <c r="A193" s="516"/>
      <c r="B193" s="516"/>
      <c r="C193" s="517"/>
      <c r="D193" s="517"/>
      <c r="E193" s="517"/>
      <c r="F193" s="516"/>
      <c r="G193" s="516"/>
      <c r="H193" s="516"/>
      <c r="I193" s="516"/>
      <c r="J193" s="516"/>
      <c r="K193" s="516"/>
      <c r="L193" s="516"/>
      <c r="M193" s="516"/>
      <c r="N193" s="516"/>
      <c r="O193" s="516"/>
      <c r="P193" s="516"/>
      <c r="Q193" s="516"/>
      <c r="R193" s="516"/>
      <c r="S193" s="516"/>
      <c r="T193" s="516"/>
      <c r="U193" s="516"/>
      <c r="V193" s="516"/>
      <c r="W193" s="516"/>
      <c r="X193" s="516"/>
      <c r="Y193" s="516"/>
      <c r="Z193" s="516"/>
    </row>
    <row r="194" ht="14.25" customHeight="1">
      <c r="A194" s="516"/>
      <c r="B194" s="516"/>
      <c r="C194" s="517"/>
      <c r="D194" s="517"/>
      <c r="E194" s="517"/>
      <c r="F194" s="516"/>
      <c r="G194" s="516"/>
      <c r="H194" s="516"/>
      <c r="I194" s="516"/>
      <c r="J194" s="516"/>
      <c r="K194" s="516"/>
      <c r="L194" s="516"/>
      <c r="M194" s="516"/>
      <c r="N194" s="516"/>
      <c r="O194" s="516"/>
      <c r="P194" s="516"/>
      <c r="Q194" s="516"/>
      <c r="R194" s="516"/>
      <c r="S194" s="516"/>
      <c r="T194" s="516"/>
      <c r="U194" s="516"/>
      <c r="V194" s="516"/>
      <c r="W194" s="516"/>
      <c r="X194" s="516"/>
      <c r="Y194" s="516"/>
      <c r="Z194" s="516"/>
    </row>
    <row r="195" ht="14.25" customHeight="1">
      <c r="A195" s="516"/>
      <c r="B195" s="516"/>
      <c r="C195" s="517"/>
      <c r="D195" s="517"/>
      <c r="E195" s="517"/>
      <c r="F195" s="516"/>
      <c r="G195" s="516"/>
      <c r="H195" s="516"/>
      <c r="I195" s="516"/>
      <c r="J195" s="516"/>
      <c r="K195" s="516"/>
      <c r="L195" s="516"/>
      <c r="M195" s="516"/>
      <c r="N195" s="516"/>
      <c r="O195" s="516"/>
      <c r="P195" s="516"/>
      <c r="Q195" s="516"/>
      <c r="R195" s="516"/>
      <c r="S195" s="516"/>
      <c r="T195" s="516"/>
      <c r="U195" s="516"/>
      <c r="V195" s="516"/>
      <c r="W195" s="516"/>
      <c r="X195" s="516"/>
      <c r="Y195" s="516"/>
      <c r="Z195" s="516"/>
    </row>
    <row r="196" ht="14.25" customHeight="1">
      <c r="A196" s="516"/>
      <c r="B196" s="516"/>
      <c r="C196" s="517"/>
      <c r="D196" s="517"/>
      <c r="E196" s="517"/>
      <c r="F196" s="516"/>
      <c r="G196" s="516"/>
      <c r="H196" s="516"/>
      <c r="I196" s="516"/>
      <c r="J196" s="516"/>
      <c r="K196" s="516"/>
      <c r="L196" s="516"/>
      <c r="M196" s="516"/>
      <c r="N196" s="516"/>
      <c r="O196" s="516"/>
      <c r="P196" s="516"/>
      <c r="Q196" s="516"/>
      <c r="R196" s="516"/>
      <c r="S196" s="516"/>
      <c r="T196" s="516"/>
      <c r="U196" s="516"/>
      <c r="V196" s="516"/>
      <c r="W196" s="516"/>
      <c r="X196" s="516"/>
      <c r="Y196" s="516"/>
      <c r="Z196" s="516"/>
    </row>
    <row r="197" ht="14.25" customHeight="1">
      <c r="A197" s="516"/>
      <c r="B197" s="516"/>
      <c r="C197" s="517"/>
      <c r="D197" s="517"/>
      <c r="E197" s="517"/>
      <c r="F197" s="516"/>
      <c r="G197" s="516"/>
      <c r="H197" s="516"/>
      <c r="I197" s="516"/>
      <c r="J197" s="516"/>
      <c r="K197" s="516"/>
      <c r="L197" s="516"/>
      <c r="M197" s="516"/>
      <c r="N197" s="516"/>
      <c r="O197" s="516"/>
      <c r="P197" s="516"/>
      <c r="Q197" s="516"/>
      <c r="R197" s="516"/>
      <c r="S197" s="516"/>
      <c r="T197" s="516"/>
      <c r="U197" s="516"/>
      <c r="V197" s="516"/>
      <c r="W197" s="516"/>
      <c r="X197" s="516"/>
      <c r="Y197" s="516"/>
      <c r="Z197" s="516"/>
    </row>
    <row r="198" ht="14.25" customHeight="1">
      <c r="A198" s="516"/>
      <c r="B198" s="516"/>
      <c r="C198" s="517"/>
      <c r="D198" s="517"/>
      <c r="E198" s="517"/>
      <c r="F198" s="516"/>
      <c r="G198" s="516"/>
      <c r="H198" s="516"/>
      <c r="I198" s="516"/>
      <c r="J198" s="516"/>
      <c r="K198" s="516"/>
      <c r="L198" s="516"/>
      <c r="M198" s="516"/>
      <c r="N198" s="516"/>
      <c r="O198" s="516"/>
      <c r="P198" s="516"/>
      <c r="Q198" s="516"/>
      <c r="R198" s="516"/>
      <c r="S198" s="516"/>
      <c r="T198" s="516"/>
      <c r="U198" s="516"/>
      <c r="V198" s="516"/>
      <c r="W198" s="516"/>
      <c r="X198" s="516"/>
      <c r="Y198" s="516"/>
      <c r="Z198" s="516"/>
    </row>
    <row r="199" ht="14.25" customHeight="1">
      <c r="A199" s="516"/>
      <c r="B199" s="516"/>
      <c r="C199" s="517"/>
      <c r="D199" s="517"/>
      <c r="E199" s="517"/>
      <c r="F199" s="516"/>
      <c r="G199" s="516"/>
      <c r="H199" s="516"/>
      <c r="I199" s="516"/>
      <c r="J199" s="516"/>
      <c r="K199" s="516"/>
      <c r="L199" s="516"/>
      <c r="M199" s="516"/>
      <c r="N199" s="516"/>
      <c r="O199" s="516"/>
      <c r="P199" s="516"/>
      <c r="Q199" s="516"/>
      <c r="R199" s="516"/>
      <c r="S199" s="516"/>
      <c r="T199" s="516"/>
      <c r="U199" s="516"/>
      <c r="V199" s="516"/>
      <c r="W199" s="516"/>
      <c r="X199" s="516"/>
      <c r="Y199" s="516"/>
      <c r="Z199" s="516"/>
    </row>
    <row r="200" ht="14.25" customHeight="1">
      <c r="A200" s="516"/>
      <c r="B200" s="516"/>
      <c r="C200" s="517"/>
      <c r="D200" s="517"/>
      <c r="E200" s="517"/>
      <c r="F200" s="516"/>
      <c r="G200" s="516"/>
      <c r="H200" s="516"/>
      <c r="I200" s="516"/>
      <c r="J200" s="516"/>
      <c r="K200" s="516"/>
      <c r="L200" s="516"/>
      <c r="M200" s="516"/>
      <c r="N200" s="516"/>
      <c r="O200" s="516"/>
      <c r="P200" s="516"/>
      <c r="Q200" s="516"/>
      <c r="R200" s="516"/>
      <c r="S200" s="516"/>
      <c r="T200" s="516"/>
      <c r="U200" s="516"/>
      <c r="V200" s="516"/>
      <c r="W200" s="516"/>
      <c r="X200" s="516"/>
      <c r="Y200" s="516"/>
      <c r="Z200" s="516"/>
    </row>
    <row r="201" ht="14.25" customHeight="1">
      <c r="A201" s="516"/>
      <c r="B201" s="516"/>
      <c r="C201" s="517"/>
      <c r="D201" s="517"/>
      <c r="E201" s="517"/>
      <c r="F201" s="516"/>
      <c r="G201" s="516"/>
      <c r="H201" s="516"/>
      <c r="I201" s="516"/>
      <c r="J201" s="516"/>
      <c r="K201" s="516"/>
      <c r="L201" s="516"/>
      <c r="M201" s="516"/>
      <c r="N201" s="516"/>
      <c r="O201" s="516"/>
      <c r="P201" s="516"/>
      <c r="Q201" s="516"/>
      <c r="R201" s="516"/>
      <c r="S201" s="516"/>
      <c r="T201" s="516"/>
      <c r="U201" s="516"/>
      <c r="V201" s="516"/>
      <c r="W201" s="516"/>
      <c r="X201" s="516"/>
      <c r="Y201" s="516"/>
      <c r="Z201" s="516"/>
    </row>
    <row r="202" ht="14.25" customHeight="1">
      <c r="A202" s="516"/>
      <c r="B202" s="516"/>
      <c r="C202" s="517"/>
      <c r="D202" s="517"/>
      <c r="E202" s="517"/>
      <c r="F202" s="516"/>
      <c r="G202" s="516"/>
      <c r="H202" s="516"/>
      <c r="I202" s="516"/>
      <c r="J202" s="516"/>
      <c r="K202" s="516"/>
      <c r="L202" s="516"/>
      <c r="M202" s="516"/>
      <c r="N202" s="516"/>
      <c r="O202" s="516"/>
      <c r="P202" s="516"/>
      <c r="Q202" s="516"/>
      <c r="R202" s="516"/>
      <c r="S202" s="516"/>
      <c r="T202" s="516"/>
      <c r="U202" s="516"/>
      <c r="V202" s="516"/>
      <c r="W202" s="516"/>
      <c r="X202" s="516"/>
      <c r="Y202" s="516"/>
      <c r="Z202" s="516"/>
    </row>
    <row r="203" ht="14.25" customHeight="1">
      <c r="A203" s="516"/>
      <c r="B203" s="516"/>
      <c r="C203" s="517"/>
      <c r="D203" s="517"/>
      <c r="E203" s="517"/>
      <c r="F203" s="516"/>
      <c r="G203" s="516"/>
      <c r="H203" s="516"/>
      <c r="I203" s="516"/>
      <c r="J203" s="516"/>
      <c r="K203" s="516"/>
      <c r="L203" s="516"/>
      <c r="M203" s="516"/>
      <c r="N203" s="516"/>
      <c r="O203" s="516"/>
      <c r="P203" s="516"/>
      <c r="Q203" s="516"/>
      <c r="R203" s="516"/>
      <c r="S203" s="516"/>
      <c r="T203" s="516"/>
      <c r="U203" s="516"/>
      <c r="V203" s="516"/>
      <c r="W203" s="516"/>
      <c r="X203" s="516"/>
      <c r="Y203" s="516"/>
      <c r="Z203" s="516"/>
    </row>
    <row r="204" ht="14.25" customHeight="1">
      <c r="A204" s="516"/>
      <c r="B204" s="516"/>
      <c r="C204" s="517"/>
      <c r="D204" s="517"/>
      <c r="E204" s="517"/>
      <c r="F204" s="516"/>
      <c r="G204" s="516"/>
      <c r="H204" s="516"/>
      <c r="I204" s="516"/>
      <c r="J204" s="516"/>
      <c r="K204" s="516"/>
      <c r="L204" s="516"/>
      <c r="M204" s="516"/>
      <c r="N204" s="516"/>
      <c r="O204" s="516"/>
      <c r="P204" s="516"/>
      <c r="Q204" s="516"/>
      <c r="R204" s="516"/>
      <c r="S204" s="516"/>
      <c r="T204" s="516"/>
      <c r="U204" s="516"/>
      <c r="V204" s="516"/>
      <c r="W204" s="516"/>
      <c r="X204" s="516"/>
      <c r="Y204" s="516"/>
      <c r="Z204" s="516"/>
    </row>
    <row r="205" ht="14.25" customHeight="1">
      <c r="A205" s="516"/>
      <c r="B205" s="516"/>
      <c r="C205" s="517"/>
      <c r="D205" s="517"/>
      <c r="E205" s="517"/>
      <c r="F205" s="516"/>
      <c r="G205" s="516"/>
      <c r="H205" s="516"/>
      <c r="I205" s="516"/>
      <c r="J205" s="516"/>
      <c r="K205" s="516"/>
      <c r="L205" s="516"/>
      <c r="M205" s="516"/>
      <c r="N205" s="516"/>
      <c r="O205" s="516"/>
      <c r="P205" s="516"/>
      <c r="Q205" s="516"/>
      <c r="R205" s="516"/>
      <c r="S205" s="516"/>
      <c r="T205" s="516"/>
      <c r="U205" s="516"/>
      <c r="V205" s="516"/>
      <c r="W205" s="516"/>
      <c r="X205" s="516"/>
      <c r="Y205" s="516"/>
      <c r="Z205" s="516"/>
    </row>
    <row r="206" ht="14.25" customHeight="1">
      <c r="A206" s="516"/>
      <c r="B206" s="516"/>
      <c r="C206" s="517"/>
      <c r="D206" s="517"/>
      <c r="E206" s="517"/>
      <c r="F206" s="516"/>
      <c r="G206" s="516"/>
      <c r="H206" s="516"/>
      <c r="I206" s="516"/>
      <c r="J206" s="516"/>
      <c r="K206" s="516"/>
      <c r="L206" s="516"/>
      <c r="M206" s="516"/>
      <c r="N206" s="516"/>
      <c r="O206" s="516"/>
      <c r="P206" s="516"/>
      <c r="Q206" s="516"/>
      <c r="R206" s="516"/>
      <c r="S206" s="516"/>
      <c r="T206" s="516"/>
      <c r="U206" s="516"/>
      <c r="V206" s="516"/>
      <c r="W206" s="516"/>
      <c r="X206" s="516"/>
      <c r="Y206" s="516"/>
      <c r="Z206" s="516"/>
    </row>
    <row r="207" ht="14.25" customHeight="1">
      <c r="A207" s="516"/>
      <c r="B207" s="516"/>
      <c r="C207" s="517"/>
      <c r="D207" s="517"/>
      <c r="E207" s="517"/>
      <c r="F207" s="516"/>
      <c r="G207" s="516"/>
      <c r="H207" s="516"/>
      <c r="I207" s="516"/>
      <c r="J207" s="516"/>
      <c r="K207" s="516"/>
      <c r="L207" s="516"/>
      <c r="M207" s="516"/>
      <c r="N207" s="516"/>
      <c r="O207" s="516"/>
      <c r="P207" s="516"/>
      <c r="Q207" s="516"/>
      <c r="R207" s="516"/>
      <c r="S207" s="516"/>
      <c r="T207" s="516"/>
      <c r="U207" s="516"/>
      <c r="V207" s="516"/>
      <c r="W207" s="516"/>
      <c r="X207" s="516"/>
      <c r="Y207" s="516"/>
      <c r="Z207" s="516"/>
    </row>
    <row r="208" ht="14.25" customHeight="1">
      <c r="A208" s="516"/>
      <c r="B208" s="516"/>
      <c r="C208" s="517"/>
      <c r="D208" s="517"/>
      <c r="E208" s="517"/>
      <c r="F208" s="516"/>
      <c r="G208" s="516"/>
      <c r="H208" s="516"/>
      <c r="I208" s="516"/>
      <c r="J208" s="516"/>
      <c r="K208" s="516"/>
      <c r="L208" s="516"/>
      <c r="M208" s="516"/>
      <c r="N208" s="516"/>
      <c r="O208" s="516"/>
      <c r="P208" s="516"/>
      <c r="Q208" s="516"/>
      <c r="R208" s="516"/>
      <c r="S208" s="516"/>
      <c r="T208" s="516"/>
      <c r="U208" s="516"/>
      <c r="V208" s="516"/>
      <c r="W208" s="516"/>
      <c r="X208" s="516"/>
      <c r="Y208" s="516"/>
      <c r="Z208" s="516"/>
    </row>
    <row r="209" ht="14.25" customHeight="1">
      <c r="A209" s="516"/>
      <c r="B209" s="516"/>
      <c r="C209" s="517"/>
      <c r="D209" s="517"/>
      <c r="E209" s="517"/>
      <c r="F209" s="516"/>
      <c r="G209" s="516"/>
      <c r="H209" s="516"/>
      <c r="I209" s="516"/>
      <c r="J209" s="516"/>
      <c r="K209" s="516"/>
      <c r="L209" s="516"/>
      <c r="M209" s="516"/>
      <c r="N209" s="516"/>
      <c r="O209" s="516"/>
      <c r="P209" s="516"/>
      <c r="Q209" s="516"/>
      <c r="R209" s="516"/>
      <c r="S209" s="516"/>
      <c r="T209" s="516"/>
      <c r="U209" s="516"/>
      <c r="V209" s="516"/>
      <c r="W209" s="516"/>
      <c r="X209" s="516"/>
      <c r="Y209" s="516"/>
      <c r="Z209" s="516"/>
    </row>
    <row r="210" ht="14.25" customHeight="1">
      <c r="A210" s="516"/>
      <c r="B210" s="516"/>
      <c r="C210" s="517"/>
      <c r="D210" s="517"/>
      <c r="E210" s="517"/>
      <c r="F210" s="516"/>
      <c r="G210" s="516"/>
      <c r="H210" s="516"/>
      <c r="I210" s="516"/>
      <c r="J210" s="516"/>
      <c r="K210" s="516"/>
      <c r="L210" s="516"/>
      <c r="M210" s="516"/>
      <c r="N210" s="516"/>
      <c r="O210" s="516"/>
      <c r="P210" s="516"/>
      <c r="Q210" s="516"/>
      <c r="R210" s="516"/>
      <c r="S210" s="516"/>
      <c r="T210" s="516"/>
      <c r="U210" s="516"/>
      <c r="V210" s="516"/>
      <c r="W210" s="516"/>
      <c r="X210" s="516"/>
      <c r="Y210" s="516"/>
      <c r="Z210" s="516"/>
    </row>
    <row r="211" ht="14.25" customHeight="1">
      <c r="A211" s="516"/>
      <c r="B211" s="516"/>
      <c r="C211" s="517"/>
      <c r="D211" s="517"/>
      <c r="E211" s="517"/>
      <c r="F211" s="516"/>
      <c r="G211" s="516"/>
      <c r="H211" s="516"/>
      <c r="I211" s="516"/>
      <c r="J211" s="516"/>
      <c r="K211" s="516"/>
      <c r="L211" s="516"/>
      <c r="M211" s="516"/>
      <c r="N211" s="516"/>
      <c r="O211" s="516"/>
      <c r="P211" s="516"/>
      <c r="Q211" s="516"/>
      <c r="R211" s="516"/>
      <c r="S211" s="516"/>
      <c r="T211" s="516"/>
      <c r="U211" s="516"/>
      <c r="V211" s="516"/>
      <c r="W211" s="516"/>
      <c r="X211" s="516"/>
      <c r="Y211" s="516"/>
      <c r="Z211" s="516"/>
    </row>
    <row r="212" ht="14.25" customHeight="1">
      <c r="A212" s="516"/>
      <c r="B212" s="516"/>
      <c r="C212" s="517"/>
      <c r="D212" s="517"/>
      <c r="E212" s="517"/>
      <c r="F212" s="516"/>
      <c r="G212" s="516"/>
      <c r="H212" s="516"/>
      <c r="I212" s="516"/>
      <c r="J212" s="516"/>
      <c r="K212" s="516"/>
      <c r="L212" s="516"/>
      <c r="M212" s="516"/>
      <c r="N212" s="516"/>
      <c r="O212" s="516"/>
      <c r="P212" s="516"/>
      <c r="Q212" s="516"/>
      <c r="R212" s="516"/>
      <c r="S212" s="516"/>
      <c r="T212" s="516"/>
      <c r="U212" s="516"/>
      <c r="V212" s="516"/>
      <c r="W212" s="516"/>
      <c r="X212" s="516"/>
      <c r="Y212" s="516"/>
      <c r="Z212" s="516"/>
    </row>
    <row r="213" ht="14.25" customHeight="1">
      <c r="A213" s="516"/>
      <c r="B213" s="516"/>
      <c r="C213" s="517"/>
      <c r="D213" s="517"/>
      <c r="E213" s="517"/>
      <c r="F213" s="516"/>
      <c r="G213" s="516"/>
      <c r="H213" s="516"/>
      <c r="I213" s="516"/>
      <c r="J213" s="516"/>
      <c r="K213" s="516"/>
      <c r="L213" s="516"/>
      <c r="M213" s="516"/>
      <c r="N213" s="516"/>
      <c r="O213" s="516"/>
      <c r="P213" s="516"/>
      <c r="Q213" s="516"/>
      <c r="R213" s="516"/>
      <c r="S213" s="516"/>
      <c r="T213" s="516"/>
      <c r="U213" s="516"/>
      <c r="V213" s="516"/>
      <c r="W213" s="516"/>
      <c r="X213" s="516"/>
      <c r="Y213" s="516"/>
      <c r="Z213" s="516"/>
    </row>
    <row r="214" ht="14.25" customHeight="1">
      <c r="A214" s="516"/>
      <c r="B214" s="516"/>
      <c r="C214" s="517"/>
      <c r="D214" s="517"/>
      <c r="E214" s="517"/>
      <c r="F214" s="516"/>
      <c r="G214" s="516"/>
      <c r="H214" s="516"/>
      <c r="I214" s="516"/>
      <c r="J214" s="516"/>
      <c r="K214" s="516"/>
      <c r="L214" s="516"/>
      <c r="M214" s="516"/>
      <c r="N214" s="516"/>
      <c r="O214" s="516"/>
      <c r="P214" s="516"/>
      <c r="Q214" s="516"/>
      <c r="R214" s="516"/>
      <c r="S214" s="516"/>
      <c r="T214" s="516"/>
      <c r="U214" s="516"/>
      <c r="V214" s="516"/>
      <c r="W214" s="516"/>
      <c r="X214" s="516"/>
      <c r="Y214" s="516"/>
      <c r="Z214" s="516"/>
    </row>
    <row r="215" ht="14.25" customHeight="1">
      <c r="A215" s="516"/>
      <c r="B215" s="516"/>
      <c r="C215" s="517"/>
      <c r="D215" s="517"/>
      <c r="E215" s="517"/>
      <c r="F215" s="516"/>
      <c r="G215" s="516"/>
      <c r="H215" s="516"/>
      <c r="I215" s="516"/>
      <c r="J215" s="516"/>
      <c r="K215" s="516"/>
      <c r="L215" s="516"/>
      <c r="M215" s="516"/>
      <c r="N215" s="516"/>
      <c r="O215" s="516"/>
      <c r="P215" s="516"/>
      <c r="Q215" s="516"/>
      <c r="R215" s="516"/>
      <c r="S215" s="516"/>
      <c r="T215" s="516"/>
      <c r="U215" s="516"/>
      <c r="V215" s="516"/>
      <c r="W215" s="516"/>
      <c r="X215" s="516"/>
      <c r="Y215" s="516"/>
      <c r="Z215" s="516"/>
    </row>
    <row r="216" ht="14.25" customHeight="1">
      <c r="A216" s="516"/>
      <c r="B216" s="516"/>
      <c r="C216" s="517"/>
      <c r="D216" s="517"/>
      <c r="E216" s="517"/>
      <c r="F216" s="516"/>
      <c r="G216" s="516"/>
      <c r="H216" s="516"/>
      <c r="I216" s="516"/>
      <c r="J216" s="516"/>
      <c r="K216" s="516"/>
      <c r="L216" s="516"/>
      <c r="M216" s="516"/>
      <c r="N216" s="516"/>
      <c r="O216" s="516"/>
      <c r="P216" s="516"/>
      <c r="Q216" s="516"/>
      <c r="R216" s="516"/>
      <c r="S216" s="516"/>
      <c r="T216" s="516"/>
      <c r="U216" s="516"/>
      <c r="V216" s="516"/>
      <c r="W216" s="516"/>
      <c r="X216" s="516"/>
      <c r="Y216" s="516"/>
      <c r="Z216" s="516"/>
    </row>
    <row r="217" ht="14.25" customHeight="1">
      <c r="A217" s="516"/>
      <c r="B217" s="516"/>
      <c r="C217" s="517"/>
      <c r="D217" s="517"/>
      <c r="E217" s="517"/>
      <c r="F217" s="516"/>
      <c r="G217" s="516"/>
      <c r="H217" s="516"/>
      <c r="I217" s="516"/>
      <c r="J217" s="516"/>
      <c r="K217" s="516"/>
      <c r="L217" s="516"/>
      <c r="M217" s="516"/>
      <c r="N217" s="516"/>
      <c r="O217" s="516"/>
      <c r="P217" s="516"/>
      <c r="Q217" s="516"/>
      <c r="R217" s="516"/>
      <c r="S217" s="516"/>
      <c r="T217" s="516"/>
      <c r="U217" s="516"/>
      <c r="V217" s="516"/>
      <c r="W217" s="516"/>
      <c r="X217" s="516"/>
      <c r="Y217" s="516"/>
      <c r="Z217" s="516"/>
    </row>
    <row r="218" ht="14.25" customHeight="1">
      <c r="A218" s="516"/>
      <c r="B218" s="516"/>
      <c r="C218" s="517"/>
      <c r="D218" s="517"/>
      <c r="E218" s="517"/>
      <c r="F218" s="516"/>
      <c r="G218" s="516"/>
      <c r="H218" s="516"/>
      <c r="I218" s="516"/>
      <c r="J218" s="516"/>
      <c r="K218" s="516"/>
      <c r="L218" s="516"/>
      <c r="M218" s="516"/>
      <c r="N218" s="516"/>
      <c r="O218" s="516"/>
      <c r="P218" s="516"/>
      <c r="Q218" s="516"/>
      <c r="R218" s="516"/>
      <c r="S218" s="516"/>
      <c r="T218" s="516"/>
      <c r="U218" s="516"/>
      <c r="V218" s="516"/>
      <c r="W218" s="516"/>
      <c r="X218" s="516"/>
      <c r="Y218" s="516"/>
      <c r="Z218" s="516"/>
    </row>
    <row r="219" ht="14.25" customHeight="1">
      <c r="A219" s="516"/>
      <c r="B219" s="516"/>
      <c r="C219" s="517"/>
      <c r="D219" s="517"/>
      <c r="E219" s="517"/>
      <c r="F219" s="516"/>
      <c r="G219" s="516"/>
      <c r="H219" s="516"/>
      <c r="I219" s="516"/>
      <c r="J219" s="516"/>
      <c r="K219" s="516"/>
      <c r="L219" s="516"/>
      <c r="M219" s="516"/>
      <c r="N219" s="516"/>
      <c r="O219" s="516"/>
      <c r="P219" s="516"/>
      <c r="Q219" s="516"/>
      <c r="R219" s="516"/>
      <c r="S219" s="516"/>
      <c r="T219" s="516"/>
      <c r="U219" s="516"/>
      <c r="V219" s="516"/>
      <c r="W219" s="516"/>
      <c r="X219" s="516"/>
      <c r="Y219" s="516"/>
      <c r="Z219" s="516"/>
    </row>
    <row r="220" ht="14.25" customHeight="1">
      <c r="A220" s="516"/>
      <c r="B220" s="516"/>
      <c r="C220" s="517"/>
      <c r="D220" s="517"/>
      <c r="E220" s="517"/>
      <c r="F220" s="516"/>
      <c r="G220" s="516"/>
      <c r="H220" s="516"/>
      <c r="I220" s="516"/>
      <c r="J220" s="516"/>
      <c r="K220" s="516"/>
      <c r="L220" s="516"/>
      <c r="M220" s="516"/>
      <c r="N220" s="516"/>
      <c r="O220" s="516"/>
      <c r="P220" s="516"/>
      <c r="Q220" s="516"/>
      <c r="R220" s="516"/>
      <c r="S220" s="516"/>
      <c r="T220" s="516"/>
      <c r="U220" s="516"/>
      <c r="V220" s="516"/>
      <c r="W220" s="516"/>
      <c r="X220" s="516"/>
      <c r="Y220" s="516"/>
      <c r="Z220" s="516"/>
    </row>
    <row r="221" ht="14.25" customHeight="1">
      <c r="A221" s="516"/>
      <c r="B221" s="516"/>
      <c r="C221" s="517"/>
      <c r="D221" s="517"/>
      <c r="E221" s="517"/>
      <c r="F221" s="516"/>
      <c r="G221" s="516"/>
      <c r="H221" s="516"/>
      <c r="I221" s="516"/>
      <c r="J221" s="516"/>
      <c r="K221" s="516"/>
      <c r="L221" s="516"/>
      <c r="M221" s="516"/>
      <c r="N221" s="516"/>
      <c r="O221" s="516"/>
      <c r="P221" s="516"/>
      <c r="Q221" s="516"/>
      <c r="R221" s="516"/>
      <c r="S221" s="516"/>
      <c r="T221" s="516"/>
      <c r="U221" s="516"/>
      <c r="V221" s="516"/>
      <c r="W221" s="516"/>
      <c r="X221" s="516"/>
      <c r="Y221" s="516"/>
      <c r="Z221" s="516"/>
    </row>
    <row r="222" ht="14.25" customHeight="1">
      <c r="A222" s="516"/>
      <c r="B222" s="516"/>
      <c r="C222" s="517"/>
      <c r="D222" s="517"/>
      <c r="E222" s="517"/>
      <c r="F222" s="516"/>
      <c r="G222" s="516"/>
      <c r="H222" s="516"/>
      <c r="I222" s="516"/>
      <c r="J222" s="516"/>
      <c r="K222" s="516"/>
      <c r="L222" s="516"/>
      <c r="M222" s="516"/>
      <c r="N222" s="516"/>
      <c r="O222" s="516"/>
      <c r="P222" s="516"/>
      <c r="Q222" s="516"/>
      <c r="R222" s="516"/>
      <c r="S222" s="516"/>
      <c r="T222" s="516"/>
      <c r="U222" s="516"/>
      <c r="V222" s="516"/>
      <c r="W222" s="516"/>
      <c r="X222" s="516"/>
      <c r="Y222" s="516"/>
      <c r="Z222" s="516"/>
    </row>
    <row r="223" ht="14.25" customHeight="1">
      <c r="A223" s="516"/>
      <c r="B223" s="516"/>
      <c r="C223" s="517"/>
      <c r="D223" s="517"/>
      <c r="E223" s="517"/>
      <c r="F223" s="516"/>
      <c r="G223" s="516"/>
      <c r="H223" s="516"/>
      <c r="I223" s="516"/>
      <c r="J223" s="516"/>
      <c r="K223" s="516"/>
      <c r="L223" s="516"/>
      <c r="M223" s="516"/>
      <c r="N223" s="516"/>
      <c r="O223" s="516"/>
      <c r="P223" s="516"/>
      <c r="Q223" s="516"/>
      <c r="R223" s="516"/>
      <c r="S223" s="516"/>
      <c r="T223" s="516"/>
      <c r="U223" s="516"/>
      <c r="V223" s="516"/>
      <c r="W223" s="516"/>
      <c r="X223" s="516"/>
      <c r="Y223" s="516"/>
      <c r="Z223" s="516"/>
    </row>
    <row r="224" ht="14.25" customHeight="1">
      <c r="A224" s="516"/>
      <c r="B224" s="516"/>
      <c r="C224" s="517"/>
      <c r="D224" s="517"/>
      <c r="E224" s="517"/>
      <c r="F224" s="516"/>
      <c r="G224" s="516"/>
      <c r="H224" s="516"/>
      <c r="I224" s="516"/>
      <c r="J224" s="516"/>
      <c r="K224" s="516"/>
      <c r="L224" s="516"/>
      <c r="M224" s="516"/>
      <c r="N224" s="516"/>
      <c r="O224" s="516"/>
      <c r="P224" s="516"/>
      <c r="Q224" s="516"/>
      <c r="R224" s="516"/>
      <c r="S224" s="516"/>
      <c r="T224" s="516"/>
      <c r="U224" s="516"/>
      <c r="V224" s="516"/>
      <c r="W224" s="516"/>
      <c r="X224" s="516"/>
      <c r="Y224" s="516"/>
      <c r="Z224" s="516"/>
    </row>
    <row r="225" ht="14.25" customHeight="1">
      <c r="A225" s="516"/>
      <c r="B225" s="516"/>
      <c r="C225" s="517"/>
      <c r="D225" s="517"/>
      <c r="E225" s="517"/>
      <c r="F225" s="516"/>
      <c r="G225" s="516"/>
      <c r="H225" s="516"/>
      <c r="I225" s="516"/>
      <c r="J225" s="516"/>
      <c r="K225" s="516"/>
      <c r="L225" s="516"/>
      <c r="M225" s="516"/>
      <c r="N225" s="516"/>
      <c r="O225" s="516"/>
      <c r="P225" s="516"/>
      <c r="Q225" s="516"/>
      <c r="R225" s="516"/>
      <c r="S225" s="516"/>
      <c r="T225" s="516"/>
      <c r="U225" s="516"/>
      <c r="V225" s="516"/>
      <c r="W225" s="516"/>
      <c r="X225" s="516"/>
      <c r="Y225" s="516"/>
      <c r="Z225" s="516"/>
    </row>
    <row r="226" ht="14.25" customHeight="1">
      <c r="A226" s="516"/>
      <c r="B226" s="516"/>
      <c r="C226" s="517"/>
      <c r="D226" s="517"/>
      <c r="E226" s="517"/>
      <c r="F226" s="516"/>
      <c r="G226" s="516"/>
      <c r="H226" s="516"/>
      <c r="I226" s="516"/>
      <c r="J226" s="516"/>
      <c r="K226" s="516"/>
      <c r="L226" s="516"/>
      <c r="M226" s="516"/>
      <c r="N226" s="516"/>
      <c r="O226" s="516"/>
      <c r="P226" s="516"/>
      <c r="Q226" s="516"/>
      <c r="R226" s="516"/>
      <c r="S226" s="516"/>
      <c r="T226" s="516"/>
      <c r="U226" s="516"/>
      <c r="V226" s="516"/>
      <c r="W226" s="516"/>
      <c r="X226" s="516"/>
      <c r="Y226" s="516"/>
      <c r="Z226" s="516"/>
    </row>
    <row r="227" ht="14.25" customHeight="1">
      <c r="A227" s="516"/>
      <c r="B227" s="516"/>
      <c r="C227" s="517"/>
      <c r="D227" s="517"/>
      <c r="E227" s="517"/>
      <c r="F227" s="516"/>
      <c r="G227" s="516"/>
      <c r="H227" s="516"/>
      <c r="I227" s="516"/>
      <c r="J227" s="516"/>
      <c r="K227" s="516"/>
      <c r="L227" s="516"/>
      <c r="M227" s="516"/>
      <c r="N227" s="516"/>
      <c r="O227" s="516"/>
      <c r="P227" s="516"/>
      <c r="Q227" s="516"/>
      <c r="R227" s="516"/>
      <c r="S227" s="516"/>
      <c r="T227" s="516"/>
      <c r="U227" s="516"/>
      <c r="V227" s="516"/>
      <c r="W227" s="516"/>
      <c r="X227" s="516"/>
      <c r="Y227" s="516"/>
      <c r="Z227" s="516"/>
    </row>
    <row r="228" ht="14.25" customHeight="1">
      <c r="A228" s="516"/>
      <c r="B228" s="516"/>
      <c r="C228" s="517"/>
      <c r="D228" s="517"/>
      <c r="E228" s="517"/>
      <c r="F228" s="516"/>
      <c r="G228" s="516"/>
      <c r="H228" s="516"/>
      <c r="I228" s="516"/>
      <c r="J228" s="516"/>
      <c r="K228" s="516"/>
      <c r="L228" s="516"/>
      <c r="M228" s="516"/>
      <c r="N228" s="516"/>
      <c r="O228" s="516"/>
      <c r="P228" s="516"/>
      <c r="Q228" s="516"/>
      <c r="R228" s="516"/>
      <c r="S228" s="516"/>
      <c r="T228" s="516"/>
      <c r="U228" s="516"/>
      <c r="V228" s="516"/>
      <c r="W228" s="516"/>
      <c r="X228" s="516"/>
      <c r="Y228" s="516"/>
      <c r="Z228" s="516"/>
    </row>
    <row r="229" ht="14.25" customHeight="1">
      <c r="A229" s="516"/>
      <c r="B229" s="516"/>
      <c r="C229" s="517"/>
      <c r="D229" s="517"/>
      <c r="E229" s="517"/>
      <c r="F229" s="516"/>
      <c r="G229" s="516"/>
      <c r="H229" s="516"/>
      <c r="I229" s="516"/>
      <c r="J229" s="516"/>
      <c r="K229" s="516"/>
      <c r="L229" s="516"/>
      <c r="M229" s="516"/>
      <c r="N229" s="516"/>
      <c r="O229" s="516"/>
      <c r="P229" s="516"/>
      <c r="Q229" s="516"/>
      <c r="R229" s="516"/>
      <c r="S229" s="516"/>
      <c r="T229" s="516"/>
      <c r="U229" s="516"/>
      <c r="V229" s="516"/>
      <c r="W229" s="516"/>
      <c r="X229" s="516"/>
      <c r="Y229" s="516"/>
      <c r="Z229" s="516"/>
    </row>
    <row r="230" ht="14.25" customHeight="1">
      <c r="A230" s="516"/>
      <c r="B230" s="516"/>
      <c r="C230" s="517"/>
      <c r="D230" s="517"/>
      <c r="E230" s="517"/>
      <c r="F230" s="516"/>
      <c r="G230" s="516"/>
      <c r="H230" s="516"/>
      <c r="I230" s="516"/>
      <c r="J230" s="516"/>
      <c r="K230" s="516"/>
      <c r="L230" s="516"/>
      <c r="M230" s="516"/>
      <c r="N230" s="516"/>
      <c r="O230" s="516"/>
      <c r="P230" s="516"/>
      <c r="Q230" s="516"/>
      <c r="R230" s="516"/>
      <c r="S230" s="516"/>
      <c r="T230" s="516"/>
      <c r="U230" s="516"/>
      <c r="V230" s="516"/>
      <c r="W230" s="516"/>
      <c r="X230" s="516"/>
      <c r="Y230" s="516"/>
      <c r="Z230" s="516"/>
    </row>
    <row r="231" ht="14.25" customHeight="1">
      <c r="A231" s="516"/>
      <c r="B231" s="516"/>
      <c r="C231" s="517"/>
      <c r="D231" s="517"/>
      <c r="E231" s="517"/>
      <c r="F231" s="516"/>
      <c r="G231" s="516"/>
      <c r="H231" s="516"/>
      <c r="I231" s="516"/>
      <c r="J231" s="516"/>
      <c r="K231" s="516"/>
      <c r="L231" s="516"/>
      <c r="M231" s="516"/>
      <c r="N231" s="516"/>
      <c r="O231" s="516"/>
      <c r="P231" s="516"/>
      <c r="Q231" s="516"/>
      <c r="R231" s="516"/>
      <c r="S231" s="516"/>
      <c r="T231" s="516"/>
      <c r="U231" s="516"/>
      <c r="V231" s="516"/>
      <c r="W231" s="516"/>
      <c r="X231" s="516"/>
      <c r="Y231" s="516"/>
      <c r="Z231" s="516"/>
    </row>
    <row r="232" ht="14.25" customHeight="1">
      <c r="A232" s="516"/>
      <c r="B232" s="516"/>
      <c r="C232" s="517"/>
      <c r="D232" s="517"/>
      <c r="E232" s="517"/>
      <c r="F232" s="516"/>
      <c r="G232" s="516"/>
      <c r="H232" s="516"/>
      <c r="I232" s="516"/>
      <c r="J232" s="516"/>
      <c r="K232" s="516"/>
      <c r="L232" s="516"/>
      <c r="M232" s="516"/>
      <c r="N232" s="516"/>
      <c r="O232" s="516"/>
      <c r="P232" s="516"/>
      <c r="Q232" s="516"/>
      <c r="R232" s="516"/>
      <c r="S232" s="516"/>
      <c r="T232" s="516"/>
      <c r="U232" s="516"/>
      <c r="V232" s="516"/>
      <c r="W232" s="516"/>
      <c r="X232" s="516"/>
      <c r="Y232" s="516"/>
      <c r="Z232" s="516"/>
    </row>
    <row r="233" ht="14.25" customHeight="1">
      <c r="A233" s="516"/>
      <c r="B233" s="516"/>
      <c r="C233" s="517"/>
      <c r="D233" s="517"/>
      <c r="E233" s="517"/>
      <c r="F233" s="516"/>
      <c r="G233" s="516"/>
      <c r="H233" s="516"/>
      <c r="I233" s="516"/>
      <c r="J233" s="516"/>
      <c r="K233" s="516"/>
      <c r="L233" s="516"/>
      <c r="M233" s="516"/>
      <c r="N233" s="516"/>
      <c r="O233" s="516"/>
      <c r="P233" s="516"/>
      <c r="Q233" s="516"/>
      <c r="R233" s="516"/>
      <c r="S233" s="516"/>
      <c r="T233" s="516"/>
      <c r="U233" s="516"/>
      <c r="V233" s="516"/>
      <c r="W233" s="516"/>
      <c r="X233" s="516"/>
      <c r="Y233" s="516"/>
      <c r="Z233" s="516"/>
    </row>
    <row r="234" ht="14.25" customHeight="1">
      <c r="A234" s="516"/>
      <c r="B234" s="516"/>
      <c r="C234" s="517"/>
      <c r="D234" s="517"/>
      <c r="E234" s="517"/>
      <c r="F234" s="516"/>
      <c r="G234" s="516"/>
      <c r="H234" s="516"/>
      <c r="I234" s="516"/>
      <c r="J234" s="516"/>
      <c r="K234" s="516"/>
      <c r="L234" s="516"/>
      <c r="M234" s="516"/>
      <c r="N234" s="516"/>
      <c r="O234" s="516"/>
      <c r="P234" s="516"/>
      <c r="Q234" s="516"/>
      <c r="R234" s="516"/>
      <c r="S234" s="516"/>
      <c r="T234" s="516"/>
      <c r="U234" s="516"/>
      <c r="V234" s="516"/>
      <c r="W234" s="516"/>
      <c r="X234" s="516"/>
      <c r="Y234" s="516"/>
      <c r="Z234" s="516"/>
    </row>
    <row r="235" ht="14.25" customHeight="1">
      <c r="A235" s="516"/>
      <c r="B235" s="516"/>
      <c r="C235" s="517"/>
      <c r="D235" s="517"/>
      <c r="E235" s="517"/>
      <c r="F235" s="516"/>
      <c r="G235" s="516"/>
      <c r="H235" s="516"/>
      <c r="I235" s="516"/>
      <c r="J235" s="516"/>
      <c r="K235" s="516"/>
      <c r="L235" s="516"/>
      <c r="M235" s="516"/>
      <c r="N235" s="516"/>
      <c r="O235" s="516"/>
      <c r="P235" s="516"/>
      <c r="Q235" s="516"/>
      <c r="R235" s="516"/>
      <c r="S235" s="516"/>
      <c r="T235" s="516"/>
      <c r="U235" s="516"/>
      <c r="V235" s="516"/>
      <c r="W235" s="516"/>
      <c r="X235" s="516"/>
      <c r="Y235" s="516"/>
      <c r="Z235" s="516"/>
    </row>
    <row r="236" ht="14.25" customHeight="1">
      <c r="A236" s="516"/>
      <c r="B236" s="516"/>
      <c r="C236" s="517"/>
      <c r="D236" s="517"/>
      <c r="E236" s="517"/>
      <c r="F236" s="516"/>
      <c r="G236" s="516"/>
      <c r="H236" s="516"/>
      <c r="I236" s="516"/>
      <c r="J236" s="516"/>
      <c r="K236" s="516"/>
      <c r="L236" s="516"/>
      <c r="M236" s="516"/>
      <c r="N236" s="516"/>
      <c r="O236" s="516"/>
      <c r="P236" s="516"/>
      <c r="Q236" s="516"/>
      <c r="R236" s="516"/>
      <c r="S236" s="516"/>
      <c r="T236" s="516"/>
      <c r="U236" s="516"/>
      <c r="V236" s="516"/>
      <c r="W236" s="516"/>
      <c r="X236" s="516"/>
      <c r="Y236" s="516"/>
      <c r="Z236" s="516"/>
    </row>
    <row r="237" ht="14.25" customHeight="1">
      <c r="A237" s="516"/>
      <c r="B237" s="516"/>
      <c r="C237" s="517"/>
      <c r="D237" s="517"/>
      <c r="E237" s="517"/>
      <c r="F237" s="516"/>
      <c r="G237" s="516"/>
      <c r="H237" s="516"/>
      <c r="I237" s="516"/>
      <c r="J237" s="516"/>
      <c r="K237" s="516"/>
      <c r="L237" s="516"/>
      <c r="M237" s="516"/>
      <c r="N237" s="516"/>
      <c r="O237" s="516"/>
      <c r="P237" s="516"/>
      <c r="Q237" s="516"/>
      <c r="R237" s="516"/>
      <c r="S237" s="516"/>
      <c r="T237" s="516"/>
      <c r="U237" s="516"/>
      <c r="V237" s="516"/>
      <c r="W237" s="516"/>
      <c r="X237" s="516"/>
      <c r="Y237" s="516"/>
      <c r="Z237" s="516"/>
    </row>
    <row r="238" ht="14.25" customHeight="1">
      <c r="A238" s="516"/>
      <c r="B238" s="516"/>
      <c r="C238" s="517"/>
      <c r="D238" s="517"/>
      <c r="E238" s="517"/>
      <c r="F238" s="516"/>
      <c r="G238" s="516"/>
      <c r="H238" s="516"/>
      <c r="I238" s="516"/>
      <c r="J238" s="516"/>
      <c r="K238" s="516"/>
      <c r="L238" s="516"/>
      <c r="M238" s="516"/>
      <c r="N238" s="516"/>
      <c r="O238" s="516"/>
      <c r="P238" s="516"/>
      <c r="Q238" s="516"/>
      <c r="R238" s="516"/>
      <c r="S238" s="516"/>
      <c r="T238" s="516"/>
      <c r="U238" s="516"/>
      <c r="V238" s="516"/>
      <c r="W238" s="516"/>
      <c r="X238" s="516"/>
      <c r="Y238" s="516"/>
      <c r="Z238" s="516"/>
    </row>
    <row r="239" ht="14.25" customHeight="1">
      <c r="A239" s="516"/>
      <c r="B239" s="516"/>
      <c r="C239" s="517"/>
      <c r="D239" s="517"/>
      <c r="E239" s="517"/>
      <c r="F239" s="516"/>
      <c r="G239" s="516"/>
      <c r="H239" s="516"/>
      <c r="I239" s="516"/>
      <c r="J239" s="516"/>
      <c r="K239" s="516"/>
      <c r="L239" s="516"/>
      <c r="M239" s="516"/>
      <c r="N239" s="516"/>
      <c r="O239" s="516"/>
      <c r="P239" s="516"/>
      <c r="Q239" s="516"/>
      <c r="R239" s="516"/>
      <c r="S239" s="516"/>
      <c r="T239" s="516"/>
      <c r="U239" s="516"/>
      <c r="V239" s="516"/>
      <c r="W239" s="516"/>
      <c r="X239" s="516"/>
      <c r="Y239" s="516"/>
      <c r="Z239" s="516"/>
    </row>
    <row r="240" ht="14.25" customHeight="1">
      <c r="A240" s="516"/>
      <c r="B240" s="516"/>
      <c r="C240" s="517"/>
      <c r="D240" s="517"/>
      <c r="E240" s="517"/>
      <c r="F240" s="516"/>
      <c r="G240" s="516"/>
      <c r="H240" s="516"/>
      <c r="I240" s="516"/>
      <c r="J240" s="516"/>
      <c r="K240" s="516"/>
      <c r="L240" s="516"/>
      <c r="M240" s="516"/>
      <c r="N240" s="516"/>
      <c r="O240" s="516"/>
      <c r="P240" s="516"/>
      <c r="Q240" s="516"/>
      <c r="R240" s="516"/>
      <c r="S240" s="516"/>
      <c r="T240" s="516"/>
      <c r="U240" s="516"/>
      <c r="V240" s="516"/>
      <c r="W240" s="516"/>
      <c r="X240" s="516"/>
      <c r="Y240" s="516"/>
      <c r="Z240" s="516"/>
    </row>
    <row r="241" ht="14.25" customHeight="1">
      <c r="A241" s="516"/>
      <c r="B241" s="516"/>
      <c r="C241" s="517"/>
      <c r="D241" s="517"/>
      <c r="E241" s="517"/>
      <c r="F241" s="516"/>
      <c r="G241" s="516"/>
      <c r="H241" s="516"/>
      <c r="I241" s="516"/>
      <c r="J241" s="516"/>
      <c r="K241" s="516"/>
      <c r="L241" s="516"/>
      <c r="M241" s="516"/>
      <c r="N241" s="516"/>
      <c r="O241" s="516"/>
      <c r="P241" s="516"/>
      <c r="Q241" s="516"/>
      <c r="R241" s="516"/>
      <c r="S241" s="516"/>
      <c r="T241" s="516"/>
      <c r="U241" s="516"/>
      <c r="V241" s="516"/>
      <c r="W241" s="516"/>
      <c r="X241" s="516"/>
      <c r="Y241" s="516"/>
      <c r="Z241" s="516"/>
    </row>
    <row r="242" ht="14.25" customHeight="1">
      <c r="A242" s="516"/>
      <c r="B242" s="516"/>
      <c r="C242" s="517"/>
      <c r="D242" s="517"/>
      <c r="E242" s="517"/>
      <c r="F242" s="516"/>
      <c r="G242" s="516"/>
      <c r="H242" s="516"/>
      <c r="I242" s="516"/>
      <c r="J242" s="516"/>
      <c r="K242" s="516"/>
      <c r="L242" s="516"/>
      <c r="M242" s="516"/>
      <c r="N242" s="516"/>
      <c r="O242" s="516"/>
      <c r="P242" s="516"/>
      <c r="Q242" s="516"/>
      <c r="R242" s="516"/>
      <c r="S242" s="516"/>
      <c r="T242" s="516"/>
      <c r="U242" s="516"/>
      <c r="V242" s="516"/>
      <c r="W242" s="516"/>
      <c r="X242" s="516"/>
      <c r="Y242" s="516"/>
      <c r="Z242" s="516"/>
    </row>
    <row r="243" ht="14.25" customHeight="1">
      <c r="A243" s="516"/>
      <c r="B243" s="516"/>
      <c r="C243" s="517"/>
      <c r="D243" s="517"/>
      <c r="E243" s="517"/>
      <c r="F243" s="516"/>
      <c r="G243" s="516"/>
      <c r="H243" s="516"/>
      <c r="I243" s="516"/>
      <c r="J243" s="516"/>
      <c r="K243" s="516"/>
      <c r="L243" s="516"/>
      <c r="M243" s="516"/>
      <c r="N243" s="516"/>
      <c r="O243" s="516"/>
      <c r="P243" s="516"/>
      <c r="Q243" s="516"/>
      <c r="R243" s="516"/>
      <c r="S243" s="516"/>
      <c r="T243" s="516"/>
      <c r="U243" s="516"/>
      <c r="V243" s="516"/>
      <c r="W243" s="516"/>
      <c r="X243" s="516"/>
      <c r="Y243" s="516"/>
      <c r="Z243" s="516"/>
    </row>
    <row r="244" ht="14.25" customHeight="1">
      <c r="A244" s="516"/>
      <c r="B244" s="516"/>
      <c r="C244" s="517"/>
      <c r="D244" s="517"/>
      <c r="E244" s="517"/>
      <c r="F244" s="516"/>
      <c r="G244" s="516"/>
      <c r="H244" s="516"/>
      <c r="I244" s="516"/>
      <c r="J244" s="516"/>
      <c r="K244" s="516"/>
      <c r="L244" s="516"/>
      <c r="M244" s="516"/>
      <c r="N244" s="516"/>
      <c r="O244" s="516"/>
      <c r="P244" s="516"/>
      <c r="Q244" s="516"/>
      <c r="R244" s="516"/>
      <c r="S244" s="516"/>
      <c r="T244" s="516"/>
      <c r="U244" s="516"/>
      <c r="V244" s="516"/>
      <c r="W244" s="516"/>
      <c r="X244" s="516"/>
      <c r="Y244" s="516"/>
      <c r="Z244" s="516"/>
    </row>
    <row r="245" ht="14.25" customHeight="1">
      <c r="A245" s="516"/>
      <c r="B245" s="516"/>
      <c r="C245" s="517"/>
      <c r="D245" s="517"/>
      <c r="E245" s="517"/>
      <c r="F245" s="516"/>
      <c r="G245" s="516"/>
      <c r="H245" s="516"/>
      <c r="I245" s="516"/>
      <c r="J245" s="516"/>
      <c r="K245" s="516"/>
      <c r="L245" s="516"/>
      <c r="M245" s="516"/>
      <c r="N245" s="516"/>
      <c r="O245" s="516"/>
      <c r="P245" s="516"/>
      <c r="Q245" s="516"/>
      <c r="R245" s="516"/>
      <c r="S245" s="516"/>
      <c r="T245" s="516"/>
      <c r="U245" s="516"/>
      <c r="V245" s="516"/>
      <c r="W245" s="516"/>
      <c r="X245" s="516"/>
      <c r="Y245" s="516"/>
      <c r="Z245" s="516"/>
    </row>
    <row r="246" ht="14.25" customHeight="1">
      <c r="A246" s="516"/>
      <c r="B246" s="516"/>
      <c r="C246" s="517"/>
      <c r="D246" s="517"/>
      <c r="E246" s="517"/>
      <c r="F246" s="516"/>
      <c r="G246" s="516"/>
      <c r="H246" s="516"/>
      <c r="I246" s="516"/>
      <c r="J246" s="516"/>
      <c r="K246" s="516"/>
      <c r="L246" s="516"/>
      <c r="M246" s="516"/>
      <c r="N246" s="516"/>
      <c r="O246" s="516"/>
      <c r="P246" s="516"/>
      <c r="Q246" s="516"/>
      <c r="R246" s="516"/>
      <c r="S246" s="516"/>
      <c r="T246" s="516"/>
      <c r="U246" s="516"/>
      <c r="V246" s="516"/>
      <c r="W246" s="516"/>
      <c r="X246" s="516"/>
      <c r="Y246" s="516"/>
      <c r="Z246" s="516"/>
    </row>
    <row r="247" ht="14.25" customHeight="1">
      <c r="A247" s="516"/>
      <c r="B247" s="516"/>
      <c r="C247" s="517"/>
      <c r="D247" s="517"/>
      <c r="E247" s="517"/>
      <c r="F247" s="516"/>
      <c r="G247" s="516"/>
      <c r="H247" s="516"/>
      <c r="I247" s="516"/>
      <c r="J247" s="516"/>
      <c r="K247" s="516"/>
      <c r="L247" s="516"/>
      <c r="M247" s="516"/>
      <c r="N247" s="516"/>
      <c r="O247" s="516"/>
      <c r="P247" s="516"/>
      <c r="Q247" s="516"/>
      <c r="R247" s="516"/>
      <c r="S247" s="516"/>
      <c r="T247" s="516"/>
      <c r="U247" s="516"/>
      <c r="V247" s="516"/>
      <c r="W247" s="516"/>
      <c r="X247" s="516"/>
      <c r="Y247" s="516"/>
      <c r="Z247" s="516"/>
    </row>
    <row r="248" ht="14.25" customHeight="1">
      <c r="A248" s="516"/>
      <c r="B248" s="516"/>
      <c r="C248" s="517"/>
      <c r="D248" s="517"/>
      <c r="E248" s="517"/>
      <c r="F248" s="516"/>
      <c r="G248" s="516"/>
      <c r="H248" s="516"/>
      <c r="I248" s="516"/>
      <c r="J248" s="516"/>
      <c r="K248" s="516"/>
      <c r="L248" s="516"/>
      <c r="M248" s="516"/>
      <c r="N248" s="516"/>
      <c r="O248" s="516"/>
      <c r="P248" s="516"/>
      <c r="Q248" s="516"/>
      <c r="R248" s="516"/>
      <c r="S248" s="516"/>
      <c r="T248" s="516"/>
      <c r="U248" s="516"/>
      <c r="V248" s="516"/>
      <c r="W248" s="516"/>
      <c r="X248" s="516"/>
      <c r="Y248" s="516"/>
      <c r="Z248" s="516"/>
    </row>
    <row r="249" ht="14.25" customHeight="1">
      <c r="A249" s="516"/>
      <c r="B249" s="516"/>
      <c r="C249" s="517"/>
      <c r="D249" s="517"/>
      <c r="E249" s="517"/>
      <c r="F249" s="516"/>
      <c r="G249" s="516"/>
      <c r="H249" s="516"/>
      <c r="I249" s="516"/>
      <c r="J249" s="516"/>
      <c r="K249" s="516"/>
      <c r="L249" s="516"/>
      <c r="M249" s="516"/>
      <c r="N249" s="516"/>
      <c r="O249" s="516"/>
      <c r="P249" s="516"/>
      <c r="Q249" s="516"/>
      <c r="R249" s="516"/>
      <c r="S249" s="516"/>
      <c r="T249" s="516"/>
      <c r="U249" s="516"/>
      <c r="V249" s="516"/>
      <c r="W249" s="516"/>
      <c r="X249" s="516"/>
      <c r="Y249" s="516"/>
      <c r="Z249" s="516"/>
    </row>
    <row r="250" ht="14.25" customHeight="1">
      <c r="A250" s="516"/>
      <c r="B250" s="516"/>
      <c r="C250" s="517"/>
      <c r="D250" s="517"/>
      <c r="E250" s="517"/>
      <c r="F250" s="516"/>
      <c r="G250" s="516"/>
      <c r="H250" s="516"/>
      <c r="I250" s="516"/>
      <c r="J250" s="516"/>
      <c r="K250" s="516"/>
      <c r="L250" s="516"/>
      <c r="M250" s="516"/>
      <c r="N250" s="516"/>
      <c r="O250" s="516"/>
      <c r="P250" s="516"/>
      <c r="Q250" s="516"/>
      <c r="R250" s="516"/>
      <c r="S250" s="516"/>
      <c r="T250" s="516"/>
      <c r="U250" s="516"/>
      <c r="V250" s="516"/>
      <c r="W250" s="516"/>
      <c r="X250" s="516"/>
      <c r="Y250" s="516"/>
      <c r="Z250" s="516"/>
    </row>
    <row r="251" ht="14.25" customHeight="1">
      <c r="A251" s="516"/>
      <c r="B251" s="516"/>
      <c r="C251" s="517"/>
      <c r="D251" s="517"/>
      <c r="E251" s="517"/>
      <c r="F251" s="516"/>
      <c r="G251" s="516"/>
      <c r="H251" s="516"/>
      <c r="I251" s="516"/>
      <c r="J251" s="516"/>
      <c r="K251" s="516"/>
      <c r="L251" s="516"/>
      <c r="M251" s="516"/>
      <c r="N251" s="516"/>
      <c r="O251" s="516"/>
      <c r="P251" s="516"/>
      <c r="Q251" s="516"/>
      <c r="R251" s="516"/>
      <c r="S251" s="516"/>
      <c r="T251" s="516"/>
      <c r="U251" s="516"/>
      <c r="V251" s="516"/>
      <c r="W251" s="516"/>
      <c r="X251" s="516"/>
      <c r="Y251" s="516"/>
      <c r="Z251" s="516"/>
    </row>
    <row r="252" ht="14.25" customHeight="1">
      <c r="A252" s="516"/>
      <c r="B252" s="516"/>
      <c r="C252" s="517"/>
      <c r="D252" s="517"/>
      <c r="E252" s="517"/>
      <c r="F252" s="516"/>
      <c r="G252" s="516"/>
      <c r="H252" s="516"/>
      <c r="I252" s="516"/>
      <c r="J252" s="516"/>
      <c r="K252" s="516"/>
      <c r="L252" s="516"/>
      <c r="M252" s="516"/>
      <c r="N252" s="516"/>
      <c r="O252" s="516"/>
      <c r="P252" s="516"/>
      <c r="Q252" s="516"/>
      <c r="R252" s="516"/>
      <c r="S252" s="516"/>
      <c r="T252" s="516"/>
      <c r="U252" s="516"/>
      <c r="V252" s="516"/>
      <c r="W252" s="516"/>
      <c r="X252" s="516"/>
      <c r="Y252" s="516"/>
      <c r="Z252" s="516"/>
    </row>
    <row r="253" ht="14.25" customHeight="1">
      <c r="A253" s="516"/>
      <c r="B253" s="516"/>
      <c r="C253" s="517"/>
      <c r="D253" s="517"/>
      <c r="E253" s="517"/>
      <c r="F253" s="516"/>
      <c r="G253" s="516"/>
      <c r="H253" s="516"/>
      <c r="I253" s="516"/>
      <c r="J253" s="516"/>
      <c r="K253" s="516"/>
      <c r="L253" s="516"/>
      <c r="M253" s="516"/>
      <c r="N253" s="516"/>
      <c r="O253" s="516"/>
      <c r="P253" s="516"/>
      <c r="Q253" s="516"/>
      <c r="R253" s="516"/>
      <c r="S253" s="516"/>
      <c r="T253" s="516"/>
      <c r="U253" s="516"/>
      <c r="V253" s="516"/>
      <c r="W253" s="516"/>
      <c r="X253" s="516"/>
      <c r="Y253" s="516"/>
      <c r="Z253" s="516"/>
    </row>
    <row r="254" ht="14.25" customHeight="1">
      <c r="A254" s="516"/>
      <c r="B254" s="516"/>
      <c r="C254" s="517"/>
      <c r="D254" s="517"/>
      <c r="E254" s="517"/>
      <c r="F254" s="516"/>
      <c r="G254" s="516"/>
      <c r="H254" s="516"/>
      <c r="I254" s="516"/>
      <c r="J254" s="516"/>
      <c r="K254" s="516"/>
      <c r="L254" s="516"/>
      <c r="M254" s="516"/>
      <c r="N254" s="516"/>
      <c r="O254" s="516"/>
      <c r="P254" s="516"/>
      <c r="Q254" s="516"/>
      <c r="R254" s="516"/>
      <c r="S254" s="516"/>
      <c r="T254" s="516"/>
      <c r="U254" s="516"/>
      <c r="V254" s="516"/>
      <c r="W254" s="516"/>
      <c r="X254" s="516"/>
      <c r="Y254" s="516"/>
      <c r="Z254" s="516"/>
    </row>
    <row r="255" ht="14.25" customHeight="1">
      <c r="A255" s="516"/>
      <c r="B255" s="516"/>
      <c r="C255" s="517"/>
      <c r="D255" s="517"/>
      <c r="E255" s="517"/>
      <c r="F255" s="516"/>
      <c r="G255" s="516"/>
      <c r="H255" s="516"/>
      <c r="I255" s="516"/>
      <c r="J255" s="516"/>
      <c r="K255" s="516"/>
      <c r="L255" s="516"/>
      <c r="M255" s="516"/>
      <c r="N255" s="516"/>
      <c r="O255" s="516"/>
      <c r="P255" s="516"/>
      <c r="Q255" s="516"/>
      <c r="R255" s="516"/>
      <c r="S255" s="516"/>
      <c r="T255" s="516"/>
      <c r="U255" s="516"/>
      <c r="V255" s="516"/>
      <c r="W255" s="516"/>
      <c r="X255" s="516"/>
      <c r="Y255" s="516"/>
      <c r="Z255" s="516"/>
    </row>
    <row r="256" ht="14.25" customHeight="1">
      <c r="A256" s="516"/>
      <c r="B256" s="516"/>
      <c r="C256" s="517"/>
      <c r="D256" s="517"/>
      <c r="E256" s="517"/>
      <c r="F256" s="516"/>
      <c r="G256" s="516"/>
      <c r="H256" s="516"/>
      <c r="I256" s="516"/>
      <c r="J256" s="516"/>
      <c r="K256" s="516"/>
      <c r="L256" s="516"/>
      <c r="M256" s="516"/>
      <c r="N256" s="516"/>
      <c r="O256" s="516"/>
      <c r="P256" s="516"/>
      <c r="Q256" s="516"/>
      <c r="R256" s="516"/>
      <c r="S256" s="516"/>
      <c r="T256" s="516"/>
      <c r="U256" s="516"/>
      <c r="V256" s="516"/>
      <c r="W256" s="516"/>
      <c r="X256" s="516"/>
      <c r="Y256" s="516"/>
      <c r="Z256" s="516"/>
    </row>
    <row r="257" ht="14.25" customHeight="1">
      <c r="A257" s="516"/>
      <c r="B257" s="516"/>
      <c r="C257" s="517"/>
      <c r="D257" s="517"/>
      <c r="E257" s="517"/>
      <c r="F257" s="516"/>
      <c r="G257" s="516"/>
      <c r="H257" s="516"/>
      <c r="I257" s="516"/>
      <c r="J257" s="516"/>
      <c r="K257" s="516"/>
      <c r="L257" s="516"/>
      <c r="M257" s="516"/>
      <c r="N257" s="516"/>
      <c r="O257" s="516"/>
      <c r="P257" s="516"/>
      <c r="Q257" s="516"/>
      <c r="R257" s="516"/>
      <c r="S257" s="516"/>
      <c r="T257" s="516"/>
      <c r="U257" s="516"/>
      <c r="V257" s="516"/>
      <c r="W257" s="516"/>
      <c r="X257" s="516"/>
      <c r="Y257" s="516"/>
      <c r="Z257" s="516"/>
    </row>
    <row r="258" ht="14.25" customHeight="1">
      <c r="A258" s="516"/>
      <c r="B258" s="516"/>
      <c r="C258" s="517"/>
      <c r="D258" s="517"/>
      <c r="E258" s="517"/>
      <c r="F258" s="516"/>
      <c r="G258" s="516"/>
      <c r="H258" s="516"/>
      <c r="I258" s="516"/>
      <c r="J258" s="516"/>
      <c r="K258" s="516"/>
      <c r="L258" s="516"/>
      <c r="M258" s="516"/>
      <c r="N258" s="516"/>
      <c r="O258" s="516"/>
      <c r="P258" s="516"/>
      <c r="Q258" s="516"/>
      <c r="R258" s="516"/>
      <c r="S258" s="516"/>
      <c r="T258" s="516"/>
      <c r="U258" s="516"/>
      <c r="V258" s="516"/>
      <c r="W258" s="516"/>
      <c r="X258" s="516"/>
      <c r="Y258" s="516"/>
      <c r="Z258" s="516"/>
    </row>
    <row r="259" ht="14.25" customHeight="1">
      <c r="A259" s="516"/>
      <c r="B259" s="516"/>
      <c r="C259" s="517"/>
      <c r="D259" s="517"/>
      <c r="E259" s="517"/>
      <c r="F259" s="516"/>
      <c r="G259" s="516"/>
      <c r="H259" s="516"/>
      <c r="I259" s="516"/>
      <c r="J259" s="516"/>
      <c r="K259" s="516"/>
      <c r="L259" s="516"/>
      <c r="M259" s="516"/>
      <c r="N259" s="516"/>
      <c r="O259" s="516"/>
      <c r="P259" s="516"/>
      <c r="Q259" s="516"/>
      <c r="R259" s="516"/>
      <c r="S259" s="516"/>
      <c r="T259" s="516"/>
      <c r="U259" s="516"/>
      <c r="V259" s="516"/>
      <c r="W259" s="516"/>
      <c r="X259" s="516"/>
      <c r="Y259" s="516"/>
      <c r="Z259" s="516"/>
    </row>
    <row r="260" ht="14.25" customHeight="1">
      <c r="A260" s="516"/>
      <c r="B260" s="516"/>
      <c r="C260" s="517"/>
      <c r="D260" s="517"/>
      <c r="E260" s="517"/>
      <c r="F260" s="516"/>
      <c r="G260" s="516"/>
      <c r="H260" s="516"/>
      <c r="I260" s="516"/>
      <c r="J260" s="516"/>
      <c r="K260" s="516"/>
      <c r="L260" s="516"/>
      <c r="M260" s="516"/>
      <c r="N260" s="516"/>
      <c r="O260" s="516"/>
      <c r="P260" s="516"/>
      <c r="Q260" s="516"/>
      <c r="R260" s="516"/>
      <c r="S260" s="516"/>
      <c r="T260" s="516"/>
      <c r="U260" s="516"/>
      <c r="V260" s="516"/>
      <c r="W260" s="516"/>
      <c r="X260" s="516"/>
      <c r="Y260" s="516"/>
      <c r="Z260" s="516"/>
    </row>
    <row r="261" ht="14.25" customHeight="1">
      <c r="A261" s="516"/>
      <c r="B261" s="516"/>
      <c r="C261" s="517"/>
      <c r="D261" s="517"/>
      <c r="E261" s="517"/>
      <c r="F261" s="516"/>
      <c r="G261" s="516"/>
      <c r="H261" s="516"/>
      <c r="I261" s="516"/>
      <c r="J261" s="516"/>
      <c r="K261" s="516"/>
      <c r="L261" s="516"/>
      <c r="M261" s="516"/>
      <c r="N261" s="516"/>
      <c r="O261" s="516"/>
      <c r="P261" s="516"/>
      <c r="Q261" s="516"/>
      <c r="R261" s="516"/>
      <c r="S261" s="516"/>
      <c r="T261" s="516"/>
      <c r="U261" s="516"/>
      <c r="V261" s="516"/>
      <c r="W261" s="516"/>
      <c r="X261" s="516"/>
      <c r="Y261" s="516"/>
      <c r="Z261" s="516"/>
    </row>
    <row r="262" ht="14.25" customHeight="1">
      <c r="A262" s="516"/>
      <c r="B262" s="516"/>
      <c r="C262" s="517"/>
      <c r="D262" s="517"/>
      <c r="E262" s="517"/>
      <c r="F262" s="516"/>
      <c r="G262" s="516"/>
      <c r="H262" s="516"/>
      <c r="I262" s="516"/>
      <c r="J262" s="516"/>
      <c r="K262" s="516"/>
      <c r="L262" s="516"/>
      <c r="M262" s="516"/>
      <c r="N262" s="516"/>
      <c r="O262" s="516"/>
      <c r="P262" s="516"/>
      <c r="Q262" s="516"/>
      <c r="R262" s="516"/>
      <c r="S262" s="516"/>
      <c r="T262" s="516"/>
      <c r="U262" s="516"/>
      <c r="V262" s="516"/>
      <c r="W262" s="516"/>
      <c r="X262" s="516"/>
      <c r="Y262" s="516"/>
      <c r="Z262" s="516"/>
    </row>
    <row r="263" ht="14.25" customHeight="1">
      <c r="A263" s="516"/>
      <c r="B263" s="516"/>
      <c r="C263" s="517"/>
      <c r="D263" s="517"/>
      <c r="E263" s="517"/>
      <c r="F263" s="516"/>
      <c r="G263" s="516"/>
      <c r="H263" s="516"/>
      <c r="I263" s="516"/>
      <c r="J263" s="516"/>
      <c r="K263" s="516"/>
      <c r="L263" s="516"/>
      <c r="M263" s="516"/>
      <c r="N263" s="516"/>
      <c r="O263" s="516"/>
      <c r="P263" s="516"/>
      <c r="Q263" s="516"/>
      <c r="R263" s="516"/>
      <c r="S263" s="516"/>
      <c r="T263" s="516"/>
      <c r="U263" s="516"/>
      <c r="V263" s="516"/>
      <c r="W263" s="516"/>
      <c r="X263" s="516"/>
      <c r="Y263" s="516"/>
      <c r="Z263" s="516"/>
    </row>
    <row r="264" ht="14.25" customHeight="1">
      <c r="A264" s="516"/>
      <c r="B264" s="516"/>
      <c r="C264" s="517"/>
      <c r="D264" s="517"/>
      <c r="E264" s="517"/>
      <c r="F264" s="516"/>
      <c r="G264" s="516"/>
      <c r="H264" s="516"/>
      <c r="I264" s="516"/>
      <c r="J264" s="516"/>
      <c r="K264" s="516"/>
      <c r="L264" s="516"/>
      <c r="M264" s="516"/>
      <c r="N264" s="516"/>
      <c r="O264" s="516"/>
      <c r="P264" s="516"/>
      <c r="Q264" s="516"/>
      <c r="R264" s="516"/>
      <c r="S264" s="516"/>
      <c r="T264" s="516"/>
      <c r="U264" s="516"/>
      <c r="V264" s="516"/>
      <c r="W264" s="516"/>
      <c r="X264" s="516"/>
      <c r="Y264" s="516"/>
      <c r="Z264" s="516"/>
    </row>
    <row r="265" ht="14.25" customHeight="1">
      <c r="A265" s="516"/>
      <c r="B265" s="516"/>
      <c r="C265" s="517"/>
      <c r="D265" s="517"/>
      <c r="E265" s="517"/>
      <c r="F265" s="516"/>
      <c r="G265" s="516"/>
      <c r="H265" s="516"/>
      <c r="I265" s="516"/>
      <c r="J265" s="516"/>
      <c r="K265" s="516"/>
      <c r="L265" s="516"/>
      <c r="M265" s="516"/>
      <c r="N265" s="516"/>
      <c r="O265" s="516"/>
      <c r="P265" s="516"/>
      <c r="Q265" s="516"/>
      <c r="R265" s="516"/>
      <c r="S265" s="516"/>
      <c r="T265" s="516"/>
      <c r="U265" s="516"/>
      <c r="V265" s="516"/>
      <c r="W265" s="516"/>
      <c r="X265" s="516"/>
      <c r="Y265" s="516"/>
      <c r="Z265" s="516"/>
    </row>
    <row r="266" ht="14.25" customHeight="1">
      <c r="A266" s="516"/>
      <c r="B266" s="516"/>
      <c r="C266" s="517"/>
      <c r="D266" s="517"/>
      <c r="E266" s="517"/>
      <c r="F266" s="516"/>
      <c r="G266" s="516"/>
      <c r="H266" s="516"/>
      <c r="I266" s="516"/>
      <c r="J266" s="516"/>
      <c r="K266" s="516"/>
      <c r="L266" s="516"/>
      <c r="M266" s="516"/>
      <c r="N266" s="516"/>
      <c r="O266" s="516"/>
      <c r="P266" s="516"/>
      <c r="Q266" s="516"/>
      <c r="R266" s="516"/>
      <c r="S266" s="516"/>
      <c r="T266" s="516"/>
      <c r="U266" s="516"/>
      <c r="V266" s="516"/>
      <c r="W266" s="516"/>
      <c r="X266" s="516"/>
      <c r="Y266" s="516"/>
      <c r="Z266" s="516"/>
    </row>
    <row r="267" ht="14.25" customHeight="1">
      <c r="A267" s="516"/>
      <c r="B267" s="516"/>
      <c r="C267" s="517"/>
      <c r="D267" s="517"/>
      <c r="E267" s="517"/>
      <c r="F267" s="516"/>
      <c r="G267" s="516"/>
      <c r="H267" s="516"/>
      <c r="I267" s="516"/>
      <c r="J267" s="516"/>
      <c r="K267" s="516"/>
      <c r="L267" s="516"/>
      <c r="M267" s="516"/>
      <c r="N267" s="516"/>
      <c r="O267" s="516"/>
      <c r="P267" s="516"/>
      <c r="Q267" s="516"/>
      <c r="R267" s="516"/>
      <c r="S267" s="516"/>
      <c r="T267" s="516"/>
      <c r="U267" s="516"/>
      <c r="V267" s="516"/>
      <c r="W267" s="516"/>
      <c r="X267" s="516"/>
      <c r="Y267" s="516"/>
      <c r="Z267" s="516"/>
    </row>
    <row r="268" ht="14.25" customHeight="1">
      <c r="A268" s="516"/>
      <c r="B268" s="516"/>
      <c r="C268" s="517"/>
      <c r="D268" s="517"/>
      <c r="E268" s="517"/>
      <c r="F268" s="516"/>
      <c r="G268" s="516"/>
      <c r="H268" s="516"/>
      <c r="I268" s="516"/>
      <c r="J268" s="516"/>
      <c r="K268" s="516"/>
      <c r="L268" s="516"/>
      <c r="M268" s="516"/>
      <c r="N268" s="516"/>
      <c r="O268" s="516"/>
      <c r="P268" s="516"/>
      <c r="Q268" s="516"/>
      <c r="R268" s="516"/>
      <c r="S268" s="516"/>
      <c r="T268" s="516"/>
      <c r="U268" s="516"/>
      <c r="V268" s="516"/>
      <c r="W268" s="516"/>
      <c r="X268" s="516"/>
      <c r="Y268" s="516"/>
      <c r="Z268" s="516"/>
    </row>
    <row r="269" ht="14.25" customHeight="1">
      <c r="A269" s="516"/>
      <c r="B269" s="516"/>
      <c r="C269" s="517"/>
      <c r="D269" s="517"/>
      <c r="E269" s="517"/>
      <c r="F269" s="516"/>
      <c r="G269" s="516"/>
      <c r="H269" s="516"/>
      <c r="I269" s="516"/>
      <c r="J269" s="516"/>
      <c r="K269" s="516"/>
      <c r="L269" s="516"/>
      <c r="M269" s="516"/>
      <c r="N269" s="516"/>
      <c r="O269" s="516"/>
      <c r="P269" s="516"/>
      <c r="Q269" s="516"/>
      <c r="R269" s="516"/>
      <c r="S269" s="516"/>
      <c r="T269" s="516"/>
      <c r="U269" s="516"/>
      <c r="V269" s="516"/>
      <c r="W269" s="516"/>
      <c r="X269" s="516"/>
      <c r="Y269" s="516"/>
      <c r="Z269" s="516"/>
    </row>
    <row r="270" ht="14.25" customHeight="1">
      <c r="A270" s="516"/>
      <c r="B270" s="516"/>
      <c r="C270" s="517"/>
      <c r="D270" s="517"/>
      <c r="E270" s="517"/>
      <c r="F270" s="516"/>
      <c r="G270" s="516"/>
      <c r="H270" s="516"/>
      <c r="I270" s="516"/>
      <c r="J270" s="516"/>
      <c r="K270" s="516"/>
      <c r="L270" s="516"/>
      <c r="M270" s="516"/>
      <c r="N270" s="516"/>
      <c r="O270" s="516"/>
      <c r="P270" s="516"/>
      <c r="Q270" s="516"/>
      <c r="R270" s="516"/>
      <c r="S270" s="516"/>
      <c r="T270" s="516"/>
      <c r="U270" s="516"/>
      <c r="V270" s="516"/>
      <c r="W270" s="516"/>
      <c r="X270" s="516"/>
      <c r="Y270" s="516"/>
      <c r="Z270" s="516"/>
    </row>
    <row r="271" ht="14.25" customHeight="1">
      <c r="A271" s="516"/>
      <c r="B271" s="516"/>
      <c r="C271" s="517"/>
      <c r="D271" s="517"/>
      <c r="E271" s="517"/>
      <c r="F271" s="516"/>
      <c r="G271" s="516"/>
      <c r="H271" s="516"/>
      <c r="I271" s="516"/>
      <c r="J271" s="516"/>
      <c r="K271" s="516"/>
      <c r="L271" s="516"/>
      <c r="M271" s="516"/>
      <c r="N271" s="516"/>
      <c r="O271" s="516"/>
      <c r="P271" s="516"/>
      <c r="Q271" s="516"/>
      <c r="R271" s="516"/>
      <c r="S271" s="516"/>
      <c r="T271" s="516"/>
      <c r="U271" s="516"/>
      <c r="V271" s="516"/>
      <c r="W271" s="516"/>
      <c r="X271" s="516"/>
      <c r="Y271" s="516"/>
      <c r="Z271" s="516"/>
    </row>
    <row r="272" ht="14.25" customHeight="1">
      <c r="A272" s="516"/>
      <c r="B272" s="516"/>
      <c r="C272" s="517"/>
      <c r="D272" s="517"/>
      <c r="E272" s="517"/>
      <c r="F272" s="516"/>
      <c r="G272" s="516"/>
      <c r="H272" s="516"/>
      <c r="I272" s="516"/>
      <c r="J272" s="516"/>
      <c r="K272" s="516"/>
      <c r="L272" s="516"/>
      <c r="M272" s="516"/>
      <c r="N272" s="516"/>
      <c r="O272" s="516"/>
      <c r="P272" s="516"/>
      <c r="Q272" s="516"/>
      <c r="R272" s="516"/>
      <c r="S272" s="516"/>
      <c r="T272" s="516"/>
      <c r="U272" s="516"/>
      <c r="V272" s="516"/>
      <c r="W272" s="516"/>
      <c r="X272" s="516"/>
      <c r="Y272" s="516"/>
      <c r="Z272" s="516"/>
    </row>
    <row r="273" ht="14.25" customHeight="1">
      <c r="A273" s="516"/>
      <c r="B273" s="516"/>
      <c r="C273" s="517"/>
      <c r="D273" s="517"/>
      <c r="E273" s="517"/>
      <c r="F273" s="516"/>
      <c r="G273" s="516"/>
      <c r="H273" s="516"/>
      <c r="I273" s="516"/>
      <c r="J273" s="516"/>
      <c r="K273" s="516"/>
      <c r="L273" s="516"/>
      <c r="M273" s="516"/>
      <c r="N273" s="516"/>
      <c r="O273" s="516"/>
      <c r="P273" s="516"/>
      <c r="Q273" s="516"/>
      <c r="R273" s="516"/>
      <c r="S273" s="516"/>
      <c r="T273" s="516"/>
      <c r="U273" s="516"/>
      <c r="V273" s="516"/>
      <c r="W273" s="516"/>
      <c r="X273" s="516"/>
      <c r="Y273" s="516"/>
      <c r="Z273" s="516"/>
    </row>
    <row r="274" ht="14.25" customHeight="1">
      <c r="A274" s="516"/>
      <c r="B274" s="516"/>
      <c r="C274" s="517"/>
      <c r="D274" s="517"/>
      <c r="E274" s="517"/>
      <c r="F274" s="516"/>
      <c r="G274" s="516"/>
      <c r="H274" s="516"/>
      <c r="I274" s="516"/>
      <c r="J274" s="516"/>
      <c r="K274" s="516"/>
      <c r="L274" s="516"/>
      <c r="M274" s="516"/>
      <c r="N274" s="516"/>
      <c r="O274" s="516"/>
      <c r="P274" s="516"/>
      <c r="Q274" s="516"/>
      <c r="R274" s="516"/>
      <c r="S274" s="516"/>
      <c r="T274" s="516"/>
      <c r="U274" s="516"/>
      <c r="V274" s="516"/>
      <c r="W274" s="516"/>
      <c r="X274" s="516"/>
      <c r="Y274" s="516"/>
      <c r="Z274" s="516"/>
    </row>
    <row r="275" ht="14.25" customHeight="1">
      <c r="A275" s="516"/>
      <c r="B275" s="516"/>
      <c r="C275" s="517"/>
      <c r="D275" s="517"/>
      <c r="E275" s="517"/>
      <c r="F275" s="516"/>
      <c r="G275" s="516"/>
      <c r="H275" s="516"/>
      <c r="I275" s="516"/>
      <c r="J275" s="516"/>
      <c r="K275" s="516"/>
      <c r="L275" s="516"/>
      <c r="M275" s="516"/>
      <c r="N275" s="516"/>
      <c r="O275" s="516"/>
      <c r="P275" s="516"/>
      <c r="Q275" s="516"/>
      <c r="R275" s="516"/>
      <c r="S275" s="516"/>
      <c r="T275" s="516"/>
      <c r="U275" s="516"/>
      <c r="V275" s="516"/>
      <c r="W275" s="516"/>
      <c r="X275" s="516"/>
      <c r="Y275" s="516"/>
      <c r="Z275" s="516"/>
    </row>
    <row r="276" ht="14.25" customHeight="1">
      <c r="A276" s="516"/>
      <c r="B276" s="516"/>
      <c r="C276" s="517"/>
      <c r="D276" s="517"/>
      <c r="E276" s="517"/>
      <c r="F276" s="516"/>
      <c r="G276" s="516"/>
      <c r="H276" s="516"/>
      <c r="I276" s="516"/>
      <c r="J276" s="516"/>
      <c r="K276" s="516"/>
      <c r="L276" s="516"/>
      <c r="M276" s="516"/>
      <c r="N276" s="516"/>
      <c r="O276" s="516"/>
      <c r="P276" s="516"/>
      <c r="Q276" s="516"/>
      <c r="R276" s="516"/>
      <c r="S276" s="516"/>
      <c r="T276" s="516"/>
      <c r="U276" s="516"/>
      <c r="V276" s="516"/>
      <c r="W276" s="516"/>
      <c r="X276" s="516"/>
      <c r="Y276" s="516"/>
      <c r="Z276" s="516"/>
    </row>
    <row r="277" ht="14.25" customHeight="1">
      <c r="A277" s="516"/>
      <c r="B277" s="516"/>
      <c r="C277" s="517"/>
      <c r="D277" s="517"/>
      <c r="E277" s="517"/>
      <c r="F277" s="516"/>
      <c r="G277" s="516"/>
      <c r="H277" s="516"/>
      <c r="I277" s="516"/>
      <c r="J277" s="516"/>
      <c r="K277" s="516"/>
      <c r="L277" s="516"/>
      <c r="M277" s="516"/>
      <c r="N277" s="516"/>
      <c r="O277" s="516"/>
      <c r="P277" s="516"/>
      <c r="Q277" s="516"/>
      <c r="R277" s="516"/>
      <c r="S277" s="516"/>
      <c r="T277" s="516"/>
      <c r="U277" s="516"/>
      <c r="V277" s="516"/>
      <c r="W277" s="516"/>
      <c r="X277" s="516"/>
      <c r="Y277" s="516"/>
      <c r="Z277" s="516"/>
    </row>
    <row r="278" ht="14.25" customHeight="1">
      <c r="A278" s="516"/>
      <c r="B278" s="516"/>
      <c r="C278" s="517"/>
      <c r="D278" s="517"/>
      <c r="E278" s="517"/>
      <c r="F278" s="516"/>
      <c r="G278" s="516"/>
      <c r="H278" s="516"/>
      <c r="I278" s="516"/>
      <c r="J278" s="516"/>
      <c r="K278" s="516"/>
      <c r="L278" s="516"/>
      <c r="M278" s="516"/>
      <c r="N278" s="516"/>
      <c r="O278" s="516"/>
      <c r="P278" s="516"/>
      <c r="Q278" s="516"/>
      <c r="R278" s="516"/>
      <c r="S278" s="516"/>
      <c r="T278" s="516"/>
      <c r="U278" s="516"/>
      <c r="V278" s="516"/>
      <c r="W278" s="516"/>
      <c r="X278" s="516"/>
      <c r="Y278" s="516"/>
      <c r="Z278" s="516"/>
    </row>
    <row r="279" ht="14.25" customHeight="1">
      <c r="A279" s="516"/>
      <c r="B279" s="516"/>
      <c r="C279" s="517"/>
      <c r="D279" s="517"/>
      <c r="E279" s="517"/>
      <c r="F279" s="516"/>
      <c r="G279" s="516"/>
      <c r="H279" s="516"/>
      <c r="I279" s="516"/>
      <c r="J279" s="516"/>
      <c r="K279" s="516"/>
      <c r="L279" s="516"/>
      <c r="M279" s="516"/>
      <c r="N279" s="516"/>
      <c r="O279" s="516"/>
      <c r="P279" s="516"/>
      <c r="Q279" s="516"/>
      <c r="R279" s="516"/>
      <c r="S279" s="516"/>
      <c r="T279" s="516"/>
      <c r="U279" s="516"/>
      <c r="V279" s="516"/>
      <c r="W279" s="516"/>
      <c r="X279" s="516"/>
      <c r="Y279" s="516"/>
      <c r="Z279" s="516"/>
    </row>
    <row r="280" ht="14.25" customHeight="1">
      <c r="A280" s="516"/>
      <c r="B280" s="516"/>
      <c r="C280" s="517"/>
      <c r="D280" s="517"/>
      <c r="E280" s="517"/>
      <c r="F280" s="516"/>
      <c r="G280" s="516"/>
      <c r="H280" s="516"/>
      <c r="I280" s="516"/>
      <c r="J280" s="516"/>
      <c r="K280" s="516"/>
      <c r="L280" s="516"/>
      <c r="M280" s="516"/>
      <c r="N280" s="516"/>
      <c r="O280" s="516"/>
      <c r="P280" s="516"/>
      <c r="Q280" s="516"/>
      <c r="R280" s="516"/>
      <c r="S280" s="516"/>
      <c r="T280" s="516"/>
      <c r="U280" s="516"/>
      <c r="V280" s="516"/>
      <c r="W280" s="516"/>
      <c r="X280" s="516"/>
      <c r="Y280" s="516"/>
      <c r="Z280" s="516"/>
    </row>
    <row r="281" ht="14.25" customHeight="1">
      <c r="A281" s="516"/>
      <c r="B281" s="516"/>
      <c r="C281" s="517"/>
      <c r="D281" s="517"/>
      <c r="E281" s="517"/>
      <c r="F281" s="516"/>
      <c r="G281" s="516"/>
      <c r="H281" s="516"/>
      <c r="I281" s="516"/>
      <c r="J281" s="516"/>
      <c r="K281" s="516"/>
      <c r="L281" s="516"/>
      <c r="M281" s="516"/>
      <c r="N281" s="516"/>
      <c r="O281" s="516"/>
      <c r="P281" s="516"/>
      <c r="Q281" s="516"/>
      <c r="R281" s="516"/>
      <c r="S281" s="516"/>
      <c r="T281" s="516"/>
      <c r="U281" s="516"/>
      <c r="V281" s="516"/>
      <c r="W281" s="516"/>
      <c r="X281" s="516"/>
      <c r="Y281" s="516"/>
      <c r="Z281" s="516"/>
    </row>
    <row r="282" ht="14.25" customHeight="1">
      <c r="A282" s="516"/>
      <c r="B282" s="516"/>
      <c r="C282" s="517"/>
      <c r="D282" s="517"/>
      <c r="E282" s="517"/>
      <c r="F282" s="516"/>
      <c r="G282" s="516"/>
      <c r="H282" s="516"/>
      <c r="I282" s="516"/>
      <c r="J282" s="516"/>
      <c r="K282" s="516"/>
      <c r="L282" s="516"/>
      <c r="M282" s="516"/>
      <c r="N282" s="516"/>
      <c r="O282" s="516"/>
      <c r="P282" s="516"/>
      <c r="Q282" s="516"/>
      <c r="R282" s="516"/>
      <c r="S282" s="516"/>
      <c r="T282" s="516"/>
      <c r="U282" s="516"/>
      <c r="V282" s="516"/>
      <c r="W282" s="516"/>
      <c r="X282" s="516"/>
      <c r="Y282" s="516"/>
      <c r="Z282" s="516"/>
    </row>
    <row r="283" ht="14.25" customHeight="1">
      <c r="A283" s="516"/>
      <c r="B283" s="516"/>
      <c r="C283" s="517"/>
      <c r="D283" s="517"/>
      <c r="E283" s="517"/>
      <c r="F283" s="516"/>
      <c r="G283" s="516"/>
      <c r="H283" s="516"/>
      <c r="I283" s="516"/>
      <c r="J283" s="516"/>
      <c r="K283" s="516"/>
      <c r="L283" s="516"/>
      <c r="M283" s="516"/>
      <c r="N283" s="516"/>
      <c r="O283" s="516"/>
      <c r="P283" s="516"/>
      <c r="Q283" s="516"/>
      <c r="R283" s="516"/>
      <c r="S283" s="516"/>
      <c r="T283" s="516"/>
      <c r="U283" s="516"/>
      <c r="V283" s="516"/>
      <c r="W283" s="516"/>
      <c r="X283" s="516"/>
      <c r="Y283" s="516"/>
      <c r="Z283" s="516"/>
    </row>
    <row r="284" ht="14.25" customHeight="1">
      <c r="A284" s="516"/>
      <c r="B284" s="516"/>
      <c r="C284" s="517"/>
      <c r="D284" s="517"/>
      <c r="E284" s="517"/>
      <c r="F284" s="516"/>
      <c r="G284" s="516"/>
      <c r="H284" s="516"/>
      <c r="I284" s="516"/>
      <c r="J284" s="516"/>
      <c r="K284" s="516"/>
      <c r="L284" s="516"/>
      <c r="M284" s="516"/>
      <c r="N284" s="516"/>
      <c r="O284" s="516"/>
      <c r="P284" s="516"/>
      <c r="Q284" s="516"/>
      <c r="R284" s="516"/>
      <c r="S284" s="516"/>
      <c r="T284" s="516"/>
      <c r="U284" s="516"/>
      <c r="V284" s="516"/>
      <c r="W284" s="516"/>
      <c r="X284" s="516"/>
      <c r="Y284" s="516"/>
      <c r="Z284" s="516"/>
    </row>
    <row r="285" ht="14.25" customHeight="1">
      <c r="A285" s="516"/>
      <c r="B285" s="516"/>
      <c r="C285" s="517"/>
      <c r="D285" s="517"/>
      <c r="E285" s="517"/>
      <c r="F285" s="516"/>
      <c r="G285" s="516"/>
      <c r="H285" s="516"/>
      <c r="I285" s="516"/>
      <c r="J285" s="516"/>
      <c r="K285" s="516"/>
      <c r="L285" s="516"/>
      <c r="M285" s="516"/>
      <c r="N285" s="516"/>
      <c r="O285" s="516"/>
      <c r="P285" s="516"/>
      <c r="Q285" s="516"/>
      <c r="R285" s="516"/>
      <c r="S285" s="516"/>
      <c r="T285" s="516"/>
      <c r="U285" s="516"/>
      <c r="V285" s="516"/>
      <c r="W285" s="516"/>
      <c r="X285" s="516"/>
      <c r="Y285" s="516"/>
      <c r="Z285" s="516"/>
    </row>
    <row r="286" ht="14.25" customHeight="1">
      <c r="A286" s="516"/>
      <c r="B286" s="516"/>
      <c r="C286" s="517"/>
      <c r="D286" s="517"/>
      <c r="E286" s="517"/>
      <c r="F286" s="516"/>
      <c r="G286" s="516"/>
      <c r="H286" s="516"/>
      <c r="I286" s="516"/>
      <c r="J286" s="516"/>
      <c r="K286" s="516"/>
      <c r="L286" s="516"/>
      <c r="M286" s="516"/>
      <c r="N286" s="516"/>
      <c r="O286" s="516"/>
      <c r="P286" s="516"/>
      <c r="Q286" s="516"/>
      <c r="R286" s="516"/>
      <c r="S286" s="516"/>
      <c r="T286" s="516"/>
      <c r="U286" s="516"/>
      <c r="V286" s="516"/>
      <c r="W286" s="516"/>
      <c r="X286" s="516"/>
      <c r="Y286" s="516"/>
      <c r="Z286" s="516"/>
    </row>
    <row r="287" ht="14.25" customHeight="1">
      <c r="A287" s="516"/>
      <c r="B287" s="516"/>
      <c r="C287" s="517"/>
      <c r="D287" s="517"/>
      <c r="E287" s="517"/>
      <c r="F287" s="516"/>
      <c r="G287" s="516"/>
      <c r="H287" s="516"/>
      <c r="I287" s="516"/>
      <c r="J287" s="516"/>
      <c r="K287" s="516"/>
      <c r="L287" s="516"/>
      <c r="M287" s="516"/>
      <c r="N287" s="516"/>
      <c r="O287" s="516"/>
      <c r="P287" s="516"/>
      <c r="Q287" s="516"/>
      <c r="R287" s="516"/>
      <c r="S287" s="516"/>
      <c r="T287" s="516"/>
      <c r="U287" s="516"/>
      <c r="V287" s="516"/>
      <c r="W287" s="516"/>
      <c r="X287" s="516"/>
      <c r="Y287" s="516"/>
      <c r="Z287" s="516"/>
    </row>
    <row r="288" ht="14.25" customHeight="1">
      <c r="A288" s="516"/>
      <c r="B288" s="516"/>
      <c r="C288" s="517"/>
      <c r="D288" s="517"/>
      <c r="E288" s="517"/>
      <c r="F288" s="516"/>
      <c r="G288" s="516"/>
      <c r="H288" s="516"/>
      <c r="I288" s="516"/>
      <c r="J288" s="516"/>
      <c r="K288" s="516"/>
      <c r="L288" s="516"/>
      <c r="M288" s="516"/>
      <c r="N288" s="516"/>
      <c r="O288" s="516"/>
      <c r="P288" s="516"/>
      <c r="Q288" s="516"/>
      <c r="R288" s="516"/>
      <c r="S288" s="516"/>
      <c r="T288" s="516"/>
      <c r="U288" s="516"/>
      <c r="V288" s="516"/>
      <c r="W288" s="516"/>
      <c r="X288" s="516"/>
      <c r="Y288" s="516"/>
      <c r="Z288" s="516"/>
    </row>
    <row r="289" ht="14.25" customHeight="1">
      <c r="A289" s="516"/>
      <c r="B289" s="516"/>
      <c r="C289" s="517"/>
      <c r="D289" s="517"/>
      <c r="E289" s="517"/>
      <c r="F289" s="516"/>
      <c r="G289" s="516"/>
      <c r="H289" s="516"/>
      <c r="I289" s="516"/>
      <c r="J289" s="516"/>
      <c r="K289" s="516"/>
      <c r="L289" s="516"/>
      <c r="M289" s="516"/>
      <c r="N289" s="516"/>
      <c r="O289" s="516"/>
      <c r="P289" s="516"/>
      <c r="Q289" s="516"/>
      <c r="R289" s="516"/>
      <c r="S289" s="516"/>
      <c r="T289" s="516"/>
      <c r="U289" s="516"/>
      <c r="V289" s="516"/>
      <c r="W289" s="516"/>
      <c r="X289" s="516"/>
      <c r="Y289" s="516"/>
      <c r="Z289" s="516"/>
    </row>
    <row r="290" ht="14.25" customHeight="1">
      <c r="A290" s="516"/>
      <c r="B290" s="516"/>
      <c r="C290" s="517"/>
      <c r="D290" s="517"/>
      <c r="E290" s="517"/>
      <c r="F290" s="516"/>
      <c r="G290" s="516"/>
      <c r="H290" s="516"/>
      <c r="I290" s="516"/>
      <c r="J290" s="516"/>
      <c r="K290" s="516"/>
      <c r="L290" s="516"/>
      <c r="M290" s="516"/>
      <c r="N290" s="516"/>
      <c r="O290" s="516"/>
      <c r="P290" s="516"/>
      <c r="Q290" s="516"/>
      <c r="R290" s="516"/>
      <c r="S290" s="516"/>
      <c r="T290" s="516"/>
      <c r="U290" s="516"/>
      <c r="V290" s="516"/>
      <c r="W290" s="516"/>
      <c r="X290" s="516"/>
      <c r="Y290" s="516"/>
      <c r="Z290" s="516"/>
    </row>
    <row r="291" ht="14.25" customHeight="1">
      <c r="A291" s="516"/>
      <c r="B291" s="516"/>
      <c r="C291" s="517"/>
      <c r="D291" s="517"/>
      <c r="E291" s="517"/>
      <c r="F291" s="516"/>
      <c r="G291" s="516"/>
      <c r="H291" s="516"/>
      <c r="I291" s="516"/>
      <c r="J291" s="516"/>
      <c r="K291" s="516"/>
      <c r="L291" s="516"/>
      <c r="M291" s="516"/>
      <c r="N291" s="516"/>
      <c r="O291" s="516"/>
      <c r="P291" s="516"/>
      <c r="Q291" s="516"/>
      <c r="R291" s="516"/>
      <c r="S291" s="516"/>
      <c r="T291" s="516"/>
      <c r="U291" s="516"/>
      <c r="V291" s="516"/>
      <c r="W291" s="516"/>
      <c r="X291" s="516"/>
      <c r="Y291" s="516"/>
      <c r="Z291" s="516"/>
    </row>
    <row r="292" ht="14.25" customHeight="1">
      <c r="A292" s="516"/>
      <c r="B292" s="516"/>
      <c r="C292" s="517"/>
      <c r="D292" s="517"/>
      <c r="E292" s="517"/>
      <c r="F292" s="516"/>
      <c r="G292" s="516"/>
      <c r="H292" s="516"/>
      <c r="I292" s="516"/>
      <c r="J292" s="516"/>
      <c r="K292" s="516"/>
      <c r="L292" s="516"/>
      <c r="M292" s="516"/>
      <c r="N292" s="516"/>
      <c r="O292" s="516"/>
      <c r="P292" s="516"/>
      <c r="Q292" s="516"/>
      <c r="R292" s="516"/>
      <c r="S292" s="516"/>
      <c r="T292" s="516"/>
      <c r="U292" s="516"/>
      <c r="V292" s="516"/>
      <c r="W292" s="516"/>
      <c r="X292" s="516"/>
      <c r="Y292" s="516"/>
      <c r="Z292" s="516"/>
    </row>
    <row r="293" ht="14.25" customHeight="1">
      <c r="A293" s="516"/>
      <c r="B293" s="516"/>
      <c r="C293" s="517"/>
      <c r="D293" s="517"/>
      <c r="E293" s="517"/>
      <c r="F293" s="516"/>
      <c r="G293" s="516"/>
      <c r="H293" s="516"/>
      <c r="I293" s="516"/>
      <c r="J293" s="516"/>
      <c r="K293" s="516"/>
      <c r="L293" s="516"/>
      <c r="M293" s="516"/>
      <c r="N293" s="516"/>
      <c r="O293" s="516"/>
      <c r="P293" s="516"/>
      <c r="Q293" s="516"/>
      <c r="R293" s="516"/>
      <c r="S293" s="516"/>
      <c r="T293" s="516"/>
      <c r="U293" s="516"/>
      <c r="V293" s="516"/>
      <c r="W293" s="516"/>
      <c r="X293" s="516"/>
      <c r="Y293" s="516"/>
      <c r="Z293" s="516"/>
    </row>
    <row r="294" ht="14.25" customHeight="1">
      <c r="A294" s="516"/>
      <c r="B294" s="516"/>
      <c r="C294" s="517"/>
      <c r="D294" s="517"/>
      <c r="E294" s="517"/>
      <c r="F294" s="516"/>
      <c r="G294" s="516"/>
      <c r="H294" s="516"/>
      <c r="I294" s="516"/>
      <c r="J294" s="516"/>
      <c r="K294" s="516"/>
      <c r="L294" s="516"/>
      <c r="M294" s="516"/>
      <c r="N294" s="516"/>
      <c r="O294" s="516"/>
      <c r="P294" s="516"/>
      <c r="Q294" s="516"/>
      <c r="R294" s="516"/>
      <c r="S294" s="516"/>
      <c r="T294" s="516"/>
      <c r="U294" s="516"/>
      <c r="V294" s="516"/>
      <c r="W294" s="516"/>
      <c r="X294" s="516"/>
      <c r="Y294" s="516"/>
      <c r="Z294" s="516"/>
    </row>
    <row r="295" ht="14.25" customHeight="1">
      <c r="A295" s="516"/>
      <c r="B295" s="516"/>
      <c r="C295" s="517"/>
      <c r="D295" s="517"/>
      <c r="E295" s="517"/>
      <c r="F295" s="516"/>
      <c r="G295" s="516"/>
      <c r="H295" s="516"/>
      <c r="I295" s="516"/>
      <c r="J295" s="516"/>
      <c r="K295" s="516"/>
      <c r="L295" s="516"/>
      <c r="M295" s="516"/>
      <c r="N295" s="516"/>
      <c r="O295" s="516"/>
      <c r="P295" s="516"/>
      <c r="Q295" s="516"/>
      <c r="R295" s="516"/>
      <c r="S295" s="516"/>
      <c r="T295" s="516"/>
      <c r="U295" s="516"/>
      <c r="V295" s="516"/>
      <c r="W295" s="516"/>
      <c r="X295" s="516"/>
      <c r="Y295" s="516"/>
      <c r="Z295" s="516"/>
    </row>
    <row r="296" ht="14.25" customHeight="1">
      <c r="A296" s="516"/>
      <c r="B296" s="516"/>
      <c r="C296" s="517"/>
      <c r="D296" s="517"/>
      <c r="E296" s="517"/>
      <c r="F296" s="516"/>
      <c r="G296" s="516"/>
      <c r="H296" s="516"/>
      <c r="I296" s="516"/>
      <c r="J296" s="516"/>
      <c r="K296" s="516"/>
      <c r="L296" s="516"/>
      <c r="M296" s="516"/>
      <c r="N296" s="516"/>
      <c r="O296" s="516"/>
      <c r="P296" s="516"/>
      <c r="Q296" s="516"/>
      <c r="R296" s="516"/>
      <c r="S296" s="516"/>
      <c r="T296" s="516"/>
      <c r="U296" s="516"/>
      <c r="V296" s="516"/>
      <c r="W296" s="516"/>
      <c r="X296" s="516"/>
      <c r="Y296" s="516"/>
      <c r="Z296" s="516"/>
    </row>
    <row r="297" ht="14.25" customHeight="1">
      <c r="A297" s="516"/>
      <c r="B297" s="516"/>
      <c r="C297" s="517"/>
      <c r="D297" s="517"/>
      <c r="E297" s="517"/>
      <c r="F297" s="516"/>
      <c r="G297" s="516"/>
      <c r="H297" s="516"/>
      <c r="I297" s="516"/>
      <c r="J297" s="516"/>
      <c r="K297" s="516"/>
      <c r="L297" s="516"/>
      <c r="M297" s="516"/>
      <c r="N297" s="516"/>
      <c r="O297" s="516"/>
      <c r="P297" s="516"/>
      <c r="Q297" s="516"/>
      <c r="R297" s="516"/>
      <c r="S297" s="516"/>
      <c r="T297" s="516"/>
      <c r="U297" s="516"/>
      <c r="V297" s="516"/>
      <c r="W297" s="516"/>
      <c r="X297" s="516"/>
      <c r="Y297" s="516"/>
      <c r="Z297" s="516"/>
    </row>
    <row r="298" ht="14.25" customHeight="1">
      <c r="A298" s="516"/>
      <c r="B298" s="516"/>
      <c r="C298" s="517"/>
      <c r="D298" s="517"/>
      <c r="E298" s="517"/>
      <c r="F298" s="516"/>
      <c r="G298" s="516"/>
      <c r="H298" s="516"/>
      <c r="I298" s="516"/>
      <c r="J298" s="516"/>
      <c r="K298" s="516"/>
      <c r="L298" s="516"/>
      <c r="M298" s="516"/>
      <c r="N298" s="516"/>
      <c r="O298" s="516"/>
      <c r="P298" s="516"/>
      <c r="Q298" s="516"/>
      <c r="R298" s="516"/>
      <c r="S298" s="516"/>
      <c r="T298" s="516"/>
      <c r="U298" s="516"/>
      <c r="V298" s="516"/>
      <c r="W298" s="516"/>
      <c r="X298" s="516"/>
      <c r="Y298" s="516"/>
      <c r="Z298" s="516"/>
    </row>
    <row r="299" ht="14.25" customHeight="1">
      <c r="A299" s="516"/>
      <c r="B299" s="516"/>
      <c r="C299" s="517"/>
      <c r="D299" s="517"/>
      <c r="E299" s="517"/>
      <c r="F299" s="516"/>
      <c r="G299" s="516"/>
      <c r="H299" s="516"/>
      <c r="I299" s="516"/>
      <c r="J299" s="516"/>
      <c r="K299" s="516"/>
      <c r="L299" s="516"/>
      <c r="M299" s="516"/>
      <c r="N299" s="516"/>
      <c r="O299" s="516"/>
      <c r="P299" s="516"/>
      <c r="Q299" s="516"/>
      <c r="R299" s="516"/>
      <c r="S299" s="516"/>
      <c r="T299" s="516"/>
      <c r="U299" s="516"/>
      <c r="V299" s="516"/>
      <c r="W299" s="516"/>
      <c r="X299" s="516"/>
      <c r="Y299" s="516"/>
      <c r="Z299" s="516"/>
    </row>
    <row r="300" ht="14.25" customHeight="1">
      <c r="A300" s="516"/>
      <c r="B300" s="516"/>
      <c r="C300" s="517"/>
      <c r="D300" s="517"/>
      <c r="E300" s="517"/>
      <c r="F300" s="516"/>
      <c r="G300" s="516"/>
      <c r="H300" s="516"/>
      <c r="I300" s="516"/>
      <c r="J300" s="516"/>
      <c r="K300" s="516"/>
      <c r="L300" s="516"/>
      <c r="M300" s="516"/>
      <c r="N300" s="516"/>
      <c r="O300" s="516"/>
      <c r="P300" s="516"/>
      <c r="Q300" s="516"/>
      <c r="R300" s="516"/>
      <c r="S300" s="516"/>
      <c r="T300" s="516"/>
      <c r="U300" s="516"/>
      <c r="V300" s="516"/>
      <c r="W300" s="516"/>
      <c r="X300" s="516"/>
      <c r="Y300" s="516"/>
      <c r="Z300" s="516"/>
    </row>
    <row r="301" ht="14.25" customHeight="1">
      <c r="A301" s="516"/>
      <c r="B301" s="516"/>
      <c r="C301" s="517"/>
      <c r="D301" s="517"/>
      <c r="E301" s="517"/>
      <c r="F301" s="516"/>
      <c r="G301" s="516"/>
      <c r="H301" s="516"/>
      <c r="I301" s="516"/>
      <c r="J301" s="516"/>
      <c r="K301" s="516"/>
      <c r="L301" s="516"/>
      <c r="M301" s="516"/>
      <c r="N301" s="516"/>
      <c r="O301" s="516"/>
      <c r="P301" s="516"/>
      <c r="Q301" s="516"/>
      <c r="R301" s="516"/>
      <c r="S301" s="516"/>
      <c r="T301" s="516"/>
      <c r="U301" s="516"/>
      <c r="V301" s="516"/>
      <c r="W301" s="516"/>
      <c r="X301" s="516"/>
      <c r="Y301" s="516"/>
      <c r="Z301" s="516"/>
    </row>
    <row r="302" ht="14.25" customHeight="1">
      <c r="A302" s="516"/>
      <c r="B302" s="516"/>
      <c r="C302" s="517"/>
      <c r="D302" s="517"/>
      <c r="E302" s="517"/>
      <c r="F302" s="516"/>
      <c r="G302" s="516"/>
      <c r="H302" s="516"/>
      <c r="I302" s="516"/>
      <c r="J302" s="516"/>
      <c r="K302" s="516"/>
      <c r="L302" s="516"/>
      <c r="M302" s="516"/>
      <c r="N302" s="516"/>
      <c r="O302" s="516"/>
      <c r="P302" s="516"/>
      <c r="Q302" s="516"/>
      <c r="R302" s="516"/>
      <c r="S302" s="516"/>
      <c r="T302" s="516"/>
      <c r="U302" s="516"/>
      <c r="V302" s="516"/>
      <c r="W302" s="516"/>
      <c r="X302" s="516"/>
      <c r="Y302" s="516"/>
      <c r="Z302" s="516"/>
    </row>
    <row r="303" ht="14.25" customHeight="1">
      <c r="A303" s="516"/>
      <c r="B303" s="516"/>
      <c r="C303" s="517"/>
      <c r="D303" s="517"/>
      <c r="E303" s="517"/>
      <c r="F303" s="516"/>
      <c r="G303" s="516"/>
      <c r="H303" s="516"/>
      <c r="I303" s="516"/>
      <c r="J303" s="516"/>
      <c r="K303" s="516"/>
      <c r="L303" s="516"/>
      <c r="M303" s="516"/>
      <c r="N303" s="516"/>
      <c r="O303" s="516"/>
      <c r="P303" s="516"/>
      <c r="Q303" s="516"/>
      <c r="R303" s="516"/>
      <c r="S303" s="516"/>
      <c r="T303" s="516"/>
      <c r="U303" s="516"/>
      <c r="V303" s="516"/>
      <c r="W303" s="516"/>
      <c r="X303" s="516"/>
      <c r="Y303" s="516"/>
      <c r="Z303" s="516"/>
    </row>
    <row r="304" ht="14.25" customHeight="1">
      <c r="A304" s="516"/>
      <c r="B304" s="516"/>
      <c r="C304" s="517"/>
      <c r="D304" s="517"/>
      <c r="E304" s="517"/>
      <c r="F304" s="516"/>
      <c r="G304" s="516"/>
      <c r="H304" s="516"/>
      <c r="I304" s="516"/>
      <c r="J304" s="516"/>
      <c r="K304" s="516"/>
      <c r="L304" s="516"/>
      <c r="M304" s="516"/>
      <c r="N304" s="516"/>
      <c r="O304" s="516"/>
      <c r="P304" s="516"/>
      <c r="Q304" s="516"/>
      <c r="R304" s="516"/>
      <c r="S304" s="516"/>
      <c r="T304" s="516"/>
      <c r="U304" s="516"/>
      <c r="V304" s="516"/>
      <c r="W304" s="516"/>
      <c r="X304" s="516"/>
      <c r="Y304" s="516"/>
      <c r="Z304" s="516"/>
    </row>
    <row r="305" ht="14.25" customHeight="1">
      <c r="A305" s="516"/>
      <c r="B305" s="516"/>
      <c r="C305" s="517"/>
      <c r="D305" s="517"/>
      <c r="E305" s="517"/>
      <c r="F305" s="516"/>
      <c r="G305" s="516"/>
      <c r="H305" s="516"/>
      <c r="I305" s="516"/>
      <c r="J305" s="516"/>
      <c r="K305" s="516"/>
      <c r="L305" s="516"/>
      <c r="M305" s="516"/>
      <c r="N305" s="516"/>
      <c r="O305" s="516"/>
      <c r="P305" s="516"/>
      <c r="Q305" s="516"/>
      <c r="R305" s="516"/>
      <c r="S305" s="516"/>
      <c r="T305" s="516"/>
      <c r="U305" s="516"/>
      <c r="V305" s="516"/>
      <c r="W305" s="516"/>
      <c r="X305" s="516"/>
      <c r="Y305" s="516"/>
      <c r="Z305" s="516"/>
    </row>
    <row r="306" ht="14.25" customHeight="1">
      <c r="A306" s="516"/>
      <c r="B306" s="516"/>
      <c r="C306" s="517"/>
      <c r="D306" s="517"/>
      <c r="E306" s="517"/>
      <c r="F306" s="516"/>
      <c r="G306" s="516"/>
      <c r="H306" s="516"/>
      <c r="I306" s="516"/>
      <c r="J306" s="516"/>
      <c r="K306" s="516"/>
      <c r="L306" s="516"/>
      <c r="M306" s="516"/>
      <c r="N306" s="516"/>
      <c r="O306" s="516"/>
      <c r="P306" s="516"/>
      <c r="Q306" s="516"/>
      <c r="R306" s="516"/>
      <c r="S306" s="516"/>
      <c r="T306" s="516"/>
      <c r="U306" s="516"/>
      <c r="V306" s="516"/>
      <c r="W306" s="516"/>
      <c r="X306" s="516"/>
      <c r="Y306" s="516"/>
      <c r="Z306" s="516"/>
    </row>
    <row r="307" ht="14.25" customHeight="1">
      <c r="A307" s="516"/>
      <c r="B307" s="516"/>
      <c r="C307" s="517"/>
      <c r="D307" s="517"/>
      <c r="E307" s="517"/>
      <c r="F307" s="516"/>
      <c r="G307" s="516"/>
      <c r="H307" s="516"/>
      <c r="I307" s="516"/>
      <c r="J307" s="516"/>
      <c r="K307" s="516"/>
      <c r="L307" s="516"/>
      <c r="M307" s="516"/>
      <c r="N307" s="516"/>
      <c r="O307" s="516"/>
      <c r="P307" s="516"/>
      <c r="Q307" s="516"/>
      <c r="R307" s="516"/>
      <c r="S307" s="516"/>
      <c r="T307" s="516"/>
      <c r="U307" s="516"/>
      <c r="V307" s="516"/>
      <c r="W307" s="516"/>
      <c r="X307" s="516"/>
      <c r="Y307" s="516"/>
      <c r="Z307" s="516"/>
    </row>
    <row r="308" ht="14.25" customHeight="1">
      <c r="A308" s="516"/>
      <c r="B308" s="516"/>
      <c r="C308" s="517"/>
      <c r="D308" s="517"/>
      <c r="E308" s="517"/>
      <c r="F308" s="516"/>
      <c r="G308" s="516"/>
      <c r="H308" s="516"/>
      <c r="I308" s="516"/>
      <c r="J308" s="516"/>
      <c r="K308" s="516"/>
      <c r="L308" s="516"/>
      <c r="M308" s="516"/>
      <c r="N308" s="516"/>
      <c r="O308" s="516"/>
      <c r="P308" s="516"/>
      <c r="Q308" s="516"/>
      <c r="R308" s="516"/>
      <c r="S308" s="516"/>
      <c r="T308" s="516"/>
      <c r="U308" s="516"/>
      <c r="V308" s="516"/>
      <c r="W308" s="516"/>
      <c r="X308" s="516"/>
      <c r="Y308" s="516"/>
      <c r="Z308" s="516"/>
    </row>
    <row r="309" ht="14.25" customHeight="1">
      <c r="A309" s="516"/>
      <c r="B309" s="516"/>
      <c r="C309" s="517"/>
      <c r="D309" s="517"/>
      <c r="E309" s="517"/>
      <c r="F309" s="516"/>
      <c r="G309" s="516"/>
      <c r="H309" s="516"/>
      <c r="I309" s="516"/>
      <c r="J309" s="516"/>
      <c r="K309" s="516"/>
      <c r="L309" s="516"/>
      <c r="M309" s="516"/>
      <c r="N309" s="516"/>
      <c r="O309" s="516"/>
      <c r="P309" s="516"/>
      <c r="Q309" s="516"/>
      <c r="R309" s="516"/>
      <c r="S309" s="516"/>
      <c r="T309" s="516"/>
      <c r="U309" s="516"/>
      <c r="V309" s="516"/>
      <c r="W309" s="516"/>
      <c r="X309" s="516"/>
      <c r="Y309" s="516"/>
      <c r="Z309" s="516"/>
    </row>
    <row r="310" ht="14.25" customHeight="1">
      <c r="A310" s="516"/>
      <c r="B310" s="516"/>
      <c r="C310" s="517"/>
      <c r="D310" s="517"/>
      <c r="E310" s="517"/>
      <c r="F310" s="516"/>
      <c r="G310" s="516"/>
      <c r="H310" s="516"/>
      <c r="I310" s="516"/>
      <c r="J310" s="516"/>
      <c r="K310" s="516"/>
      <c r="L310" s="516"/>
      <c r="M310" s="516"/>
      <c r="N310" s="516"/>
      <c r="O310" s="516"/>
      <c r="P310" s="516"/>
      <c r="Q310" s="516"/>
      <c r="R310" s="516"/>
      <c r="S310" s="516"/>
      <c r="T310" s="516"/>
      <c r="U310" s="516"/>
      <c r="V310" s="516"/>
      <c r="W310" s="516"/>
      <c r="X310" s="516"/>
      <c r="Y310" s="516"/>
      <c r="Z310" s="516"/>
    </row>
    <row r="311" ht="14.25" customHeight="1">
      <c r="A311" s="516"/>
      <c r="B311" s="516"/>
      <c r="C311" s="517"/>
      <c r="D311" s="517"/>
      <c r="E311" s="517"/>
      <c r="F311" s="516"/>
      <c r="G311" s="516"/>
      <c r="H311" s="516"/>
      <c r="I311" s="516"/>
      <c r="J311" s="516"/>
      <c r="K311" s="516"/>
      <c r="L311" s="516"/>
      <c r="M311" s="516"/>
      <c r="N311" s="516"/>
      <c r="O311" s="516"/>
      <c r="P311" s="516"/>
      <c r="Q311" s="516"/>
      <c r="R311" s="516"/>
      <c r="S311" s="516"/>
      <c r="T311" s="516"/>
      <c r="U311" s="516"/>
      <c r="V311" s="516"/>
      <c r="W311" s="516"/>
      <c r="X311" s="516"/>
      <c r="Y311" s="516"/>
      <c r="Z311" s="516"/>
    </row>
    <row r="312" ht="14.25" customHeight="1">
      <c r="A312" s="516"/>
      <c r="B312" s="516"/>
      <c r="C312" s="517"/>
      <c r="D312" s="517"/>
      <c r="E312" s="517"/>
      <c r="F312" s="516"/>
      <c r="G312" s="516"/>
      <c r="H312" s="516"/>
      <c r="I312" s="516"/>
      <c r="J312" s="516"/>
      <c r="K312" s="516"/>
      <c r="L312" s="516"/>
      <c r="M312" s="516"/>
      <c r="N312" s="516"/>
      <c r="O312" s="516"/>
      <c r="P312" s="516"/>
      <c r="Q312" s="516"/>
      <c r="R312" s="516"/>
      <c r="S312" s="516"/>
      <c r="T312" s="516"/>
      <c r="U312" s="516"/>
      <c r="V312" s="516"/>
      <c r="W312" s="516"/>
      <c r="X312" s="516"/>
      <c r="Y312" s="516"/>
      <c r="Z312" s="516"/>
    </row>
    <row r="313" ht="14.25" customHeight="1">
      <c r="A313" s="516"/>
      <c r="B313" s="516"/>
      <c r="C313" s="517"/>
      <c r="D313" s="517"/>
      <c r="E313" s="517"/>
      <c r="F313" s="516"/>
      <c r="G313" s="516"/>
      <c r="H313" s="516"/>
      <c r="I313" s="516"/>
      <c r="J313" s="516"/>
      <c r="K313" s="516"/>
      <c r="L313" s="516"/>
      <c r="M313" s="516"/>
      <c r="N313" s="516"/>
      <c r="O313" s="516"/>
      <c r="P313" s="516"/>
      <c r="Q313" s="516"/>
      <c r="R313" s="516"/>
      <c r="S313" s="516"/>
      <c r="T313" s="516"/>
      <c r="U313" s="516"/>
      <c r="V313" s="516"/>
      <c r="W313" s="516"/>
      <c r="X313" s="516"/>
      <c r="Y313" s="516"/>
      <c r="Z313" s="516"/>
    </row>
    <row r="314" ht="14.25" customHeight="1">
      <c r="A314" s="516"/>
      <c r="B314" s="516"/>
      <c r="C314" s="517"/>
      <c r="D314" s="517"/>
      <c r="E314" s="517"/>
      <c r="F314" s="516"/>
      <c r="G314" s="516"/>
      <c r="H314" s="516"/>
      <c r="I314" s="516"/>
      <c r="J314" s="516"/>
      <c r="K314" s="516"/>
      <c r="L314" s="516"/>
      <c r="M314" s="516"/>
      <c r="N314" s="516"/>
      <c r="O314" s="516"/>
      <c r="P314" s="516"/>
      <c r="Q314" s="516"/>
      <c r="R314" s="516"/>
      <c r="S314" s="516"/>
      <c r="T314" s="516"/>
      <c r="U314" s="516"/>
      <c r="V314" s="516"/>
      <c r="W314" s="516"/>
      <c r="X314" s="516"/>
      <c r="Y314" s="516"/>
      <c r="Z314" s="516"/>
    </row>
    <row r="315" ht="14.25" customHeight="1">
      <c r="A315" s="516"/>
      <c r="B315" s="516"/>
      <c r="C315" s="517"/>
      <c r="D315" s="517"/>
      <c r="E315" s="517"/>
      <c r="F315" s="516"/>
      <c r="G315" s="516"/>
      <c r="H315" s="516"/>
      <c r="I315" s="516"/>
      <c r="J315" s="516"/>
      <c r="K315" s="516"/>
      <c r="L315" s="516"/>
      <c r="M315" s="516"/>
      <c r="N315" s="516"/>
      <c r="O315" s="516"/>
      <c r="P315" s="516"/>
      <c r="Q315" s="516"/>
      <c r="R315" s="516"/>
      <c r="S315" s="516"/>
      <c r="T315" s="516"/>
      <c r="U315" s="516"/>
      <c r="V315" s="516"/>
      <c r="W315" s="516"/>
      <c r="X315" s="516"/>
      <c r="Y315" s="516"/>
      <c r="Z315" s="516"/>
    </row>
    <row r="316" ht="14.25" customHeight="1">
      <c r="A316" s="516"/>
      <c r="B316" s="516"/>
      <c r="C316" s="517"/>
      <c r="D316" s="517"/>
      <c r="E316" s="517"/>
      <c r="F316" s="516"/>
      <c r="G316" s="516"/>
      <c r="H316" s="516"/>
      <c r="I316" s="516"/>
      <c r="J316" s="516"/>
      <c r="K316" s="516"/>
      <c r="L316" s="516"/>
      <c r="M316" s="516"/>
      <c r="N316" s="516"/>
      <c r="O316" s="516"/>
      <c r="P316" s="516"/>
      <c r="Q316" s="516"/>
      <c r="R316" s="516"/>
      <c r="S316" s="516"/>
      <c r="T316" s="516"/>
      <c r="U316" s="516"/>
      <c r="V316" s="516"/>
      <c r="W316" s="516"/>
      <c r="X316" s="516"/>
      <c r="Y316" s="516"/>
      <c r="Z316" s="516"/>
    </row>
    <row r="317" ht="14.25" customHeight="1">
      <c r="A317" s="516"/>
      <c r="B317" s="516"/>
      <c r="C317" s="517"/>
      <c r="D317" s="517"/>
      <c r="E317" s="517"/>
      <c r="F317" s="516"/>
      <c r="G317" s="516"/>
      <c r="H317" s="516"/>
      <c r="I317" s="516"/>
      <c r="J317" s="516"/>
      <c r="K317" s="516"/>
      <c r="L317" s="516"/>
      <c r="M317" s="516"/>
      <c r="N317" s="516"/>
      <c r="O317" s="516"/>
      <c r="P317" s="516"/>
      <c r="Q317" s="516"/>
      <c r="R317" s="516"/>
      <c r="S317" s="516"/>
      <c r="T317" s="516"/>
      <c r="U317" s="516"/>
      <c r="V317" s="516"/>
      <c r="W317" s="516"/>
      <c r="X317" s="516"/>
      <c r="Y317" s="516"/>
      <c r="Z317" s="516"/>
    </row>
    <row r="318" ht="14.25" customHeight="1">
      <c r="A318" s="516"/>
      <c r="B318" s="516"/>
      <c r="C318" s="517"/>
      <c r="D318" s="517"/>
      <c r="E318" s="517"/>
      <c r="F318" s="516"/>
      <c r="G318" s="516"/>
      <c r="H318" s="516"/>
      <c r="I318" s="516"/>
      <c r="J318" s="516"/>
      <c r="K318" s="516"/>
      <c r="L318" s="516"/>
      <c r="M318" s="516"/>
      <c r="N318" s="516"/>
      <c r="O318" s="516"/>
      <c r="P318" s="516"/>
      <c r="Q318" s="516"/>
      <c r="R318" s="516"/>
      <c r="S318" s="516"/>
      <c r="T318" s="516"/>
      <c r="U318" s="516"/>
      <c r="V318" s="516"/>
      <c r="W318" s="516"/>
      <c r="X318" s="516"/>
      <c r="Y318" s="516"/>
      <c r="Z318" s="516"/>
    </row>
    <row r="319" ht="14.25" customHeight="1">
      <c r="A319" s="516"/>
      <c r="B319" s="516"/>
      <c r="C319" s="517"/>
      <c r="D319" s="517"/>
      <c r="E319" s="517"/>
      <c r="F319" s="516"/>
      <c r="G319" s="516"/>
      <c r="H319" s="516"/>
      <c r="I319" s="516"/>
      <c r="J319" s="516"/>
      <c r="K319" s="516"/>
      <c r="L319" s="516"/>
      <c r="M319" s="516"/>
      <c r="N319" s="516"/>
      <c r="O319" s="516"/>
      <c r="P319" s="516"/>
      <c r="Q319" s="516"/>
      <c r="R319" s="516"/>
      <c r="S319" s="516"/>
      <c r="T319" s="516"/>
      <c r="U319" s="516"/>
      <c r="V319" s="516"/>
      <c r="W319" s="516"/>
      <c r="X319" s="516"/>
      <c r="Y319" s="516"/>
      <c r="Z319" s="516"/>
    </row>
    <row r="320" ht="14.25" customHeight="1">
      <c r="A320" s="516"/>
      <c r="B320" s="516"/>
      <c r="C320" s="517"/>
      <c r="D320" s="517"/>
      <c r="E320" s="517"/>
      <c r="F320" s="516"/>
      <c r="G320" s="516"/>
      <c r="H320" s="516"/>
      <c r="I320" s="516"/>
      <c r="J320" s="516"/>
      <c r="K320" s="516"/>
      <c r="L320" s="516"/>
      <c r="M320" s="516"/>
      <c r="N320" s="516"/>
      <c r="O320" s="516"/>
      <c r="P320" s="516"/>
      <c r="Q320" s="516"/>
      <c r="R320" s="516"/>
      <c r="S320" s="516"/>
      <c r="T320" s="516"/>
      <c r="U320" s="516"/>
      <c r="V320" s="516"/>
      <c r="W320" s="516"/>
      <c r="X320" s="516"/>
      <c r="Y320" s="516"/>
      <c r="Z320" s="516"/>
    </row>
    <row r="321" ht="14.25" customHeight="1">
      <c r="A321" s="516"/>
      <c r="B321" s="516"/>
      <c r="C321" s="517"/>
      <c r="D321" s="517"/>
      <c r="E321" s="517"/>
      <c r="F321" s="516"/>
      <c r="G321" s="516"/>
      <c r="H321" s="516"/>
      <c r="I321" s="516"/>
      <c r="J321" s="516"/>
      <c r="K321" s="516"/>
      <c r="L321" s="516"/>
      <c r="M321" s="516"/>
      <c r="N321" s="516"/>
      <c r="O321" s="516"/>
      <c r="P321" s="516"/>
      <c r="Q321" s="516"/>
      <c r="R321" s="516"/>
      <c r="S321" s="516"/>
      <c r="T321" s="516"/>
      <c r="U321" s="516"/>
      <c r="V321" s="516"/>
      <c r="W321" s="516"/>
      <c r="X321" s="516"/>
      <c r="Y321" s="516"/>
      <c r="Z321" s="516"/>
    </row>
    <row r="322" ht="14.25" customHeight="1">
      <c r="A322" s="516"/>
      <c r="B322" s="516"/>
      <c r="C322" s="517"/>
      <c r="D322" s="517"/>
      <c r="E322" s="517"/>
      <c r="F322" s="516"/>
      <c r="G322" s="516"/>
      <c r="H322" s="516"/>
      <c r="I322" s="516"/>
      <c r="J322" s="516"/>
      <c r="K322" s="516"/>
      <c r="L322" s="516"/>
      <c r="M322" s="516"/>
      <c r="N322" s="516"/>
      <c r="O322" s="516"/>
      <c r="P322" s="516"/>
      <c r="Q322" s="516"/>
      <c r="R322" s="516"/>
      <c r="S322" s="516"/>
      <c r="T322" s="516"/>
      <c r="U322" s="516"/>
      <c r="V322" s="516"/>
      <c r="W322" s="516"/>
      <c r="X322" s="516"/>
      <c r="Y322" s="516"/>
      <c r="Z322" s="516"/>
    </row>
    <row r="323" ht="14.25" customHeight="1">
      <c r="A323" s="516"/>
      <c r="B323" s="516"/>
      <c r="C323" s="517"/>
      <c r="D323" s="517"/>
      <c r="E323" s="517"/>
      <c r="F323" s="516"/>
      <c r="G323" s="516"/>
      <c r="H323" s="516"/>
      <c r="I323" s="516"/>
      <c r="J323" s="516"/>
      <c r="K323" s="516"/>
      <c r="L323" s="516"/>
      <c r="M323" s="516"/>
      <c r="N323" s="516"/>
      <c r="O323" s="516"/>
      <c r="P323" s="516"/>
      <c r="Q323" s="516"/>
      <c r="R323" s="516"/>
      <c r="S323" s="516"/>
      <c r="T323" s="516"/>
      <c r="U323" s="516"/>
      <c r="V323" s="516"/>
      <c r="W323" s="516"/>
      <c r="X323" s="516"/>
      <c r="Y323" s="516"/>
      <c r="Z323" s="516"/>
    </row>
    <row r="324" ht="14.25" customHeight="1">
      <c r="A324" s="516"/>
      <c r="B324" s="516"/>
      <c r="C324" s="517"/>
      <c r="D324" s="517"/>
      <c r="E324" s="517"/>
      <c r="F324" s="516"/>
      <c r="G324" s="516"/>
      <c r="H324" s="516"/>
      <c r="I324" s="516"/>
      <c r="J324" s="516"/>
      <c r="K324" s="516"/>
      <c r="L324" s="516"/>
      <c r="M324" s="516"/>
      <c r="N324" s="516"/>
      <c r="O324" s="516"/>
      <c r="P324" s="516"/>
      <c r="Q324" s="516"/>
      <c r="R324" s="516"/>
      <c r="S324" s="516"/>
      <c r="T324" s="516"/>
      <c r="U324" s="516"/>
      <c r="V324" s="516"/>
      <c r="W324" s="516"/>
      <c r="X324" s="516"/>
      <c r="Y324" s="516"/>
      <c r="Z324" s="516"/>
    </row>
    <row r="325" ht="14.25" customHeight="1">
      <c r="A325" s="516"/>
      <c r="B325" s="516"/>
      <c r="C325" s="517"/>
      <c r="D325" s="517"/>
      <c r="E325" s="517"/>
      <c r="F325" s="516"/>
      <c r="G325" s="516"/>
      <c r="H325" s="516"/>
      <c r="I325" s="516"/>
      <c r="J325" s="516"/>
      <c r="K325" s="516"/>
      <c r="L325" s="516"/>
      <c r="M325" s="516"/>
      <c r="N325" s="516"/>
      <c r="O325" s="516"/>
      <c r="P325" s="516"/>
      <c r="Q325" s="516"/>
      <c r="R325" s="516"/>
      <c r="S325" s="516"/>
      <c r="T325" s="516"/>
      <c r="U325" s="516"/>
      <c r="V325" s="516"/>
      <c r="W325" s="516"/>
      <c r="X325" s="516"/>
      <c r="Y325" s="516"/>
      <c r="Z325" s="516"/>
    </row>
    <row r="326" ht="14.25" customHeight="1">
      <c r="A326" s="516"/>
      <c r="B326" s="516"/>
      <c r="C326" s="517"/>
      <c r="D326" s="517"/>
      <c r="E326" s="517"/>
      <c r="F326" s="516"/>
      <c r="G326" s="516"/>
      <c r="H326" s="516"/>
      <c r="I326" s="516"/>
      <c r="J326" s="516"/>
      <c r="K326" s="516"/>
      <c r="L326" s="516"/>
      <c r="M326" s="516"/>
      <c r="N326" s="516"/>
      <c r="O326" s="516"/>
      <c r="P326" s="516"/>
      <c r="Q326" s="516"/>
      <c r="R326" s="516"/>
      <c r="S326" s="516"/>
      <c r="T326" s="516"/>
      <c r="U326" s="516"/>
      <c r="V326" s="516"/>
      <c r="W326" s="516"/>
      <c r="X326" s="516"/>
      <c r="Y326" s="516"/>
      <c r="Z326" s="516"/>
    </row>
    <row r="327" ht="14.25" customHeight="1">
      <c r="A327" s="516"/>
      <c r="B327" s="516"/>
      <c r="C327" s="517"/>
      <c r="D327" s="517"/>
      <c r="E327" s="517"/>
      <c r="F327" s="516"/>
      <c r="G327" s="516"/>
      <c r="H327" s="516"/>
      <c r="I327" s="516"/>
      <c r="J327" s="516"/>
      <c r="K327" s="516"/>
      <c r="L327" s="516"/>
      <c r="M327" s="516"/>
      <c r="N327" s="516"/>
      <c r="O327" s="516"/>
      <c r="P327" s="516"/>
      <c r="Q327" s="516"/>
      <c r="R327" s="516"/>
      <c r="S327" s="516"/>
      <c r="T327" s="516"/>
      <c r="U327" s="516"/>
      <c r="V327" s="516"/>
      <c r="W327" s="516"/>
      <c r="X327" s="516"/>
      <c r="Y327" s="516"/>
      <c r="Z327" s="516"/>
    </row>
    <row r="328" ht="14.25" customHeight="1">
      <c r="A328" s="516"/>
      <c r="B328" s="516"/>
      <c r="C328" s="517"/>
      <c r="D328" s="517"/>
      <c r="E328" s="517"/>
      <c r="F328" s="516"/>
      <c r="G328" s="516"/>
      <c r="H328" s="516"/>
      <c r="I328" s="516"/>
      <c r="J328" s="516"/>
      <c r="K328" s="516"/>
      <c r="L328" s="516"/>
      <c r="M328" s="516"/>
      <c r="N328" s="516"/>
      <c r="O328" s="516"/>
      <c r="P328" s="516"/>
      <c r="Q328" s="516"/>
      <c r="R328" s="516"/>
      <c r="S328" s="516"/>
      <c r="T328" s="516"/>
      <c r="U328" s="516"/>
      <c r="V328" s="516"/>
      <c r="W328" s="516"/>
      <c r="X328" s="516"/>
      <c r="Y328" s="516"/>
      <c r="Z328" s="516"/>
    </row>
    <row r="329" ht="14.25" customHeight="1">
      <c r="A329" s="516"/>
      <c r="B329" s="516"/>
      <c r="C329" s="517"/>
      <c r="D329" s="517"/>
      <c r="E329" s="517"/>
      <c r="F329" s="516"/>
      <c r="G329" s="516"/>
      <c r="H329" s="516"/>
      <c r="I329" s="516"/>
      <c r="J329" s="516"/>
      <c r="K329" s="516"/>
      <c r="L329" s="516"/>
      <c r="M329" s="516"/>
      <c r="N329" s="516"/>
      <c r="O329" s="516"/>
      <c r="P329" s="516"/>
      <c r="Q329" s="516"/>
      <c r="R329" s="516"/>
      <c r="S329" s="516"/>
      <c r="T329" s="516"/>
      <c r="U329" s="516"/>
      <c r="V329" s="516"/>
      <c r="W329" s="516"/>
      <c r="X329" s="516"/>
      <c r="Y329" s="516"/>
      <c r="Z329" s="516"/>
    </row>
    <row r="330" ht="14.25" customHeight="1">
      <c r="A330" s="516"/>
      <c r="B330" s="516"/>
      <c r="C330" s="517"/>
      <c r="D330" s="517"/>
      <c r="E330" s="517"/>
      <c r="F330" s="516"/>
      <c r="G330" s="516"/>
      <c r="H330" s="516"/>
      <c r="I330" s="516"/>
      <c r="J330" s="516"/>
      <c r="K330" s="516"/>
      <c r="L330" s="516"/>
      <c r="M330" s="516"/>
      <c r="N330" s="516"/>
      <c r="O330" s="516"/>
      <c r="P330" s="516"/>
      <c r="Q330" s="516"/>
      <c r="R330" s="516"/>
      <c r="S330" s="516"/>
      <c r="T330" s="516"/>
      <c r="U330" s="516"/>
      <c r="V330" s="516"/>
      <c r="W330" s="516"/>
      <c r="X330" s="516"/>
      <c r="Y330" s="516"/>
      <c r="Z330" s="516"/>
    </row>
    <row r="331" ht="14.25" customHeight="1">
      <c r="A331" s="516"/>
      <c r="B331" s="516"/>
      <c r="C331" s="517"/>
      <c r="D331" s="517"/>
      <c r="E331" s="517"/>
      <c r="F331" s="516"/>
      <c r="G331" s="516"/>
      <c r="H331" s="516"/>
      <c r="I331" s="516"/>
      <c r="J331" s="516"/>
      <c r="K331" s="516"/>
      <c r="L331" s="516"/>
      <c r="M331" s="516"/>
      <c r="N331" s="516"/>
      <c r="O331" s="516"/>
      <c r="P331" s="516"/>
      <c r="Q331" s="516"/>
      <c r="R331" s="516"/>
      <c r="S331" s="516"/>
      <c r="T331" s="516"/>
      <c r="U331" s="516"/>
      <c r="V331" s="516"/>
      <c r="W331" s="516"/>
      <c r="X331" s="516"/>
      <c r="Y331" s="516"/>
      <c r="Z331" s="516"/>
    </row>
    <row r="332" ht="14.25" customHeight="1">
      <c r="A332" s="516"/>
      <c r="B332" s="516"/>
      <c r="C332" s="517"/>
      <c r="D332" s="517"/>
      <c r="E332" s="517"/>
      <c r="F332" s="516"/>
      <c r="G332" s="516"/>
      <c r="H332" s="516"/>
      <c r="I332" s="516"/>
      <c r="J332" s="516"/>
      <c r="K332" s="516"/>
      <c r="L332" s="516"/>
      <c r="M332" s="516"/>
      <c r="N332" s="516"/>
      <c r="O332" s="516"/>
      <c r="P332" s="516"/>
      <c r="Q332" s="516"/>
      <c r="R332" s="516"/>
      <c r="S332" s="516"/>
      <c r="T332" s="516"/>
      <c r="U332" s="516"/>
      <c r="V332" s="516"/>
      <c r="W332" s="516"/>
      <c r="X332" s="516"/>
      <c r="Y332" s="516"/>
      <c r="Z332" s="516"/>
    </row>
    <row r="333" ht="14.25" customHeight="1">
      <c r="A333" s="516"/>
      <c r="B333" s="516"/>
      <c r="C333" s="517"/>
      <c r="D333" s="517"/>
      <c r="E333" s="517"/>
      <c r="F333" s="516"/>
      <c r="G333" s="516"/>
      <c r="H333" s="516"/>
      <c r="I333" s="516"/>
      <c r="J333" s="516"/>
      <c r="K333" s="516"/>
      <c r="L333" s="516"/>
      <c r="M333" s="516"/>
      <c r="N333" s="516"/>
      <c r="O333" s="516"/>
      <c r="P333" s="516"/>
      <c r="Q333" s="516"/>
      <c r="R333" s="516"/>
      <c r="S333" s="516"/>
      <c r="T333" s="516"/>
      <c r="U333" s="516"/>
      <c r="V333" s="516"/>
      <c r="W333" s="516"/>
      <c r="X333" s="516"/>
      <c r="Y333" s="516"/>
      <c r="Z333" s="516"/>
    </row>
    <row r="334" ht="14.25" customHeight="1">
      <c r="A334" s="516"/>
      <c r="B334" s="516"/>
      <c r="C334" s="517"/>
      <c r="D334" s="517"/>
      <c r="E334" s="517"/>
      <c r="F334" s="516"/>
      <c r="G334" s="516"/>
      <c r="H334" s="516"/>
      <c r="I334" s="516"/>
      <c r="J334" s="516"/>
      <c r="K334" s="516"/>
      <c r="L334" s="516"/>
      <c r="M334" s="516"/>
      <c r="N334" s="516"/>
      <c r="O334" s="516"/>
      <c r="P334" s="516"/>
      <c r="Q334" s="516"/>
      <c r="R334" s="516"/>
      <c r="S334" s="516"/>
      <c r="T334" s="516"/>
      <c r="U334" s="516"/>
      <c r="V334" s="516"/>
      <c r="W334" s="516"/>
      <c r="X334" s="516"/>
      <c r="Y334" s="516"/>
      <c r="Z334" s="516"/>
    </row>
    <row r="335" ht="14.25" customHeight="1">
      <c r="A335" s="516"/>
      <c r="B335" s="516"/>
      <c r="C335" s="517"/>
      <c r="D335" s="517"/>
      <c r="E335" s="517"/>
      <c r="F335" s="516"/>
      <c r="G335" s="516"/>
      <c r="H335" s="516"/>
      <c r="I335" s="516"/>
      <c r="J335" s="516"/>
      <c r="K335" s="516"/>
      <c r="L335" s="516"/>
      <c r="M335" s="516"/>
      <c r="N335" s="516"/>
      <c r="O335" s="516"/>
      <c r="P335" s="516"/>
      <c r="Q335" s="516"/>
      <c r="R335" s="516"/>
      <c r="S335" s="516"/>
      <c r="T335" s="516"/>
      <c r="U335" s="516"/>
      <c r="V335" s="516"/>
      <c r="W335" s="516"/>
      <c r="X335" s="516"/>
      <c r="Y335" s="516"/>
      <c r="Z335" s="516"/>
    </row>
    <row r="336" ht="14.25" customHeight="1">
      <c r="A336" s="516"/>
      <c r="B336" s="516"/>
      <c r="C336" s="517"/>
      <c r="D336" s="517"/>
      <c r="E336" s="517"/>
      <c r="F336" s="516"/>
      <c r="G336" s="516"/>
      <c r="H336" s="516"/>
      <c r="I336" s="516"/>
      <c r="J336" s="516"/>
      <c r="K336" s="516"/>
      <c r="L336" s="516"/>
      <c r="M336" s="516"/>
      <c r="N336" s="516"/>
      <c r="O336" s="516"/>
      <c r="P336" s="516"/>
      <c r="Q336" s="516"/>
      <c r="R336" s="516"/>
      <c r="S336" s="516"/>
      <c r="T336" s="516"/>
      <c r="U336" s="516"/>
      <c r="V336" s="516"/>
      <c r="W336" s="516"/>
      <c r="X336" s="516"/>
      <c r="Y336" s="516"/>
      <c r="Z336" s="516"/>
    </row>
    <row r="337" ht="14.25" customHeight="1">
      <c r="A337" s="516"/>
      <c r="B337" s="516"/>
      <c r="C337" s="517"/>
      <c r="D337" s="517"/>
      <c r="E337" s="517"/>
      <c r="F337" s="516"/>
      <c r="G337" s="516"/>
      <c r="H337" s="516"/>
      <c r="I337" s="516"/>
      <c r="J337" s="516"/>
      <c r="K337" s="516"/>
      <c r="L337" s="516"/>
      <c r="M337" s="516"/>
      <c r="N337" s="516"/>
      <c r="O337" s="516"/>
      <c r="P337" s="516"/>
      <c r="Q337" s="516"/>
      <c r="R337" s="516"/>
      <c r="S337" s="516"/>
      <c r="T337" s="516"/>
      <c r="U337" s="516"/>
      <c r="V337" s="516"/>
      <c r="W337" s="516"/>
      <c r="X337" s="516"/>
      <c r="Y337" s="516"/>
      <c r="Z337" s="516"/>
    </row>
    <row r="338" ht="14.25" customHeight="1">
      <c r="A338" s="516"/>
      <c r="B338" s="516"/>
      <c r="C338" s="517"/>
      <c r="D338" s="517"/>
      <c r="E338" s="517"/>
      <c r="F338" s="516"/>
      <c r="G338" s="516"/>
      <c r="H338" s="516"/>
      <c r="I338" s="516"/>
      <c r="J338" s="516"/>
      <c r="K338" s="516"/>
      <c r="L338" s="516"/>
      <c r="M338" s="516"/>
      <c r="N338" s="516"/>
      <c r="O338" s="516"/>
      <c r="P338" s="516"/>
      <c r="Q338" s="516"/>
      <c r="R338" s="516"/>
      <c r="S338" s="516"/>
      <c r="T338" s="516"/>
      <c r="U338" s="516"/>
      <c r="V338" s="516"/>
      <c r="W338" s="516"/>
      <c r="X338" s="516"/>
      <c r="Y338" s="516"/>
      <c r="Z338" s="516"/>
    </row>
    <row r="339" ht="14.25" customHeight="1">
      <c r="A339" s="516"/>
      <c r="B339" s="516"/>
      <c r="C339" s="517"/>
      <c r="D339" s="517"/>
      <c r="E339" s="517"/>
      <c r="F339" s="516"/>
      <c r="G339" s="516"/>
      <c r="H339" s="516"/>
      <c r="I339" s="516"/>
      <c r="J339" s="516"/>
      <c r="K339" s="516"/>
      <c r="L339" s="516"/>
      <c r="M339" s="516"/>
      <c r="N339" s="516"/>
      <c r="O339" s="516"/>
      <c r="P339" s="516"/>
      <c r="Q339" s="516"/>
      <c r="R339" s="516"/>
      <c r="S339" s="516"/>
      <c r="T339" s="516"/>
      <c r="U339" s="516"/>
      <c r="V339" s="516"/>
      <c r="W339" s="516"/>
      <c r="X339" s="516"/>
      <c r="Y339" s="516"/>
      <c r="Z339" s="516"/>
    </row>
    <row r="340" ht="14.25" customHeight="1">
      <c r="A340" s="516"/>
      <c r="B340" s="516"/>
      <c r="C340" s="517"/>
      <c r="D340" s="517"/>
      <c r="E340" s="517"/>
      <c r="F340" s="516"/>
      <c r="G340" s="516"/>
      <c r="H340" s="516"/>
      <c r="I340" s="516"/>
      <c r="J340" s="516"/>
      <c r="K340" s="516"/>
      <c r="L340" s="516"/>
      <c r="M340" s="516"/>
      <c r="N340" s="516"/>
      <c r="O340" s="516"/>
      <c r="P340" s="516"/>
      <c r="Q340" s="516"/>
      <c r="R340" s="516"/>
      <c r="S340" s="516"/>
      <c r="T340" s="516"/>
      <c r="U340" s="516"/>
      <c r="V340" s="516"/>
      <c r="W340" s="516"/>
      <c r="X340" s="516"/>
      <c r="Y340" s="516"/>
      <c r="Z340" s="516"/>
    </row>
    <row r="341" ht="14.25" customHeight="1">
      <c r="A341" s="516"/>
      <c r="B341" s="516"/>
      <c r="C341" s="517"/>
      <c r="D341" s="517"/>
      <c r="E341" s="517"/>
      <c r="F341" s="516"/>
      <c r="G341" s="516"/>
      <c r="H341" s="516"/>
      <c r="I341" s="516"/>
      <c r="J341" s="516"/>
      <c r="K341" s="516"/>
      <c r="L341" s="516"/>
      <c r="M341" s="516"/>
      <c r="N341" s="516"/>
      <c r="O341" s="516"/>
      <c r="P341" s="516"/>
      <c r="Q341" s="516"/>
      <c r="R341" s="516"/>
      <c r="S341" s="516"/>
      <c r="T341" s="516"/>
      <c r="U341" s="516"/>
      <c r="V341" s="516"/>
      <c r="W341" s="516"/>
      <c r="X341" s="516"/>
      <c r="Y341" s="516"/>
      <c r="Z341" s="516"/>
    </row>
    <row r="342" ht="14.25" customHeight="1">
      <c r="A342" s="516"/>
      <c r="B342" s="516"/>
      <c r="C342" s="517"/>
      <c r="D342" s="517"/>
      <c r="E342" s="517"/>
      <c r="F342" s="516"/>
      <c r="G342" s="516"/>
      <c r="H342" s="516"/>
      <c r="I342" s="516"/>
      <c r="J342" s="516"/>
      <c r="K342" s="516"/>
      <c r="L342" s="516"/>
      <c r="M342" s="516"/>
      <c r="N342" s="516"/>
      <c r="O342" s="516"/>
      <c r="P342" s="516"/>
      <c r="Q342" s="516"/>
      <c r="R342" s="516"/>
      <c r="S342" s="516"/>
      <c r="T342" s="516"/>
      <c r="U342" s="516"/>
      <c r="V342" s="516"/>
      <c r="W342" s="516"/>
      <c r="X342" s="516"/>
      <c r="Y342" s="516"/>
      <c r="Z342" s="516"/>
    </row>
    <row r="343" ht="14.25" customHeight="1">
      <c r="A343" s="516"/>
      <c r="B343" s="516"/>
      <c r="C343" s="517"/>
      <c r="D343" s="517"/>
      <c r="E343" s="517"/>
      <c r="F343" s="516"/>
      <c r="G343" s="516"/>
      <c r="H343" s="516"/>
      <c r="I343" s="516"/>
      <c r="J343" s="516"/>
      <c r="K343" s="516"/>
      <c r="L343" s="516"/>
      <c r="M343" s="516"/>
      <c r="N343" s="516"/>
      <c r="O343" s="516"/>
      <c r="P343" s="516"/>
      <c r="Q343" s="516"/>
      <c r="R343" s="516"/>
      <c r="S343" s="516"/>
      <c r="T343" s="516"/>
      <c r="U343" s="516"/>
      <c r="V343" s="516"/>
      <c r="W343" s="516"/>
      <c r="X343" s="516"/>
      <c r="Y343" s="516"/>
      <c r="Z343" s="516"/>
    </row>
    <row r="344" ht="14.25" customHeight="1">
      <c r="A344" s="516"/>
      <c r="B344" s="516"/>
      <c r="C344" s="517"/>
      <c r="D344" s="517"/>
      <c r="E344" s="517"/>
      <c r="F344" s="516"/>
      <c r="G344" s="516"/>
      <c r="H344" s="516"/>
      <c r="I344" s="516"/>
      <c r="J344" s="516"/>
      <c r="K344" s="516"/>
      <c r="L344" s="516"/>
      <c r="M344" s="516"/>
      <c r="N344" s="516"/>
      <c r="O344" s="516"/>
      <c r="P344" s="516"/>
      <c r="Q344" s="516"/>
      <c r="R344" s="516"/>
      <c r="S344" s="516"/>
      <c r="T344" s="516"/>
      <c r="U344" s="516"/>
      <c r="V344" s="516"/>
      <c r="W344" s="516"/>
      <c r="X344" s="516"/>
      <c r="Y344" s="516"/>
      <c r="Z344" s="516"/>
    </row>
    <row r="345" ht="14.25" customHeight="1">
      <c r="A345" s="516"/>
      <c r="B345" s="516"/>
      <c r="C345" s="517"/>
      <c r="D345" s="517"/>
      <c r="E345" s="517"/>
      <c r="F345" s="516"/>
      <c r="G345" s="516"/>
      <c r="H345" s="516"/>
      <c r="I345" s="516"/>
      <c r="J345" s="516"/>
      <c r="K345" s="516"/>
      <c r="L345" s="516"/>
      <c r="M345" s="516"/>
      <c r="N345" s="516"/>
      <c r="O345" s="516"/>
      <c r="P345" s="516"/>
      <c r="Q345" s="516"/>
      <c r="R345" s="516"/>
      <c r="S345" s="516"/>
      <c r="T345" s="516"/>
      <c r="U345" s="516"/>
      <c r="V345" s="516"/>
      <c r="W345" s="516"/>
      <c r="X345" s="516"/>
      <c r="Y345" s="516"/>
      <c r="Z345" s="516"/>
    </row>
    <row r="346" ht="14.25" customHeight="1">
      <c r="A346" s="516"/>
      <c r="B346" s="516"/>
      <c r="C346" s="517"/>
      <c r="D346" s="517"/>
      <c r="E346" s="517"/>
      <c r="F346" s="516"/>
      <c r="G346" s="516"/>
      <c r="H346" s="516"/>
      <c r="I346" s="516"/>
      <c r="J346" s="516"/>
      <c r="K346" s="516"/>
      <c r="L346" s="516"/>
      <c r="M346" s="516"/>
      <c r="N346" s="516"/>
      <c r="O346" s="516"/>
      <c r="P346" s="516"/>
      <c r="Q346" s="516"/>
      <c r="R346" s="516"/>
      <c r="S346" s="516"/>
      <c r="T346" s="516"/>
      <c r="U346" s="516"/>
      <c r="V346" s="516"/>
      <c r="W346" s="516"/>
      <c r="X346" s="516"/>
      <c r="Y346" s="516"/>
      <c r="Z346" s="516"/>
    </row>
    <row r="347" ht="14.25" customHeight="1">
      <c r="A347" s="516"/>
      <c r="B347" s="516"/>
      <c r="C347" s="517"/>
      <c r="D347" s="517"/>
      <c r="E347" s="517"/>
      <c r="F347" s="516"/>
      <c r="G347" s="516"/>
      <c r="H347" s="516"/>
      <c r="I347" s="516"/>
      <c r="J347" s="516"/>
      <c r="K347" s="516"/>
      <c r="L347" s="516"/>
      <c r="M347" s="516"/>
      <c r="N347" s="516"/>
      <c r="O347" s="516"/>
      <c r="P347" s="516"/>
      <c r="Q347" s="516"/>
      <c r="R347" s="516"/>
      <c r="S347" s="516"/>
      <c r="T347" s="516"/>
      <c r="U347" s="516"/>
      <c r="V347" s="516"/>
      <c r="W347" s="516"/>
      <c r="X347" s="516"/>
      <c r="Y347" s="516"/>
      <c r="Z347" s="516"/>
    </row>
    <row r="348" ht="14.25" customHeight="1">
      <c r="A348" s="516"/>
      <c r="B348" s="516"/>
      <c r="C348" s="517"/>
      <c r="D348" s="517"/>
      <c r="E348" s="517"/>
      <c r="F348" s="516"/>
      <c r="G348" s="516"/>
      <c r="H348" s="516"/>
      <c r="I348" s="516"/>
      <c r="J348" s="516"/>
      <c r="K348" s="516"/>
      <c r="L348" s="516"/>
      <c r="M348" s="516"/>
      <c r="N348" s="516"/>
      <c r="O348" s="516"/>
      <c r="P348" s="516"/>
      <c r="Q348" s="516"/>
      <c r="R348" s="516"/>
      <c r="S348" s="516"/>
      <c r="T348" s="516"/>
      <c r="U348" s="516"/>
      <c r="V348" s="516"/>
      <c r="W348" s="516"/>
      <c r="X348" s="516"/>
      <c r="Y348" s="516"/>
      <c r="Z348" s="516"/>
    </row>
    <row r="349" ht="14.25" customHeight="1">
      <c r="A349" s="516"/>
      <c r="B349" s="516"/>
      <c r="C349" s="517"/>
      <c r="D349" s="517"/>
      <c r="E349" s="517"/>
      <c r="F349" s="516"/>
      <c r="G349" s="516"/>
      <c r="H349" s="516"/>
      <c r="I349" s="516"/>
      <c r="J349" s="516"/>
      <c r="K349" s="516"/>
      <c r="L349" s="516"/>
      <c r="M349" s="516"/>
      <c r="N349" s="516"/>
      <c r="O349" s="516"/>
      <c r="P349" s="516"/>
      <c r="Q349" s="516"/>
      <c r="R349" s="516"/>
      <c r="S349" s="516"/>
      <c r="T349" s="516"/>
      <c r="U349" s="516"/>
      <c r="V349" s="516"/>
      <c r="W349" s="516"/>
      <c r="X349" s="516"/>
      <c r="Y349" s="516"/>
      <c r="Z349" s="516"/>
    </row>
    <row r="350" ht="14.25" customHeight="1">
      <c r="A350" s="516"/>
      <c r="B350" s="516"/>
      <c r="C350" s="517"/>
      <c r="D350" s="517"/>
      <c r="E350" s="517"/>
      <c r="F350" s="516"/>
      <c r="G350" s="516"/>
      <c r="H350" s="516"/>
      <c r="I350" s="516"/>
      <c r="J350" s="516"/>
      <c r="K350" s="516"/>
      <c r="L350" s="516"/>
      <c r="M350" s="516"/>
      <c r="N350" s="516"/>
      <c r="O350" s="516"/>
      <c r="P350" s="516"/>
      <c r="Q350" s="516"/>
      <c r="R350" s="516"/>
      <c r="S350" s="516"/>
      <c r="T350" s="516"/>
      <c r="U350" s="516"/>
      <c r="V350" s="516"/>
      <c r="W350" s="516"/>
      <c r="X350" s="516"/>
      <c r="Y350" s="516"/>
      <c r="Z350" s="516"/>
    </row>
    <row r="351" ht="14.25" customHeight="1">
      <c r="A351" s="516"/>
      <c r="B351" s="516"/>
      <c r="C351" s="517"/>
      <c r="D351" s="517"/>
      <c r="E351" s="517"/>
      <c r="F351" s="516"/>
      <c r="G351" s="516"/>
      <c r="H351" s="516"/>
      <c r="I351" s="516"/>
      <c r="J351" s="516"/>
      <c r="K351" s="516"/>
      <c r="L351" s="516"/>
      <c r="M351" s="516"/>
      <c r="N351" s="516"/>
      <c r="O351" s="516"/>
      <c r="P351" s="516"/>
      <c r="Q351" s="516"/>
      <c r="R351" s="516"/>
      <c r="S351" s="516"/>
      <c r="T351" s="516"/>
      <c r="U351" s="516"/>
      <c r="V351" s="516"/>
      <c r="W351" s="516"/>
      <c r="X351" s="516"/>
      <c r="Y351" s="516"/>
      <c r="Z351" s="516"/>
    </row>
    <row r="352" ht="14.25" customHeight="1">
      <c r="A352" s="516"/>
      <c r="B352" s="516"/>
      <c r="C352" s="517"/>
      <c r="D352" s="517"/>
      <c r="E352" s="517"/>
      <c r="F352" s="516"/>
      <c r="G352" s="516"/>
      <c r="H352" s="516"/>
      <c r="I352" s="516"/>
      <c r="J352" s="516"/>
      <c r="K352" s="516"/>
      <c r="L352" s="516"/>
      <c r="M352" s="516"/>
      <c r="N352" s="516"/>
      <c r="O352" s="516"/>
      <c r="P352" s="516"/>
      <c r="Q352" s="516"/>
      <c r="R352" s="516"/>
      <c r="S352" s="516"/>
      <c r="T352" s="516"/>
      <c r="U352" s="516"/>
      <c r="V352" s="516"/>
      <c r="W352" s="516"/>
      <c r="X352" s="516"/>
      <c r="Y352" s="516"/>
      <c r="Z352" s="516"/>
    </row>
    <row r="353" ht="14.25" customHeight="1">
      <c r="A353" s="516"/>
      <c r="B353" s="516"/>
      <c r="C353" s="517"/>
      <c r="D353" s="517"/>
      <c r="E353" s="517"/>
      <c r="F353" s="516"/>
      <c r="G353" s="516"/>
      <c r="H353" s="516"/>
      <c r="I353" s="516"/>
      <c r="J353" s="516"/>
      <c r="K353" s="516"/>
      <c r="L353" s="516"/>
      <c r="M353" s="516"/>
      <c r="N353" s="516"/>
      <c r="O353" s="516"/>
      <c r="P353" s="516"/>
      <c r="Q353" s="516"/>
      <c r="R353" s="516"/>
      <c r="S353" s="516"/>
      <c r="T353" s="516"/>
      <c r="U353" s="516"/>
      <c r="V353" s="516"/>
      <c r="W353" s="516"/>
      <c r="X353" s="516"/>
      <c r="Y353" s="516"/>
      <c r="Z353" s="516"/>
    </row>
    <row r="354" ht="14.25" customHeight="1">
      <c r="A354" s="516"/>
      <c r="B354" s="516"/>
      <c r="C354" s="517"/>
      <c r="D354" s="517"/>
      <c r="E354" s="517"/>
      <c r="F354" s="516"/>
      <c r="G354" s="516"/>
      <c r="H354" s="516"/>
      <c r="I354" s="516"/>
      <c r="J354" s="516"/>
      <c r="K354" s="516"/>
      <c r="L354" s="516"/>
      <c r="M354" s="516"/>
      <c r="N354" s="516"/>
      <c r="O354" s="516"/>
      <c r="P354" s="516"/>
      <c r="Q354" s="516"/>
      <c r="R354" s="516"/>
      <c r="S354" s="516"/>
      <c r="T354" s="516"/>
      <c r="U354" s="516"/>
      <c r="V354" s="516"/>
      <c r="W354" s="516"/>
      <c r="X354" s="516"/>
      <c r="Y354" s="516"/>
      <c r="Z354" s="516"/>
    </row>
    <row r="355" ht="14.25" customHeight="1">
      <c r="A355" s="516"/>
      <c r="B355" s="516"/>
      <c r="C355" s="517"/>
      <c r="D355" s="517"/>
      <c r="E355" s="517"/>
      <c r="F355" s="516"/>
      <c r="G355" s="516"/>
      <c r="H355" s="516"/>
      <c r="I355" s="516"/>
      <c r="J355" s="516"/>
      <c r="K355" s="516"/>
      <c r="L355" s="516"/>
      <c r="M355" s="516"/>
      <c r="N355" s="516"/>
      <c r="O355" s="516"/>
      <c r="P355" s="516"/>
      <c r="Q355" s="516"/>
      <c r="R355" s="516"/>
      <c r="S355" s="516"/>
      <c r="T355" s="516"/>
      <c r="U355" s="516"/>
      <c r="V355" s="516"/>
      <c r="W355" s="516"/>
      <c r="X355" s="516"/>
      <c r="Y355" s="516"/>
      <c r="Z355" s="516"/>
    </row>
    <row r="356" ht="14.25" customHeight="1">
      <c r="A356" s="516"/>
      <c r="B356" s="516"/>
      <c r="C356" s="517"/>
      <c r="D356" s="517"/>
      <c r="E356" s="517"/>
      <c r="F356" s="516"/>
      <c r="G356" s="516"/>
      <c r="H356" s="516"/>
      <c r="I356" s="516"/>
      <c r="J356" s="516"/>
      <c r="K356" s="516"/>
      <c r="L356" s="516"/>
      <c r="M356" s="516"/>
      <c r="N356" s="516"/>
      <c r="O356" s="516"/>
      <c r="P356" s="516"/>
      <c r="Q356" s="516"/>
      <c r="R356" s="516"/>
      <c r="S356" s="516"/>
      <c r="T356" s="516"/>
      <c r="U356" s="516"/>
      <c r="V356" s="516"/>
      <c r="W356" s="516"/>
      <c r="X356" s="516"/>
      <c r="Y356" s="516"/>
      <c r="Z356" s="516"/>
    </row>
    <row r="357" ht="14.25" customHeight="1">
      <c r="A357" s="516"/>
      <c r="B357" s="516"/>
      <c r="C357" s="517"/>
      <c r="D357" s="517"/>
      <c r="E357" s="517"/>
      <c r="F357" s="516"/>
      <c r="G357" s="516"/>
      <c r="H357" s="516"/>
      <c r="I357" s="516"/>
      <c r="J357" s="516"/>
      <c r="K357" s="516"/>
      <c r="L357" s="516"/>
      <c r="M357" s="516"/>
      <c r="N357" s="516"/>
      <c r="O357" s="516"/>
      <c r="P357" s="516"/>
      <c r="Q357" s="516"/>
      <c r="R357" s="516"/>
      <c r="S357" s="516"/>
      <c r="T357" s="516"/>
      <c r="U357" s="516"/>
      <c r="V357" s="516"/>
      <c r="W357" s="516"/>
      <c r="X357" s="516"/>
      <c r="Y357" s="516"/>
      <c r="Z357" s="516"/>
    </row>
    <row r="358" ht="14.25" customHeight="1">
      <c r="A358" s="516"/>
      <c r="B358" s="516"/>
      <c r="C358" s="517"/>
      <c r="D358" s="517"/>
      <c r="E358" s="517"/>
      <c r="F358" s="516"/>
      <c r="G358" s="516"/>
      <c r="H358" s="516"/>
      <c r="I358" s="516"/>
      <c r="J358" s="516"/>
      <c r="K358" s="516"/>
      <c r="L358" s="516"/>
      <c r="M358" s="516"/>
      <c r="N358" s="516"/>
      <c r="O358" s="516"/>
      <c r="P358" s="516"/>
      <c r="Q358" s="516"/>
      <c r="R358" s="516"/>
      <c r="S358" s="516"/>
      <c r="T358" s="516"/>
      <c r="U358" s="516"/>
      <c r="V358" s="516"/>
      <c r="W358" s="516"/>
      <c r="X358" s="516"/>
      <c r="Y358" s="516"/>
      <c r="Z358" s="516"/>
    </row>
    <row r="359" ht="14.25" customHeight="1">
      <c r="A359" s="516"/>
      <c r="B359" s="516"/>
      <c r="C359" s="517"/>
      <c r="D359" s="517"/>
      <c r="E359" s="517"/>
      <c r="F359" s="516"/>
      <c r="G359" s="516"/>
      <c r="H359" s="516"/>
      <c r="I359" s="516"/>
      <c r="J359" s="516"/>
      <c r="K359" s="516"/>
      <c r="L359" s="516"/>
      <c r="M359" s="516"/>
      <c r="N359" s="516"/>
      <c r="O359" s="516"/>
      <c r="P359" s="516"/>
      <c r="Q359" s="516"/>
      <c r="R359" s="516"/>
      <c r="S359" s="516"/>
      <c r="T359" s="516"/>
      <c r="U359" s="516"/>
      <c r="V359" s="516"/>
      <c r="W359" s="516"/>
      <c r="X359" s="516"/>
      <c r="Y359" s="516"/>
      <c r="Z359" s="516"/>
    </row>
    <row r="360" ht="14.25" customHeight="1">
      <c r="A360" s="516"/>
      <c r="B360" s="516"/>
      <c r="C360" s="517"/>
      <c r="D360" s="517"/>
      <c r="E360" s="517"/>
      <c r="F360" s="516"/>
      <c r="G360" s="516"/>
      <c r="H360" s="516"/>
      <c r="I360" s="516"/>
      <c r="J360" s="516"/>
      <c r="K360" s="516"/>
      <c r="L360" s="516"/>
      <c r="M360" s="516"/>
      <c r="N360" s="516"/>
      <c r="O360" s="516"/>
      <c r="P360" s="516"/>
      <c r="Q360" s="516"/>
      <c r="R360" s="516"/>
      <c r="S360" s="516"/>
      <c r="T360" s="516"/>
      <c r="U360" s="516"/>
      <c r="V360" s="516"/>
      <c r="W360" s="516"/>
      <c r="X360" s="516"/>
      <c r="Y360" s="516"/>
      <c r="Z360" s="516"/>
    </row>
    <row r="361" ht="14.25" customHeight="1">
      <c r="A361" s="516"/>
      <c r="B361" s="516"/>
      <c r="C361" s="517"/>
      <c r="D361" s="517"/>
      <c r="E361" s="517"/>
      <c r="F361" s="516"/>
      <c r="G361" s="516"/>
      <c r="H361" s="516"/>
      <c r="I361" s="516"/>
      <c r="J361" s="516"/>
      <c r="K361" s="516"/>
      <c r="L361" s="516"/>
      <c r="M361" s="516"/>
      <c r="N361" s="516"/>
      <c r="O361" s="516"/>
      <c r="P361" s="516"/>
      <c r="Q361" s="516"/>
      <c r="R361" s="516"/>
      <c r="S361" s="516"/>
      <c r="T361" s="516"/>
      <c r="U361" s="516"/>
      <c r="V361" s="516"/>
      <c r="W361" s="516"/>
      <c r="X361" s="516"/>
      <c r="Y361" s="516"/>
      <c r="Z361" s="516"/>
    </row>
    <row r="362" ht="14.25" customHeight="1">
      <c r="A362" s="516"/>
      <c r="B362" s="516"/>
      <c r="C362" s="517"/>
      <c r="D362" s="517"/>
      <c r="E362" s="517"/>
      <c r="F362" s="516"/>
      <c r="G362" s="516"/>
      <c r="H362" s="516"/>
      <c r="I362" s="516"/>
      <c r="J362" s="516"/>
      <c r="K362" s="516"/>
      <c r="L362" s="516"/>
      <c r="M362" s="516"/>
      <c r="N362" s="516"/>
      <c r="O362" s="516"/>
      <c r="P362" s="516"/>
      <c r="Q362" s="516"/>
      <c r="R362" s="516"/>
      <c r="S362" s="516"/>
      <c r="T362" s="516"/>
      <c r="U362" s="516"/>
      <c r="V362" s="516"/>
      <c r="W362" s="516"/>
      <c r="X362" s="516"/>
      <c r="Y362" s="516"/>
      <c r="Z362" s="516"/>
    </row>
    <row r="363" ht="14.25" customHeight="1">
      <c r="A363" s="516"/>
      <c r="B363" s="516"/>
      <c r="C363" s="517"/>
      <c r="D363" s="517"/>
      <c r="E363" s="517"/>
      <c r="F363" s="516"/>
      <c r="G363" s="516"/>
      <c r="H363" s="516"/>
      <c r="I363" s="516"/>
      <c r="J363" s="516"/>
      <c r="K363" s="516"/>
      <c r="L363" s="516"/>
      <c r="M363" s="516"/>
      <c r="N363" s="516"/>
      <c r="O363" s="516"/>
      <c r="P363" s="516"/>
      <c r="Q363" s="516"/>
      <c r="R363" s="516"/>
      <c r="S363" s="516"/>
      <c r="T363" s="516"/>
      <c r="U363" s="516"/>
      <c r="V363" s="516"/>
      <c r="W363" s="516"/>
      <c r="X363" s="516"/>
      <c r="Y363" s="516"/>
      <c r="Z363" s="516"/>
    </row>
    <row r="364" ht="14.25" customHeight="1">
      <c r="A364" s="516"/>
      <c r="B364" s="516"/>
      <c r="C364" s="517"/>
      <c r="D364" s="517"/>
      <c r="E364" s="517"/>
      <c r="F364" s="516"/>
      <c r="G364" s="516"/>
      <c r="H364" s="516"/>
      <c r="I364" s="516"/>
      <c r="J364" s="516"/>
      <c r="K364" s="516"/>
      <c r="L364" s="516"/>
      <c r="M364" s="516"/>
      <c r="N364" s="516"/>
      <c r="O364" s="516"/>
      <c r="P364" s="516"/>
      <c r="Q364" s="516"/>
      <c r="R364" s="516"/>
      <c r="S364" s="516"/>
      <c r="T364" s="516"/>
      <c r="U364" s="516"/>
      <c r="V364" s="516"/>
      <c r="W364" s="516"/>
      <c r="X364" s="516"/>
      <c r="Y364" s="516"/>
      <c r="Z364" s="516"/>
    </row>
    <row r="365" ht="14.25" customHeight="1">
      <c r="A365" s="516"/>
      <c r="B365" s="516"/>
      <c r="C365" s="517"/>
      <c r="D365" s="517"/>
      <c r="E365" s="517"/>
      <c r="F365" s="516"/>
      <c r="G365" s="516"/>
      <c r="H365" s="516"/>
      <c r="I365" s="516"/>
      <c r="J365" s="516"/>
      <c r="K365" s="516"/>
      <c r="L365" s="516"/>
      <c r="M365" s="516"/>
      <c r="N365" s="516"/>
      <c r="O365" s="516"/>
      <c r="P365" s="516"/>
      <c r="Q365" s="516"/>
      <c r="R365" s="516"/>
      <c r="S365" s="516"/>
      <c r="T365" s="516"/>
      <c r="U365" s="516"/>
      <c r="V365" s="516"/>
      <c r="W365" s="516"/>
      <c r="X365" s="516"/>
      <c r="Y365" s="516"/>
      <c r="Z365" s="516"/>
    </row>
    <row r="366" ht="14.25" customHeight="1">
      <c r="A366" s="516"/>
      <c r="B366" s="516"/>
      <c r="C366" s="517"/>
      <c r="D366" s="517"/>
      <c r="E366" s="517"/>
      <c r="F366" s="516"/>
      <c r="G366" s="516"/>
      <c r="H366" s="516"/>
      <c r="I366" s="516"/>
      <c r="J366" s="516"/>
      <c r="K366" s="516"/>
      <c r="L366" s="516"/>
      <c r="M366" s="516"/>
      <c r="N366" s="516"/>
      <c r="O366" s="516"/>
      <c r="P366" s="516"/>
      <c r="Q366" s="516"/>
      <c r="R366" s="516"/>
      <c r="S366" s="516"/>
      <c r="T366" s="516"/>
      <c r="U366" s="516"/>
      <c r="V366" s="516"/>
      <c r="W366" s="516"/>
      <c r="X366" s="516"/>
      <c r="Y366" s="516"/>
      <c r="Z366" s="516"/>
    </row>
    <row r="367" ht="14.25" customHeight="1">
      <c r="A367" s="516"/>
      <c r="B367" s="516"/>
      <c r="C367" s="517"/>
      <c r="D367" s="517"/>
      <c r="E367" s="517"/>
      <c r="F367" s="516"/>
      <c r="G367" s="516"/>
      <c r="H367" s="516"/>
      <c r="I367" s="516"/>
      <c r="J367" s="516"/>
      <c r="K367" s="516"/>
      <c r="L367" s="516"/>
      <c r="M367" s="516"/>
      <c r="N367" s="516"/>
      <c r="O367" s="516"/>
      <c r="P367" s="516"/>
      <c r="Q367" s="516"/>
      <c r="R367" s="516"/>
      <c r="S367" s="516"/>
      <c r="T367" s="516"/>
      <c r="U367" s="516"/>
      <c r="V367" s="516"/>
      <c r="W367" s="516"/>
      <c r="X367" s="516"/>
      <c r="Y367" s="516"/>
      <c r="Z367" s="516"/>
    </row>
    <row r="368" ht="14.25" customHeight="1">
      <c r="A368" s="516"/>
      <c r="B368" s="516"/>
      <c r="C368" s="517"/>
      <c r="D368" s="517"/>
      <c r="E368" s="517"/>
      <c r="F368" s="516"/>
      <c r="G368" s="516"/>
      <c r="H368" s="516"/>
      <c r="I368" s="516"/>
      <c r="J368" s="516"/>
      <c r="K368" s="516"/>
      <c r="L368" s="516"/>
      <c r="M368" s="516"/>
      <c r="N368" s="516"/>
      <c r="O368" s="516"/>
      <c r="P368" s="516"/>
      <c r="Q368" s="516"/>
      <c r="R368" s="516"/>
      <c r="S368" s="516"/>
      <c r="T368" s="516"/>
      <c r="U368" s="516"/>
      <c r="V368" s="516"/>
      <c r="W368" s="516"/>
      <c r="X368" s="516"/>
      <c r="Y368" s="516"/>
      <c r="Z368" s="516"/>
    </row>
    <row r="369" ht="14.25" customHeight="1">
      <c r="A369" s="516"/>
      <c r="B369" s="516"/>
      <c r="C369" s="517"/>
      <c r="D369" s="517"/>
      <c r="E369" s="517"/>
      <c r="F369" s="516"/>
      <c r="G369" s="516"/>
      <c r="H369" s="516"/>
      <c r="I369" s="516"/>
      <c r="J369" s="516"/>
      <c r="K369" s="516"/>
      <c r="L369" s="516"/>
      <c r="M369" s="516"/>
      <c r="N369" s="516"/>
      <c r="O369" s="516"/>
      <c r="P369" s="516"/>
      <c r="Q369" s="516"/>
      <c r="R369" s="516"/>
      <c r="S369" s="516"/>
      <c r="T369" s="516"/>
      <c r="U369" s="516"/>
      <c r="V369" s="516"/>
      <c r="W369" s="516"/>
      <c r="X369" s="516"/>
      <c r="Y369" s="516"/>
      <c r="Z369" s="516"/>
    </row>
    <row r="370" ht="14.25" customHeight="1">
      <c r="A370" s="516"/>
      <c r="B370" s="516"/>
      <c r="C370" s="517"/>
      <c r="D370" s="517"/>
      <c r="E370" s="517"/>
      <c r="F370" s="516"/>
      <c r="G370" s="516"/>
      <c r="H370" s="516"/>
      <c r="I370" s="516"/>
      <c r="J370" s="516"/>
      <c r="K370" s="516"/>
      <c r="L370" s="516"/>
      <c r="M370" s="516"/>
      <c r="N370" s="516"/>
      <c r="O370" s="516"/>
      <c r="P370" s="516"/>
      <c r="Q370" s="516"/>
      <c r="R370" s="516"/>
      <c r="S370" s="516"/>
      <c r="T370" s="516"/>
      <c r="U370" s="516"/>
      <c r="V370" s="516"/>
      <c r="W370" s="516"/>
      <c r="X370" s="516"/>
      <c r="Y370" s="516"/>
      <c r="Z370" s="516"/>
    </row>
    <row r="371" ht="14.25" customHeight="1">
      <c r="A371" s="516"/>
      <c r="B371" s="516"/>
      <c r="C371" s="517"/>
      <c r="D371" s="517"/>
      <c r="E371" s="517"/>
      <c r="F371" s="516"/>
      <c r="G371" s="516"/>
      <c r="H371" s="516"/>
      <c r="I371" s="516"/>
      <c r="J371" s="516"/>
      <c r="K371" s="516"/>
      <c r="L371" s="516"/>
      <c r="M371" s="516"/>
      <c r="N371" s="516"/>
      <c r="O371" s="516"/>
      <c r="P371" s="516"/>
      <c r="Q371" s="516"/>
      <c r="R371" s="516"/>
      <c r="S371" s="516"/>
      <c r="T371" s="516"/>
      <c r="U371" s="516"/>
      <c r="V371" s="516"/>
      <c r="W371" s="516"/>
      <c r="X371" s="516"/>
      <c r="Y371" s="516"/>
      <c r="Z371" s="516"/>
    </row>
    <row r="372" ht="14.25" customHeight="1">
      <c r="A372" s="516"/>
      <c r="B372" s="516"/>
      <c r="C372" s="517"/>
      <c r="D372" s="517"/>
      <c r="E372" s="517"/>
      <c r="F372" s="516"/>
      <c r="G372" s="516"/>
      <c r="H372" s="516"/>
      <c r="I372" s="516"/>
      <c r="J372" s="516"/>
      <c r="K372" s="516"/>
      <c r="L372" s="516"/>
      <c r="M372" s="516"/>
      <c r="N372" s="516"/>
      <c r="O372" s="516"/>
      <c r="P372" s="516"/>
      <c r="Q372" s="516"/>
      <c r="R372" s="516"/>
      <c r="S372" s="516"/>
      <c r="T372" s="516"/>
      <c r="U372" s="516"/>
      <c r="V372" s="516"/>
      <c r="W372" s="516"/>
      <c r="X372" s="516"/>
      <c r="Y372" s="516"/>
      <c r="Z372" s="516"/>
    </row>
    <row r="373" ht="14.25" customHeight="1">
      <c r="A373" s="516"/>
      <c r="B373" s="516"/>
      <c r="C373" s="517"/>
      <c r="D373" s="517"/>
      <c r="E373" s="517"/>
      <c r="F373" s="516"/>
      <c r="G373" s="516"/>
      <c r="H373" s="516"/>
      <c r="I373" s="516"/>
      <c r="J373" s="516"/>
      <c r="K373" s="516"/>
      <c r="L373" s="516"/>
      <c r="M373" s="516"/>
      <c r="N373" s="516"/>
      <c r="O373" s="516"/>
      <c r="P373" s="516"/>
      <c r="Q373" s="516"/>
      <c r="R373" s="516"/>
      <c r="S373" s="516"/>
      <c r="T373" s="516"/>
      <c r="U373" s="516"/>
      <c r="V373" s="516"/>
      <c r="W373" s="516"/>
      <c r="X373" s="516"/>
      <c r="Y373" s="516"/>
      <c r="Z373" s="516"/>
    </row>
    <row r="374" ht="14.25" customHeight="1">
      <c r="A374" s="516"/>
      <c r="B374" s="516"/>
      <c r="C374" s="517"/>
      <c r="D374" s="517"/>
      <c r="E374" s="517"/>
      <c r="F374" s="516"/>
      <c r="G374" s="516"/>
      <c r="H374" s="516"/>
      <c r="I374" s="516"/>
      <c r="J374" s="516"/>
      <c r="K374" s="516"/>
      <c r="L374" s="516"/>
      <c r="M374" s="516"/>
      <c r="N374" s="516"/>
      <c r="O374" s="516"/>
      <c r="P374" s="516"/>
      <c r="Q374" s="516"/>
      <c r="R374" s="516"/>
      <c r="S374" s="516"/>
      <c r="T374" s="516"/>
      <c r="U374" s="516"/>
      <c r="V374" s="516"/>
      <c r="W374" s="516"/>
      <c r="X374" s="516"/>
      <c r="Y374" s="516"/>
      <c r="Z374" s="516"/>
    </row>
    <row r="375" ht="14.25" customHeight="1">
      <c r="A375" s="516"/>
      <c r="B375" s="516"/>
      <c r="C375" s="517"/>
      <c r="D375" s="517"/>
      <c r="E375" s="517"/>
      <c r="F375" s="516"/>
      <c r="G375" s="516"/>
      <c r="H375" s="516"/>
      <c r="I375" s="516"/>
      <c r="J375" s="516"/>
      <c r="K375" s="516"/>
      <c r="L375" s="516"/>
      <c r="M375" s="516"/>
      <c r="N375" s="516"/>
      <c r="O375" s="516"/>
      <c r="P375" s="516"/>
      <c r="Q375" s="516"/>
      <c r="R375" s="516"/>
      <c r="S375" s="516"/>
      <c r="T375" s="516"/>
      <c r="U375" s="516"/>
      <c r="V375" s="516"/>
      <c r="W375" s="516"/>
      <c r="X375" s="516"/>
      <c r="Y375" s="516"/>
      <c r="Z375" s="516"/>
    </row>
    <row r="376" ht="14.25" customHeight="1">
      <c r="A376" s="516"/>
      <c r="B376" s="516"/>
      <c r="C376" s="517"/>
      <c r="D376" s="517"/>
      <c r="E376" s="517"/>
      <c r="F376" s="516"/>
      <c r="G376" s="516"/>
      <c r="H376" s="516"/>
      <c r="I376" s="516"/>
      <c r="J376" s="516"/>
      <c r="K376" s="516"/>
      <c r="L376" s="516"/>
      <c r="M376" s="516"/>
      <c r="N376" s="516"/>
      <c r="O376" s="516"/>
      <c r="P376" s="516"/>
      <c r="Q376" s="516"/>
      <c r="R376" s="516"/>
      <c r="S376" s="516"/>
      <c r="T376" s="516"/>
      <c r="U376" s="516"/>
      <c r="V376" s="516"/>
      <c r="W376" s="516"/>
      <c r="X376" s="516"/>
      <c r="Y376" s="516"/>
      <c r="Z376" s="516"/>
    </row>
    <row r="377" ht="14.25" customHeight="1">
      <c r="A377" s="516"/>
      <c r="B377" s="516"/>
      <c r="C377" s="517"/>
      <c r="D377" s="517"/>
      <c r="E377" s="517"/>
      <c r="F377" s="516"/>
      <c r="G377" s="516"/>
      <c r="H377" s="516"/>
      <c r="I377" s="516"/>
      <c r="J377" s="516"/>
      <c r="K377" s="516"/>
      <c r="L377" s="516"/>
      <c r="M377" s="516"/>
      <c r="N377" s="516"/>
      <c r="O377" s="516"/>
      <c r="P377" s="516"/>
      <c r="Q377" s="516"/>
      <c r="R377" s="516"/>
      <c r="S377" s="516"/>
      <c r="T377" s="516"/>
      <c r="U377" s="516"/>
      <c r="V377" s="516"/>
      <c r="W377" s="516"/>
      <c r="X377" s="516"/>
      <c r="Y377" s="516"/>
      <c r="Z377" s="516"/>
    </row>
    <row r="378" ht="14.25" customHeight="1">
      <c r="A378" s="516"/>
      <c r="B378" s="516"/>
      <c r="C378" s="517"/>
      <c r="D378" s="517"/>
      <c r="E378" s="517"/>
      <c r="F378" s="516"/>
      <c r="G378" s="516"/>
      <c r="H378" s="516"/>
      <c r="I378" s="516"/>
      <c r="J378" s="516"/>
      <c r="K378" s="516"/>
      <c r="L378" s="516"/>
      <c r="M378" s="516"/>
      <c r="N378" s="516"/>
      <c r="O378" s="516"/>
      <c r="P378" s="516"/>
      <c r="Q378" s="516"/>
      <c r="R378" s="516"/>
      <c r="S378" s="516"/>
      <c r="T378" s="516"/>
      <c r="U378" s="516"/>
      <c r="V378" s="516"/>
      <c r="W378" s="516"/>
      <c r="X378" s="516"/>
      <c r="Y378" s="516"/>
      <c r="Z378" s="516"/>
    </row>
    <row r="379" ht="14.25" customHeight="1">
      <c r="A379" s="516"/>
      <c r="B379" s="516"/>
      <c r="C379" s="517"/>
      <c r="D379" s="517"/>
      <c r="E379" s="517"/>
      <c r="F379" s="516"/>
      <c r="G379" s="516"/>
      <c r="H379" s="516"/>
      <c r="I379" s="516"/>
      <c r="J379" s="516"/>
      <c r="K379" s="516"/>
      <c r="L379" s="516"/>
      <c r="M379" s="516"/>
      <c r="N379" s="516"/>
      <c r="O379" s="516"/>
      <c r="P379" s="516"/>
      <c r="Q379" s="516"/>
      <c r="R379" s="516"/>
      <c r="S379" s="516"/>
      <c r="T379" s="516"/>
      <c r="U379" s="516"/>
      <c r="V379" s="516"/>
      <c r="W379" s="516"/>
      <c r="X379" s="516"/>
      <c r="Y379" s="516"/>
      <c r="Z379" s="516"/>
    </row>
    <row r="380" ht="14.25" customHeight="1">
      <c r="A380" s="516"/>
      <c r="B380" s="516"/>
      <c r="C380" s="517"/>
      <c r="D380" s="517"/>
      <c r="E380" s="517"/>
      <c r="F380" s="516"/>
      <c r="G380" s="516"/>
      <c r="H380" s="516"/>
      <c r="I380" s="516"/>
      <c r="J380" s="516"/>
      <c r="K380" s="516"/>
      <c r="L380" s="516"/>
      <c r="M380" s="516"/>
      <c r="N380" s="516"/>
      <c r="O380" s="516"/>
      <c r="P380" s="516"/>
      <c r="Q380" s="516"/>
      <c r="R380" s="516"/>
      <c r="S380" s="516"/>
      <c r="T380" s="516"/>
      <c r="U380" s="516"/>
      <c r="V380" s="516"/>
      <c r="W380" s="516"/>
      <c r="X380" s="516"/>
      <c r="Y380" s="516"/>
      <c r="Z380" s="516"/>
    </row>
    <row r="381" ht="14.25" customHeight="1">
      <c r="A381" s="516"/>
      <c r="B381" s="516"/>
      <c r="C381" s="517"/>
      <c r="D381" s="517"/>
      <c r="E381" s="517"/>
      <c r="F381" s="516"/>
      <c r="G381" s="516"/>
      <c r="H381" s="516"/>
      <c r="I381" s="516"/>
      <c r="J381" s="516"/>
      <c r="K381" s="516"/>
      <c r="L381" s="516"/>
      <c r="M381" s="516"/>
      <c r="N381" s="516"/>
      <c r="O381" s="516"/>
      <c r="P381" s="516"/>
      <c r="Q381" s="516"/>
      <c r="R381" s="516"/>
      <c r="S381" s="516"/>
      <c r="T381" s="516"/>
      <c r="U381" s="516"/>
      <c r="V381" s="516"/>
      <c r="W381" s="516"/>
      <c r="X381" s="516"/>
      <c r="Y381" s="516"/>
      <c r="Z381" s="516"/>
    </row>
    <row r="382" ht="14.25" customHeight="1">
      <c r="A382" s="516"/>
      <c r="B382" s="516"/>
      <c r="C382" s="517"/>
      <c r="D382" s="517"/>
      <c r="E382" s="517"/>
      <c r="F382" s="516"/>
      <c r="G382" s="516"/>
      <c r="H382" s="516"/>
      <c r="I382" s="516"/>
      <c r="J382" s="516"/>
      <c r="K382" s="516"/>
      <c r="L382" s="516"/>
      <c r="M382" s="516"/>
      <c r="N382" s="516"/>
      <c r="O382" s="516"/>
      <c r="P382" s="516"/>
      <c r="Q382" s="516"/>
      <c r="R382" s="516"/>
      <c r="S382" s="516"/>
      <c r="T382" s="516"/>
      <c r="U382" s="516"/>
      <c r="V382" s="516"/>
      <c r="W382" s="516"/>
      <c r="X382" s="516"/>
      <c r="Y382" s="516"/>
      <c r="Z382" s="516"/>
    </row>
    <row r="383" ht="14.25" customHeight="1">
      <c r="A383" s="516"/>
      <c r="B383" s="516"/>
      <c r="C383" s="517"/>
      <c r="D383" s="517"/>
      <c r="E383" s="517"/>
      <c r="F383" s="516"/>
      <c r="G383" s="516"/>
      <c r="H383" s="516"/>
      <c r="I383" s="516"/>
      <c r="J383" s="516"/>
      <c r="K383" s="516"/>
      <c r="L383" s="516"/>
      <c r="M383" s="516"/>
      <c r="N383" s="516"/>
      <c r="O383" s="516"/>
      <c r="P383" s="516"/>
      <c r="Q383" s="516"/>
      <c r="R383" s="516"/>
      <c r="S383" s="516"/>
      <c r="T383" s="516"/>
      <c r="U383" s="516"/>
      <c r="V383" s="516"/>
      <c r="W383" s="516"/>
      <c r="X383" s="516"/>
      <c r="Y383" s="516"/>
      <c r="Z383" s="516"/>
    </row>
    <row r="384" ht="14.25" customHeight="1">
      <c r="A384" s="516"/>
      <c r="B384" s="516"/>
      <c r="C384" s="517"/>
      <c r="D384" s="517"/>
      <c r="E384" s="517"/>
      <c r="F384" s="516"/>
      <c r="G384" s="516"/>
      <c r="H384" s="516"/>
      <c r="I384" s="516"/>
      <c r="J384" s="516"/>
      <c r="K384" s="516"/>
      <c r="L384" s="516"/>
      <c r="M384" s="516"/>
      <c r="N384" s="516"/>
      <c r="O384" s="516"/>
      <c r="P384" s="516"/>
      <c r="Q384" s="516"/>
      <c r="R384" s="516"/>
      <c r="S384" s="516"/>
      <c r="T384" s="516"/>
      <c r="U384" s="516"/>
      <c r="V384" s="516"/>
      <c r="W384" s="516"/>
      <c r="X384" s="516"/>
      <c r="Y384" s="516"/>
      <c r="Z384" s="516"/>
    </row>
    <row r="385" ht="14.25" customHeight="1">
      <c r="A385" s="516"/>
      <c r="B385" s="516"/>
      <c r="C385" s="517"/>
      <c r="D385" s="517"/>
      <c r="E385" s="517"/>
      <c r="F385" s="516"/>
      <c r="G385" s="516"/>
      <c r="H385" s="516"/>
      <c r="I385" s="516"/>
      <c r="J385" s="516"/>
      <c r="K385" s="516"/>
      <c r="L385" s="516"/>
      <c r="M385" s="516"/>
      <c r="N385" s="516"/>
      <c r="O385" s="516"/>
      <c r="P385" s="516"/>
      <c r="Q385" s="516"/>
      <c r="R385" s="516"/>
      <c r="S385" s="516"/>
      <c r="T385" s="516"/>
      <c r="U385" s="516"/>
      <c r="V385" s="516"/>
      <c r="W385" s="516"/>
      <c r="X385" s="516"/>
      <c r="Y385" s="516"/>
      <c r="Z385" s="516"/>
    </row>
    <row r="386" ht="14.25" customHeight="1">
      <c r="A386" s="516"/>
      <c r="B386" s="516"/>
      <c r="C386" s="517"/>
      <c r="D386" s="517"/>
      <c r="E386" s="517"/>
      <c r="F386" s="516"/>
      <c r="G386" s="516"/>
      <c r="H386" s="516"/>
      <c r="I386" s="516"/>
      <c r="J386" s="516"/>
      <c r="K386" s="516"/>
      <c r="L386" s="516"/>
      <c r="M386" s="516"/>
      <c r="N386" s="516"/>
      <c r="O386" s="516"/>
      <c r="P386" s="516"/>
      <c r="Q386" s="516"/>
      <c r="R386" s="516"/>
      <c r="S386" s="516"/>
      <c r="T386" s="516"/>
      <c r="U386" s="516"/>
      <c r="V386" s="516"/>
      <c r="W386" s="516"/>
      <c r="X386" s="516"/>
      <c r="Y386" s="516"/>
      <c r="Z386" s="516"/>
    </row>
    <row r="387" ht="14.25" customHeight="1">
      <c r="A387" s="516"/>
      <c r="B387" s="516"/>
      <c r="C387" s="517"/>
      <c r="D387" s="517"/>
      <c r="E387" s="517"/>
      <c r="F387" s="516"/>
      <c r="G387" s="516"/>
      <c r="H387" s="516"/>
      <c r="I387" s="516"/>
      <c r="J387" s="516"/>
      <c r="K387" s="516"/>
      <c r="L387" s="516"/>
      <c r="M387" s="516"/>
      <c r="N387" s="516"/>
      <c r="O387" s="516"/>
      <c r="P387" s="516"/>
      <c r="Q387" s="516"/>
      <c r="R387" s="516"/>
      <c r="S387" s="516"/>
      <c r="T387" s="516"/>
      <c r="U387" s="516"/>
      <c r="V387" s="516"/>
      <c r="W387" s="516"/>
      <c r="X387" s="516"/>
      <c r="Y387" s="516"/>
      <c r="Z387" s="516"/>
    </row>
    <row r="388" ht="14.25" customHeight="1">
      <c r="A388" s="516"/>
      <c r="B388" s="516"/>
      <c r="C388" s="517"/>
      <c r="D388" s="517"/>
      <c r="E388" s="517"/>
      <c r="F388" s="516"/>
      <c r="G388" s="516"/>
      <c r="H388" s="516"/>
      <c r="I388" s="516"/>
      <c r="J388" s="516"/>
      <c r="K388" s="516"/>
      <c r="L388" s="516"/>
      <c r="M388" s="516"/>
      <c r="N388" s="516"/>
      <c r="O388" s="516"/>
      <c r="P388" s="516"/>
      <c r="Q388" s="516"/>
      <c r="R388" s="516"/>
      <c r="S388" s="516"/>
      <c r="T388" s="516"/>
      <c r="U388" s="516"/>
      <c r="V388" s="516"/>
      <c r="W388" s="516"/>
      <c r="X388" s="516"/>
      <c r="Y388" s="516"/>
      <c r="Z388" s="516"/>
    </row>
    <row r="389" ht="14.25" customHeight="1">
      <c r="A389" s="516"/>
      <c r="B389" s="516"/>
      <c r="C389" s="517"/>
      <c r="D389" s="517"/>
      <c r="E389" s="517"/>
      <c r="F389" s="516"/>
      <c r="G389" s="516"/>
      <c r="H389" s="516"/>
      <c r="I389" s="516"/>
      <c r="J389" s="516"/>
      <c r="K389" s="516"/>
      <c r="L389" s="516"/>
      <c r="M389" s="516"/>
      <c r="N389" s="516"/>
      <c r="O389" s="516"/>
      <c r="P389" s="516"/>
      <c r="Q389" s="516"/>
      <c r="R389" s="516"/>
      <c r="S389" s="516"/>
      <c r="T389" s="516"/>
      <c r="U389" s="516"/>
      <c r="V389" s="516"/>
      <c r="W389" s="516"/>
      <c r="X389" s="516"/>
      <c r="Y389" s="516"/>
      <c r="Z389" s="516"/>
    </row>
    <row r="390" ht="14.25" customHeight="1">
      <c r="A390" s="516"/>
      <c r="B390" s="516"/>
      <c r="C390" s="517"/>
      <c r="D390" s="517"/>
      <c r="E390" s="517"/>
      <c r="F390" s="516"/>
      <c r="G390" s="516"/>
      <c r="H390" s="516"/>
      <c r="I390" s="516"/>
      <c r="J390" s="516"/>
      <c r="K390" s="516"/>
      <c r="L390" s="516"/>
      <c r="M390" s="516"/>
      <c r="N390" s="516"/>
      <c r="O390" s="516"/>
      <c r="P390" s="516"/>
      <c r="Q390" s="516"/>
      <c r="R390" s="516"/>
      <c r="S390" s="516"/>
      <c r="T390" s="516"/>
      <c r="U390" s="516"/>
      <c r="V390" s="516"/>
      <c r="W390" s="516"/>
      <c r="X390" s="516"/>
      <c r="Y390" s="516"/>
      <c r="Z390" s="516"/>
    </row>
    <row r="391" ht="14.25" customHeight="1">
      <c r="A391" s="516"/>
      <c r="B391" s="516"/>
      <c r="C391" s="517"/>
      <c r="D391" s="517"/>
      <c r="E391" s="517"/>
      <c r="F391" s="516"/>
      <c r="G391" s="516"/>
      <c r="H391" s="516"/>
      <c r="I391" s="516"/>
      <c r="J391" s="516"/>
      <c r="K391" s="516"/>
      <c r="L391" s="516"/>
      <c r="M391" s="516"/>
      <c r="N391" s="516"/>
      <c r="O391" s="516"/>
      <c r="P391" s="516"/>
      <c r="Q391" s="516"/>
      <c r="R391" s="516"/>
      <c r="S391" s="516"/>
      <c r="T391" s="516"/>
      <c r="U391" s="516"/>
      <c r="V391" s="516"/>
      <c r="W391" s="516"/>
      <c r="X391" s="516"/>
      <c r="Y391" s="516"/>
      <c r="Z391" s="516"/>
    </row>
    <row r="392" ht="14.25" customHeight="1">
      <c r="A392" s="516"/>
      <c r="B392" s="516"/>
      <c r="C392" s="517"/>
      <c r="D392" s="517"/>
      <c r="E392" s="517"/>
      <c r="F392" s="516"/>
      <c r="G392" s="516"/>
      <c r="H392" s="516"/>
      <c r="I392" s="516"/>
      <c r="J392" s="516"/>
      <c r="K392" s="516"/>
      <c r="L392" s="516"/>
      <c r="M392" s="516"/>
      <c r="N392" s="516"/>
      <c r="O392" s="516"/>
      <c r="P392" s="516"/>
      <c r="Q392" s="516"/>
      <c r="R392" s="516"/>
      <c r="S392" s="516"/>
      <c r="T392" s="516"/>
      <c r="U392" s="516"/>
      <c r="V392" s="516"/>
      <c r="W392" s="516"/>
      <c r="X392" s="516"/>
      <c r="Y392" s="516"/>
      <c r="Z392" s="516"/>
    </row>
    <row r="393" ht="14.25" customHeight="1">
      <c r="A393" s="516"/>
      <c r="B393" s="516"/>
      <c r="C393" s="517"/>
      <c r="D393" s="517"/>
      <c r="E393" s="517"/>
      <c r="F393" s="516"/>
      <c r="G393" s="516"/>
      <c r="H393" s="516"/>
      <c r="I393" s="516"/>
      <c r="J393" s="516"/>
      <c r="K393" s="516"/>
      <c r="L393" s="516"/>
      <c r="M393" s="516"/>
      <c r="N393" s="516"/>
      <c r="O393" s="516"/>
      <c r="P393" s="516"/>
      <c r="Q393" s="516"/>
      <c r="R393" s="516"/>
      <c r="S393" s="516"/>
      <c r="T393" s="516"/>
      <c r="U393" s="516"/>
      <c r="V393" s="516"/>
      <c r="W393" s="516"/>
      <c r="X393" s="516"/>
      <c r="Y393" s="516"/>
      <c r="Z393" s="516"/>
    </row>
    <row r="394" ht="14.25" customHeight="1">
      <c r="A394" s="516"/>
      <c r="B394" s="516"/>
      <c r="C394" s="517"/>
      <c r="D394" s="517"/>
      <c r="E394" s="517"/>
      <c r="F394" s="516"/>
      <c r="G394" s="516"/>
      <c r="H394" s="516"/>
      <c r="I394" s="516"/>
      <c r="J394" s="516"/>
      <c r="K394" s="516"/>
      <c r="L394" s="516"/>
      <c r="M394" s="516"/>
      <c r="N394" s="516"/>
      <c r="O394" s="516"/>
      <c r="P394" s="516"/>
      <c r="Q394" s="516"/>
      <c r="R394" s="516"/>
      <c r="S394" s="516"/>
      <c r="T394" s="516"/>
      <c r="U394" s="516"/>
      <c r="V394" s="516"/>
      <c r="W394" s="516"/>
      <c r="X394" s="516"/>
      <c r="Y394" s="516"/>
      <c r="Z394" s="516"/>
    </row>
    <row r="395" ht="14.25" customHeight="1">
      <c r="A395" s="516"/>
      <c r="B395" s="516"/>
      <c r="C395" s="517"/>
      <c r="D395" s="517"/>
      <c r="E395" s="517"/>
      <c r="F395" s="516"/>
      <c r="G395" s="516"/>
      <c r="H395" s="516"/>
      <c r="I395" s="516"/>
      <c r="J395" s="516"/>
      <c r="K395" s="516"/>
      <c r="L395" s="516"/>
      <c r="M395" s="516"/>
      <c r="N395" s="516"/>
      <c r="O395" s="516"/>
      <c r="P395" s="516"/>
      <c r="Q395" s="516"/>
      <c r="R395" s="516"/>
      <c r="S395" s="516"/>
      <c r="T395" s="516"/>
      <c r="U395" s="516"/>
      <c r="V395" s="516"/>
      <c r="W395" s="516"/>
      <c r="X395" s="516"/>
      <c r="Y395" s="516"/>
      <c r="Z395" s="516"/>
    </row>
    <row r="396" ht="14.25" customHeight="1">
      <c r="A396" s="516"/>
      <c r="B396" s="516"/>
      <c r="C396" s="517"/>
      <c r="D396" s="517"/>
      <c r="E396" s="517"/>
      <c r="F396" s="516"/>
      <c r="G396" s="516"/>
      <c r="H396" s="516"/>
      <c r="I396" s="516"/>
      <c r="J396" s="516"/>
      <c r="K396" s="516"/>
      <c r="L396" s="516"/>
      <c r="M396" s="516"/>
      <c r="N396" s="516"/>
      <c r="O396" s="516"/>
      <c r="P396" s="516"/>
      <c r="Q396" s="516"/>
      <c r="R396" s="516"/>
      <c r="S396" s="516"/>
      <c r="T396" s="516"/>
      <c r="U396" s="516"/>
      <c r="V396" s="516"/>
      <c r="W396" s="516"/>
      <c r="X396" s="516"/>
      <c r="Y396" s="516"/>
      <c r="Z396" s="516"/>
    </row>
    <row r="397" ht="14.25" customHeight="1">
      <c r="A397" s="516"/>
      <c r="B397" s="516"/>
      <c r="C397" s="517"/>
      <c r="D397" s="517"/>
      <c r="E397" s="517"/>
      <c r="F397" s="516"/>
      <c r="G397" s="516"/>
      <c r="H397" s="516"/>
      <c r="I397" s="516"/>
      <c r="J397" s="516"/>
      <c r="K397" s="516"/>
      <c r="L397" s="516"/>
      <c r="M397" s="516"/>
      <c r="N397" s="516"/>
      <c r="O397" s="516"/>
      <c r="P397" s="516"/>
      <c r="Q397" s="516"/>
      <c r="R397" s="516"/>
      <c r="S397" s="516"/>
      <c r="T397" s="516"/>
      <c r="U397" s="516"/>
      <c r="V397" s="516"/>
      <c r="W397" s="516"/>
      <c r="X397" s="516"/>
      <c r="Y397" s="516"/>
      <c r="Z397" s="516"/>
    </row>
    <row r="398" ht="14.25" customHeight="1">
      <c r="A398" s="516"/>
      <c r="B398" s="516"/>
      <c r="C398" s="517"/>
      <c r="D398" s="517"/>
      <c r="E398" s="517"/>
      <c r="F398" s="516"/>
      <c r="G398" s="516"/>
      <c r="H398" s="516"/>
      <c r="I398" s="516"/>
      <c r="J398" s="516"/>
      <c r="K398" s="516"/>
      <c r="L398" s="516"/>
      <c r="M398" s="516"/>
      <c r="N398" s="516"/>
      <c r="O398" s="516"/>
      <c r="P398" s="516"/>
      <c r="Q398" s="516"/>
      <c r="R398" s="516"/>
      <c r="S398" s="516"/>
      <c r="T398" s="516"/>
      <c r="U398" s="516"/>
      <c r="V398" s="516"/>
      <c r="W398" s="516"/>
      <c r="X398" s="516"/>
      <c r="Y398" s="516"/>
      <c r="Z398" s="516"/>
    </row>
    <row r="399" ht="14.25" customHeight="1">
      <c r="A399" s="516"/>
      <c r="B399" s="516"/>
      <c r="C399" s="517"/>
      <c r="D399" s="517"/>
      <c r="E399" s="517"/>
      <c r="F399" s="516"/>
      <c r="G399" s="516"/>
      <c r="H399" s="516"/>
      <c r="I399" s="516"/>
      <c r="J399" s="516"/>
      <c r="K399" s="516"/>
      <c r="L399" s="516"/>
      <c r="M399" s="516"/>
      <c r="N399" s="516"/>
      <c r="O399" s="516"/>
      <c r="P399" s="516"/>
      <c r="Q399" s="516"/>
      <c r="R399" s="516"/>
      <c r="S399" s="516"/>
      <c r="T399" s="516"/>
      <c r="U399" s="516"/>
      <c r="V399" s="516"/>
      <c r="W399" s="516"/>
      <c r="X399" s="516"/>
      <c r="Y399" s="516"/>
      <c r="Z399" s="516"/>
    </row>
    <row r="400" ht="14.25" customHeight="1">
      <c r="A400" s="516"/>
      <c r="B400" s="516"/>
      <c r="C400" s="517"/>
      <c r="D400" s="517"/>
      <c r="E400" s="517"/>
      <c r="F400" s="516"/>
      <c r="G400" s="516"/>
      <c r="H400" s="516"/>
      <c r="I400" s="516"/>
      <c r="J400" s="516"/>
      <c r="K400" s="516"/>
      <c r="L400" s="516"/>
      <c r="M400" s="516"/>
      <c r="N400" s="516"/>
      <c r="O400" s="516"/>
      <c r="P400" s="516"/>
      <c r="Q400" s="516"/>
      <c r="R400" s="516"/>
      <c r="S400" s="516"/>
      <c r="T400" s="516"/>
      <c r="U400" s="516"/>
      <c r="V400" s="516"/>
      <c r="W400" s="516"/>
      <c r="X400" s="516"/>
      <c r="Y400" s="516"/>
      <c r="Z400" s="516"/>
    </row>
    <row r="401" ht="14.25" customHeight="1">
      <c r="A401" s="516"/>
      <c r="B401" s="516"/>
      <c r="C401" s="517"/>
      <c r="D401" s="517"/>
      <c r="E401" s="517"/>
      <c r="F401" s="516"/>
      <c r="G401" s="516"/>
      <c r="H401" s="516"/>
      <c r="I401" s="516"/>
      <c r="J401" s="516"/>
      <c r="K401" s="516"/>
      <c r="L401" s="516"/>
      <c r="M401" s="516"/>
      <c r="N401" s="516"/>
      <c r="O401" s="516"/>
      <c r="P401" s="516"/>
      <c r="Q401" s="516"/>
      <c r="R401" s="516"/>
      <c r="S401" s="516"/>
      <c r="T401" s="516"/>
      <c r="U401" s="516"/>
      <c r="V401" s="516"/>
      <c r="W401" s="516"/>
      <c r="X401" s="516"/>
      <c r="Y401" s="516"/>
      <c r="Z401" s="516"/>
    </row>
    <row r="402" ht="14.25" customHeight="1">
      <c r="A402" s="516"/>
      <c r="B402" s="516"/>
      <c r="C402" s="517"/>
      <c r="D402" s="517"/>
      <c r="E402" s="517"/>
      <c r="F402" s="516"/>
      <c r="G402" s="516"/>
      <c r="H402" s="516"/>
      <c r="I402" s="516"/>
      <c r="J402" s="516"/>
      <c r="K402" s="516"/>
      <c r="L402" s="516"/>
      <c r="M402" s="516"/>
      <c r="N402" s="516"/>
      <c r="O402" s="516"/>
      <c r="P402" s="516"/>
      <c r="Q402" s="516"/>
      <c r="R402" s="516"/>
      <c r="S402" s="516"/>
      <c r="T402" s="516"/>
      <c r="U402" s="516"/>
      <c r="V402" s="516"/>
      <c r="W402" s="516"/>
      <c r="X402" s="516"/>
      <c r="Y402" s="516"/>
      <c r="Z402" s="516"/>
    </row>
    <row r="403" ht="14.25" customHeight="1">
      <c r="A403" s="516"/>
      <c r="B403" s="516"/>
      <c r="C403" s="517"/>
      <c r="D403" s="517"/>
      <c r="E403" s="517"/>
      <c r="F403" s="516"/>
      <c r="G403" s="516"/>
      <c r="H403" s="516"/>
      <c r="I403" s="516"/>
      <c r="J403" s="516"/>
      <c r="K403" s="516"/>
      <c r="L403" s="516"/>
      <c r="M403" s="516"/>
      <c r="N403" s="516"/>
      <c r="O403" s="516"/>
      <c r="P403" s="516"/>
      <c r="Q403" s="516"/>
      <c r="R403" s="516"/>
      <c r="S403" s="516"/>
      <c r="T403" s="516"/>
      <c r="U403" s="516"/>
      <c r="V403" s="516"/>
      <c r="W403" s="516"/>
      <c r="X403" s="516"/>
      <c r="Y403" s="516"/>
      <c r="Z403" s="516"/>
    </row>
    <row r="404" ht="14.25" customHeight="1">
      <c r="A404" s="516"/>
      <c r="B404" s="516"/>
      <c r="C404" s="517"/>
      <c r="D404" s="517"/>
      <c r="E404" s="517"/>
      <c r="F404" s="516"/>
      <c r="G404" s="516"/>
      <c r="H404" s="516"/>
      <c r="I404" s="516"/>
      <c r="J404" s="516"/>
      <c r="K404" s="516"/>
      <c r="L404" s="516"/>
      <c r="M404" s="516"/>
      <c r="N404" s="516"/>
      <c r="O404" s="516"/>
      <c r="P404" s="516"/>
      <c r="Q404" s="516"/>
      <c r="R404" s="516"/>
      <c r="S404" s="516"/>
      <c r="T404" s="516"/>
      <c r="U404" s="516"/>
      <c r="V404" s="516"/>
      <c r="W404" s="516"/>
      <c r="X404" s="516"/>
      <c r="Y404" s="516"/>
      <c r="Z404" s="516"/>
    </row>
    <row r="405" ht="14.25" customHeight="1">
      <c r="A405" s="516"/>
      <c r="B405" s="516"/>
      <c r="C405" s="517"/>
      <c r="D405" s="517"/>
      <c r="E405" s="517"/>
      <c r="F405" s="516"/>
      <c r="G405" s="516"/>
      <c r="H405" s="516"/>
      <c r="I405" s="516"/>
      <c r="J405" s="516"/>
      <c r="K405" s="516"/>
      <c r="L405" s="516"/>
      <c r="M405" s="516"/>
      <c r="N405" s="516"/>
      <c r="O405" s="516"/>
      <c r="P405" s="516"/>
      <c r="Q405" s="516"/>
      <c r="R405" s="516"/>
      <c r="S405" s="516"/>
      <c r="T405" s="516"/>
      <c r="U405" s="516"/>
      <c r="V405" s="516"/>
      <c r="W405" s="516"/>
      <c r="X405" s="516"/>
      <c r="Y405" s="516"/>
      <c r="Z405" s="516"/>
    </row>
    <row r="406" ht="14.25" customHeight="1">
      <c r="A406" s="516"/>
      <c r="B406" s="516"/>
      <c r="C406" s="517"/>
      <c r="D406" s="517"/>
      <c r="E406" s="517"/>
      <c r="F406" s="516"/>
      <c r="G406" s="516"/>
      <c r="H406" s="516"/>
      <c r="I406" s="516"/>
      <c r="J406" s="516"/>
      <c r="K406" s="516"/>
      <c r="L406" s="516"/>
      <c r="M406" s="516"/>
      <c r="N406" s="516"/>
      <c r="O406" s="516"/>
      <c r="P406" s="516"/>
      <c r="Q406" s="516"/>
      <c r="R406" s="516"/>
      <c r="S406" s="516"/>
      <c r="T406" s="516"/>
      <c r="U406" s="516"/>
      <c r="V406" s="516"/>
      <c r="W406" s="516"/>
      <c r="X406" s="516"/>
      <c r="Y406" s="516"/>
      <c r="Z406" s="516"/>
    </row>
    <row r="407" ht="14.25" customHeight="1">
      <c r="A407" s="516"/>
      <c r="B407" s="516"/>
      <c r="C407" s="517"/>
      <c r="D407" s="517"/>
      <c r="E407" s="517"/>
      <c r="F407" s="516"/>
      <c r="G407" s="516"/>
      <c r="H407" s="516"/>
      <c r="I407" s="516"/>
      <c r="J407" s="516"/>
      <c r="K407" s="516"/>
      <c r="L407" s="516"/>
      <c r="M407" s="516"/>
      <c r="N407" s="516"/>
      <c r="O407" s="516"/>
      <c r="P407" s="516"/>
      <c r="Q407" s="516"/>
      <c r="R407" s="516"/>
      <c r="S407" s="516"/>
      <c r="T407" s="516"/>
      <c r="U407" s="516"/>
      <c r="V407" s="516"/>
      <c r="W407" s="516"/>
      <c r="X407" s="516"/>
      <c r="Y407" s="516"/>
      <c r="Z407" s="516"/>
    </row>
    <row r="408" ht="14.25" customHeight="1">
      <c r="A408" s="516"/>
      <c r="B408" s="516"/>
      <c r="C408" s="517"/>
      <c r="D408" s="517"/>
      <c r="E408" s="517"/>
      <c r="F408" s="516"/>
      <c r="G408" s="516"/>
      <c r="H408" s="516"/>
      <c r="I408" s="516"/>
      <c r="J408" s="516"/>
      <c r="K408" s="516"/>
      <c r="L408" s="516"/>
      <c r="M408" s="516"/>
      <c r="N408" s="516"/>
      <c r="O408" s="516"/>
      <c r="P408" s="516"/>
      <c r="Q408" s="516"/>
      <c r="R408" s="516"/>
      <c r="S408" s="516"/>
      <c r="T408" s="516"/>
      <c r="U408" s="516"/>
      <c r="V408" s="516"/>
      <c r="W408" s="516"/>
      <c r="X408" s="516"/>
      <c r="Y408" s="516"/>
      <c r="Z408" s="516"/>
    </row>
    <row r="409" ht="14.25" customHeight="1">
      <c r="A409" s="516"/>
      <c r="B409" s="516"/>
      <c r="C409" s="517"/>
      <c r="D409" s="517"/>
      <c r="E409" s="517"/>
      <c r="F409" s="516"/>
      <c r="G409" s="516"/>
      <c r="H409" s="516"/>
      <c r="I409" s="516"/>
      <c r="J409" s="516"/>
      <c r="K409" s="516"/>
      <c r="L409" s="516"/>
      <c r="M409" s="516"/>
      <c r="N409" s="516"/>
      <c r="O409" s="516"/>
      <c r="P409" s="516"/>
      <c r="Q409" s="516"/>
      <c r="R409" s="516"/>
      <c r="S409" s="516"/>
      <c r="T409" s="516"/>
      <c r="U409" s="516"/>
      <c r="V409" s="516"/>
      <c r="W409" s="516"/>
      <c r="X409" s="516"/>
      <c r="Y409" s="516"/>
      <c r="Z409" s="516"/>
    </row>
    <row r="410" ht="14.25" customHeight="1">
      <c r="A410" s="516"/>
      <c r="B410" s="516"/>
      <c r="C410" s="517"/>
      <c r="D410" s="517"/>
      <c r="E410" s="517"/>
      <c r="F410" s="516"/>
      <c r="G410" s="516"/>
      <c r="H410" s="516"/>
      <c r="I410" s="516"/>
      <c r="J410" s="516"/>
      <c r="K410" s="516"/>
      <c r="L410" s="516"/>
      <c r="M410" s="516"/>
      <c r="N410" s="516"/>
      <c r="O410" s="516"/>
      <c r="P410" s="516"/>
      <c r="Q410" s="516"/>
      <c r="R410" s="516"/>
      <c r="S410" s="516"/>
      <c r="T410" s="516"/>
      <c r="U410" s="516"/>
      <c r="V410" s="516"/>
      <c r="W410" s="516"/>
      <c r="X410" s="516"/>
      <c r="Y410" s="516"/>
      <c r="Z410" s="516"/>
    </row>
    <row r="411" ht="14.25" customHeight="1">
      <c r="A411" s="516"/>
      <c r="B411" s="516"/>
      <c r="C411" s="517"/>
      <c r="D411" s="517"/>
      <c r="E411" s="517"/>
      <c r="F411" s="516"/>
      <c r="G411" s="516"/>
      <c r="H411" s="516"/>
      <c r="I411" s="516"/>
      <c r="J411" s="516"/>
      <c r="K411" s="516"/>
      <c r="L411" s="516"/>
      <c r="M411" s="516"/>
      <c r="N411" s="516"/>
      <c r="O411" s="516"/>
      <c r="P411" s="516"/>
      <c r="Q411" s="516"/>
      <c r="R411" s="516"/>
      <c r="S411" s="516"/>
      <c r="T411" s="516"/>
      <c r="U411" s="516"/>
      <c r="V411" s="516"/>
      <c r="W411" s="516"/>
      <c r="X411" s="516"/>
      <c r="Y411" s="516"/>
      <c r="Z411" s="516"/>
    </row>
    <row r="412" ht="14.25" customHeight="1">
      <c r="A412" s="516"/>
      <c r="B412" s="516"/>
      <c r="C412" s="517"/>
      <c r="D412" s="517"/>
      <c r="E412" s="517"/>
      <c r="F412" s="516"/>
      <c r="G412" s="516"/>
      <c r="H412" s="516"/>
      <c r="I412" s="516"/>
      <c r="J412" s="516"/>
      <c r="K412" s="516"/>
      <c r="L412" s="516"/>
      <c r="M412" s="516"/>
      <c r="N412" s="516"/>
      <c r="O412" s="516"/>
      <c r="P412" s="516"/>
      <c r="Q412" s="516"/>
      <c r="R412" s="516"/>
      <c r="S412" s="516"/>
      <c r="T412" s="516"/>
      <c r="U412" s="516"/>
      <c r="V412" s="516"/>
      <c r="W412" s="516"/>
      <c r="X412" s="516"/>
      <c r="Y412" s="516"/>
      <c r="Z412" s="516"/>
    </row>
    <row r="413" ht="14.25" customHeight="1">
      <c r="A413" s="516"/>
      <c r="B413" s="516"/>
      <c r="C413" s="517"/>
      <c r="D413" s="517"/>
      <c r="E413" s="517"/>
      <c r="F413" s="516"/>
      <c r="G413" s="516"/>
      <c r="H413" s="516"/>
      <c r="I413" s="516"/>
      <c r="J413" s="516"/>
      <c r="K413" s="516"/>
      <c r="L413" s="516"/>
      <c r="M413" s="516"/>
      <c r="N413" s="516"/>
      <c r="O413" s="516"/>
      <c r="P413" s="516"/>
      <c r="Q413" s="516"/>
      <c r="R413" s="516"/>
      <c r="S413" s="516"/>
      <c r="T413" s="516"/>
      <c r="U413" s="516"/>
      <c r="V413" s="516"/>
      <c r="W413" s="516"/>
      <c r="X413" s="516"/>
      <c r="Y413" s="516"/>
      <c r="Z413" s="516"/>
    </row>
    <row r="414" ht="14.25" customHeight="1">
      <c r="A414" s="516"/>
      <c r="B414" s="516"/>
      <c r="C414" s="517"/>
      <c r="D414" s="517"/>
      <c r="E414" s="517"/>
      <c r="F414" s="516"/>
      <c r="G414" s="516"/>
      <c r="H414" s="516"/>
      <c r="I414" s="516"/>
      <c r="J414" s="516"/>
      <c r="K414" s="516"/>
      <c r="L414" s="516"/>
      <c r="M414" s="516"/>
      <c r="N414" s="516"/>
      <c r="O414" s="516"/>
      <c r="P414" s="516"/>
      <c r="Q414" s="516"/>
      <c r="R414" s="516"/>
      <c r="S414" s="516"/>
      <c r="T414" s="516"/>
      <c r="U414" s="516"/>
      <c r="V414" s="516"/>
      <c r="W414" s="516"/>
      <c r="X414" s="516"/>
      <c r="Y414" s="516"/>
      <c r="Z414" s="516"/>
    </row>
    <row r="415" ht="14.25" customHeight="1">
      <c r="A415" s="516"/>
      <c r="B415" s="516"/>
      <c r="C415" s="517"/>
      <c r="D415" s="517"/>
      <c r="E415" s="517"/>
      <c r="F415" s="516"/>
      <c r="G415" s="516"/>
      <c r="H415" s="516"/>
      <c r="I415" s="516"/>
      <c r="J415" s="516"/>
      <c r="K415" s="516"/>
      <c r="L415" s="516"/>
      <c r="M415" s="516"/>
      <c r="N415" s="516"/>
      <c r="O415" s="516"/>
      <c r="P415" s="516"/>
      <c r="Q415" s="516"/>
      <c r="R415" s="516"/>
      <c r="S415" s="516"/>
      <c r="T415" s="516"/>
      <c r="U415" s="516"/>
      <c r="V415" s="516"/>
      <c r="W415" s="516"/>
      <c r="X415" s="516"/>
      <c r="Y415" s="516"/>
      <c r="Z415" s="516"/>
    </row>
    <row r="416" ht="14.25" customHeight="1">
      <c r="A416" s="516"/>
      <c r="B416" s="516"/>
      <c r="C416" s="517"/>
      <c r="D416" s="517"/>
      <c r="E416" s="517"/>
      <c r="F416" s="516"/>
      <c r="G416" s="516"/>
      <c r="H416" s="516"/>
      <c r="I416" s="516"/>
      <c r="J416" s="516"/>
      <c r="K416" s="516"/>
      <c r="L416" s="516"/>
      <c r="M416" s="516"/>
      <c r="N416" s="516"/>
      <c r="O416" s="516"/>
      <c r="P416" s="516"/>
      <c r="Q416" s="516"/>
      <c r="R416" s="516"/>
      <c r="S416" s="516"/>
      <c r="T416" s="516"/>
      <c r="U416" s="516"/>
      <c r="V416" s="516"/>
      <c r="W416" s="516"/>
      <c r="X416" s="516"/>
      <c r="Y416" s="516"/>
      <c r="Z416" s="516"/>
    </row>
    <row r="417" ht="14.25" customHeight="1">
      <c r="A417" s="516"/>
      <c r="B417" s="516"/>
      <c r="C417" s="517"/>
      <c r="D417" s="517"/>
      <c r="E417" s="517"/>
      <c r="F417" s="516"/>
      <c r="G417" s="516"/>
      <c r="H417" s="516"/>
      <c r="I417" s="516"/>
      <c r="J417" s="516"/>
      <c r="K417" s="516"/>
      <c r="L417" s="516"/>
      <c r="M417" s="516"/>
      <c r="N417" s="516"/>
      <c r="O417" s="516"/>
      <c r="P417" s="516"/>
      <c r="Q417" s="516"/>
      <c r="R417" s="516"/>
      <c r="S417" s="516"/>
      <c r="T417" s="516"/>
      <c r="U417" s="516"/>
      <c r="V417" s="516"/>
      <c r="W417" s="516"/>
      <c r="X417" s="516"/>
      <c r="Y417" s="516"/>
      <c r="Z417" s="516"/>
    </row>
    <row r="418" ht="14.25" customHeight="1">
      <c r="A418" s="516"/>
      <c r="B418" s="516"/>
      <c r="C418" s="517"/>
      <c r="D418" s="517"/>
      <c r="E418" s="517"/>
      <c r="F418" s="516"/>
      <c r="G418" s="516"/>
      <c r="H418" s="516"/>
      <c r="I418" s="516"/>
      <c r="J418" s="516"/>
      <c r="K418" s="516"/>
      <c r="L418" s="516"/>
      <c r="M418" s="516"/>
      <c r="N418" s="516"/>
      <c r="O418" s="516"/>
      <c r="P418" s="516"/>
      <c r="Q418" s="516"/>
      <c r="R418" s="516"/>
      <c r="S418" s="516"/>
      <c r="T418" s="516"/>
      <c r="U418" s="516"/>
      <c r="V418" s="516"/>
      <c r="W418" s="516"/>
      <c r="X418" s="516"/>
      <c r="Y418" s="516"/>
      <c r="Z418" s="516"/>
    </row>
    <row r="419" ht="14.25" customHeight="1">
      <c r="A419" s="516"/>
      <c r="B419" s="516"/>
      <c r="C419" s="517"/>
      <c r="D419" s="517"/>
      <c r="E419" s="517"/>
      <c r="F419" s="516"/>
      <c r="G419" s="516"/>
      <c r="H419" s="516"/>
      <c r="I419" s="516"/>
      <c r="J419" s="516"/>
      <c r="K419" s="516"/>
      <c r="L419" s="516"/>
      <c r="M419" s="516"/>
      <c r="N419" s="516"/>
      <c r="O419" s="516"/>
      <c r="P419" s="516"/>
      <c r="Q419" s="516"/>
      <c r="R419" s="516"/>
      <c r="S419" s="516"/>
      <c r="T419" s="516"/>
      <c r="U419" s="516"/>
      <c r="V419" s="516"/>
      <c r="W419" s="516"/>
      <c r="X419" s="516"/>
      <c r="Y419" s="516"/>
      <c r="Z419" s="516"/>
    </row>
    <row r="420" ht="14.25" customHeight="1">
      <c r="A420" s="516"/>
      <c r="B420" s="516"/>
      <c r="C420" s="517"/>
      <c r="D420" s="517"/>
      <c r="E420" s="517"/>
      <c r="F420" s="516"/>
      <c r="G420" s="516"/>
      <c r="H420" s="516"/>
      <c r="I420" s="516"/>
      <c r="J420" s="516"/>
      <c r="K420" s="516"/>
      <c r="L420" s="516"/>
      <c r="M420" s="516"/>
      <c r="N420" s="516"/>
      <c r="O420" s="516"/>
      <c r="P420" s="516"/>
      <c r="Q420" s="516"/>
      <c r="R420" s="516"/>
      <c r="S420" s="516"/>
      <c r="T420" s="516"/>
      <c r="U420" s="516"/>
      <c r="V420" s="516"/>
      <c r="W420" s="516"/>
      <c r="X420" s="516"/>
      <c r="Y420" s="516"/>
      <c r="Z420" s="516"/>
    </row>
    <row r="421" ht="14.25" customHeight="1">
      <c r="A421" s="516"/>
      <c r="B421" s="516"/>
      <c r="C421" s="517"/>
      <c r="D421" s="517"/>
      <c r="E421" s="517"/>
      <c r="F421" s="516"/>
      <c r="G421" s="516"/>
      <c r="H421" s="516"/>
      <c r="I421" s="516"/>
      <c r="J421" s="516"/>
      <c r="K421" s="516"/>
      <c r="L421" s="516"/>
      <c r="M421" s="516"/>
      <c r="N421" s="516"/>
      <c r="O421" s="516"/>
      <c r="P421" s="516"/>
      <c r="Q421" s="516"/>
      <c r="R421" s="516"/>
      <c r="S421" s="516"/>
      <c r="T421" s="516"/>
      <c r="U421" s="516"/>
      <c r="V421" s="516"/>
      <c r="W421" s="516"/>
      <c r="X421" s="516"/>
      <c r="Y421" s="516"/>
      <c r="Z421" s="516"/>
    </row>
    <row r="422" ht="14.25" customHeight="1">
      <c r="A422" s="516"/>
      <c r="B422" s="516"/>
      <c r="C422" s="517"/>
      <c r="D422" s="517"/>
      <c r="E422" s="517"/>
      <c r="F422" s="516"/>
      <c r="G422" s="516"/>
      <c r="H422" s="516"/>
      <c r="I422" s="516"/>
      <c r="J422" s="516"/>
      <c r="K422" s="516"/>
      <c r="L422" s="516"/>
      <c r="M422" s="516"/>
      <c r="N422" s="516"/>
      <c r="O422" s="516"/>
      <c r="P422" s="516"/>
      <c r="Q422" s="516"/>
      <c r="R422" s="516"/>
      <c r="S422" s="516"/>
      <c r="T422" s="516"/>
      <c r="U422" s="516"/>
      <c r="V422" s="516"/>
      <c r="W422" s="516"/>
      <c r="X422" s="516"/>
      <c r="Y422" s="516"/>
      <c r="Z422" s="516"/>
    </row>
    <row r="423" ht="14.25" customHeight="1">
      <c r="A423" s="516"/>
      <c r="B423" s="516"/>
      <c r="C423" s="517"/>
      <c r="D423" s="517"/>
      <c r="E423" s="517"/>
      <c r="F423" s="516"/>
      <c r="G423" s="516"/>
      <c r="H423" s="516"/>
      <c r="I423" s="516"/>
      <c r="J423" s="516"/>
      <c r="K423" s="516"/>
      <c r="L423" s="516"/>
      <c r="M423" s="516"/>
      <c r="N423" s="516"/>
      <c r="O423" s="516"/>
      <c r="P423" s="516"/>
      <c r="Q423" s="516"/>
      <c r="R423" s="516"/>
      <c r="S423" s="516"/>
      <c r="T423" s="516"/>
      <c r="U423" s="516"/>
      <c r="V423" s="516"/>
      <c r="W423" s="516"/>
      <c r="X423" s="516"/>
      <c r="Y423" s="516"/>
      <c r="Z423" s="516"/>
    </row>
    <row r="424" ht="14.25" customHeight="1">
      <c r="A424" s="516"/>
      <c r="B424" s="516"/>
      <c r="C424" s="517"/>
      <c r="D424" s="517"/>
      <c r="E424" s="517"/>
      <c r="F424" s="516"/>
      <c r="G424" s="516"/>
      <c r="H424" s="516"/>
      <c r="I424" s="516"/>
      <c r="J424" s="516"/>
      <c r="K424" s="516"/>
      <c r="L424" s="516"/>
      <c r="M424" s="516"/>
      <c r="N424" s="516"/>
      <c r="O424" s="516"/>
      <c r="P424" s="516"/>
      <c r="Q424" s="516"/>
      <c r="R424" s="516"/>
      <c r="S424" s="516"/>
      <c r="T424" s="516"/>
      <c r="U424" s="516"/>
      <c r="V424" s="516"/>
      <c r="W424" s="516"/>
      <c r="X424" s="516"/>
      <c r="Y424" s="516"/>
      <c r="Z424" s="516"/>
    </row>
    <row r="425" ht="14.25" customHeight="1">
      <c r="A425" s="516"/>
      <c r="B425" s="516"/>
      <c r="C425" s="517"/>
      <c r="D425" s="517"/>
      <c r="E425" s="517"/>
      <c r="F425" s="516"/>
      <c r="G425" s="516"/>
      <c r="H425" s="516"/>
      <c r="I425" s="516"/>
      <c r="J425" s="516"/>
      <c r="K425" s="516"/>
      <c r="L425" s="516"/>
      <c r="M425" s="516"/>
      <c r="N425" s="516"/>
      <c r="O425" s="516"/>
      <c r="P425" s="516"/>
      <c r="Q425" s="516"/>
      <c r="R425" s="516"/>
      <c r="S425" s="516"/>
      <c r="T425" s="516"/>
      <c r="U425" s="516"/>
      <c r="V425" s="516"/>
      <c r="W425" s="516"/>
      <c r="X425" s="516"/>
      <c r="Y425" s="516"/>
      <c r="Z425" s="516"/>
    </row>
    <row r="426" ht="14.25" customHeight="1">
      <c r="A426" s="516"/>
      <c r="B426" s="516"/>
      <c r="C426" s="517"/>
      <c r="D426" s="517"/>
      <c r="E426" s="517"/>
      <c r="F426" s="516"/>
      <c r="G426" s="516"/>
      <c r="H426" s="516"/>
      <c r="I426" s="516"/>
      <c r="J426" s="516"/>
      <c r="K426" s="516"/>
      <c r="L426" s="516"/>
      <c r="M426" s="516"/>
      <c r="N426" s="516"/>
      <c r="O426" s="516"/>
      <c r="P426" s="516"/>
      <c r="Q426" s="516"/>
      <c r="R426" s="516"/>
      <c r="S426" s="516"/>
      <c r="T426" s="516"/>
      <c r="U426" s="516"/>
      <c r="V426" s="516"/>
      <c r="W426" s="516"/>
      <c r="X426" s="516"/>
      <c r="Y426" s="516"/>
      <c r="Z426" s="516"/>
    </row>
    <row r="427" ht="14.25" customHeight="1">
      <c r="A427" s="516"/>
      <c r="B427" s="516"/>
      <c r="C427" s="517"/>
      <c r="D427" s="517"/>
      <c r="E427" s="517"/>
      <c r="F427" s="516"/>
      <c r="G427" s="516"/>
      <c r="H427" s="516"/>
      <c r="I427" s="516"/>
      <c r="J427" s="516"/>
      <c r="K427" s="516"/>
      <c r="L427" s="516"/>
      <c r="M427" s="516"/>
      <c r="N427" s="516"/>
      <c r="O427" s="516"/>
      <c r="P427" s="516"/>
      <c r="Q427" s="516"/>
      <c r="R427" s="516"/>
      <c r="S427" s="516"/>
      <c r="T427" s="516"/>
      <c r="U427" s="516"/>
      <c r="V427" s="516"/>
      <c r="W427" s="516"/>
      <c r="X427" s="516"/>
      <c r="Y427" s="516"/>
      <c r="Z427" s="516"/>
    </row>
    <row r="428" ht="14.25" customHeight="1">
      <c r="A428" s="516"/>
      <c r="B428" s="516"/>
      <c r="C428" s="517"/>
      <c r="D428" s="517"/>
      <c r="E428" s="517"/>
      <c r="F428" s="516"/>
      <c r="G428" s="516"/>
      <c r="H428" s="516"/>
      <c r="I428" s="516"/>
      <c r="J428" s="516"/>
      <c r="K428" s="516"/>
      <c r="L428" s="516"/>
      <c r="M428" s="516"/>
      <c r="N428" s="516"/>
      <c r="O428" s="516"/>
      <c r="P428" s="516"/>
      <c r="Q428" s="516"/>
      <c r="R428" s="516"/>
      <c r="S428" s="516"/>
      <c r="T428" s="516"/>
      <c r="U428" s="516"/>
      <c r="V428" s="516"/>
      <c r="W428" s="516"/>
      <c r="X428" s="516"/>
      <c r="Y428" s="516"/>
      <c r="Z428" s="516"/>
    </row>
    <row r="429" ht="14.25" customHeight="1">
      <c r="A429" s="516"/>
      <c r="B429" s="516"/>
      <c r="C429" s="517"/>
      <c r="D429" s="517"/>
      <c r="E429" s="517"/>
      <c r="F429" s="516"/>
      <c r="G429" s="516"/>
      <c r="H429" s="516"/>
      <c r="I429" s="516"/>
      <c r="J429" s="516"/>
      <c r="K429" s="516"/>
      <c r="L429" s="516"/>
      <c r="M429" s="516"/>
      <c r="N429" s="516"/>
      <c r="O429" s="516"/>
      <c r="P429" s="516"/>
      <c r="Q429" s="516"/>
      <c r="R429" s="516"/>
      <c r="S429" s="516"/>
      <c r="T429" s="516"/>
      <c r="U429" s="516"/>
      <c r="V429" s="516"/>
      <c r="W429" s="516"/>
      <c r="X429" s="516"/>
      <c r="Y429" s="516"/>
      <c r="Z429" s="516"/>
    </row>
    <row r="430" ht="14.25" customHeight="1">
      <c r="A430" s="516"/>
      <c r="B430" s="516"/>
      <c r="C430" s="517"/>
      <c r="D430" s="517"/>
      <c r="E430" s="517"/>
      <c r="F430" s="516"/>
      <c r="G430" s="516"/>
      <c r="H430" s="516"/>
      <c r="I430" s="516"/>
      <c r="J430" s="516"/>
      <c r="K430" s="516"/>
      <c r="L430" s="516"/>
      <c r="M430" s="516"/>
      <c r="N430" s="516"/>
      <c r="O430" s="516"/>
      <c r="P430" s="516"/>
      <c r="Q430" s="516"/>
      <c r="R430" s="516"/>
      <c r="S430" s="516"/>
      <c r="T430" s="516"/>
      <c r="U430" s="516"/>
      <c r="V430" s="516"/>
      <c r="W430" s="516"/>
      <c r="X430" s="516"/>
      <c r="Y430" s="516"/>
      <c r="Z430" s="516"/>
    </row>
    <row r="431" ht="14.25" customHeight="1">
      <c r="A431" s="516"/>
      <c r="B431" s="516"/>
      <c r="C431" s="517"/>
      <c r="D431" s="517"/>
      <c r="E431" s="517"/>
      <c r="F431" s="516"/>
      <c r="G431" s="516"/>
      <c r="H431" s="516"/>
      <c r="I431" s="516"/>
      <c r="J431" s="516"/>
      <c r="K431" s="516"/>
      <c r="L431" s="516"/>
      <c r="M431" s="516"/>
      <c r="N431" s="516"/>
      <c r="O431" s="516"/>
      <c r="P431" s="516"/>
      <c r="Q431" s="516"/>
      <c r="R431" s="516"/>
      <c r="S431" s="516"/>
      <c r="T431" s="516"/>
      <c r="U431" s="516"/>
      <c r="V431" s="516"/>
      <c r="W431" s="516"/>
      <c r="X431" s="516"/>
      <c r="Y431" s="516"/>
      <c r="Z431" s="516"/>
    </row>
    <row r="432" ht="14.25" customHeight="1">
      <c r="A432" s="516"/>
      <c r="B432" s="516"/>
      <c r="C432" s="517"/>
      <c r="D432" s="517"/>
      <c r="E432" s="517"/>
      <c r="F432" s="516"/>
      <c r="G432" s="516"/>
      <c r="H432" s="516"/>
      <c r="I432" s="516"/>
      <c r="J432" s="516"/>
      <c r="K432" s="516"/>
      <c r="L432" s="516"/>
      <c r="M432" s="516"/>
      <c r="N432" s="516"/>
      <c r="O432" s="516"/>
      <c r="P432" s="516"/>
      <c r="Q432" s="516"/>
      <c r="R432" s="516"/>
      <c r="S432" s="516"/>
      <c r="T432" s="516"/>
      <c r="U432" s="516"/>
      <c r="V432" s="516"/>
      <c r="W432" s="516"/>
      <c r="X432" s="516"/>
      <c r="Y432" s="516"/>
      <c r="Z432" s="516"/>
    </row>
    <row r="433" ht="14.25" customHeight="1">
      <c r="A433" s="516"/>
      <c r="B433" s="516"/>
      <c r="C433" s="517"/>
      <c r="D433" s="517"/>
      <c r="E433" s="517"/>
      <c r="F433" s="516"/>
      <c r="G433" s="516"/>
      <c r="H433" s="516"/>
      <c r="I433" s="516"/>
      <c r="J433" s="516"/>
      <c r="K433" s="516"/>
      <c r="L433" s="516"/>
      <c r="M433" s="516"/>
      <c r="N433" s="516"/>
      <c r="O433" s="516"/>
      <c r="P433" s="516"/>
      <c r="Q433" s="516"/>
      <c r="R433" s="516"/>
      <c r="S433" s="516"/>
      <c r="T433" s="516"/>
      <c r="U433" s="516"/>
      <c r="V433" s="516"/>
      <c r="W433" s="516"/>
      <c r="X433" s="516"/>
      <c r="Y433" s="516"/>
      <c r="Z433" s="516"/>
    </row>
    <row r="434" ht="14.25" customHeight="1">
      <c r="A434" s="516"/>
      <c r="B434" s="516"/>
      <c r="C434" s="517"/>
      <c r="D434" s="517"/>
      <c r="E434" s="517"/>
      <c r="F434" s="516"/>
      <c r="G434" s="516"/>
      <c r="H434" s="516"/>
      <c r="I434" s="516"/>
      <c r="J434" s="516"/>
      <c r="K434" s="516"/>
      <c r="L434" s="516"/>
      <c r="M434" s="516"/>
      <c r="N434" s="516"/>
      <c r="O434" s="516"/>
      <c r="P434" s="516"/>
      <c r="Q434" s="516"/>
      <c r="R434" s="516"/>
      <c r="S434" s="516"/>
      <c r="T434" s="516"/>
      <c r="U434" s="516"/>
      <c r="V434" s="516"/>
      <c r="W434" s="516"/>
      <c r="X434" s="516"/>
      <c r="Y434" s="516"/>
      <c r="Z434" s="516"/>
    </row>
    <row r="435" ht="14.25" customHeight="1">
      <c r="A435" s="516"/>
      <c r="B435" s="516"/>
      <c r="C435" s="517"/>
      <c r="D435" s="517"/>
      <c r="E435" s="517"/>
      <c r="F435" s="516"/>
      <c r="G435" s="516"/>
      <c r="H435" s="516"/>
      <c r="I435" s="516"/>
      <c r="J435" s="516"/>
      <c r="K435" s="516"/>
      <c r="L435" s="516"/>
      <c r="M435" s="516"/>
      <c r="N435" s="516"/>
      <c r="O435" s="516"/>
      <c r="P435" s="516"/>
      <c r="Q435" s="516"/>
      <c r="R435" s="516"/>
      <c r="S435" s="516"/>
      <c r="T435" s="516"/>
      <c r="U435" s="516"/>
      <c r="V435" s="516"/>
      <c r="W435" s="516"/>
      <c r="X435" s="516"/>
      <c r="Y435" s="516"/>
      <c r="Z435" s="516"/>
    </row>
    <row r="436" ht="14.25" customHeight="1">
      <c r="A436" s="516"/>
      <c r="B436" s="516"/>
      <c r="C436" s="517"/>
      <c r="D436" s="517"/>
      <c r="E436" s="517"/>
      <c r="F436" s="516"/>
      <c r="G436" s="516"/>
      <c r="H436" s="516"/>
      <c r="I436" s="516"/>
      <c r="J436" s="516"/>
      <c r="K436" s="516"/>
      <c r="L436" s="516"/>
      <c r="M436" s="516"/>
      <c r="N436" s="516"/>
      <c r="O436" s="516"/>
      <c r="P436" s="516"/>
      <c r="Q436" s="516"/>
      <c r="R436" s="516"/>
      <c r="S436" s="516"/>
      <c r="T436" s="516"/>
      <c r="U436" s="516"/>
      <c r="V436" s="516"/>
      <c r="W436" s="516"/>
      <c r="X436" s="516"/>
      <c r="Y436" s="516"/>
      <c r="Z436" s="516"/>
    </row>
    <row r="437" ht="14.25" customHeight="1">
      <c r="A437" s="516"/>
      <c r="B437" s="516"/>
      <c r="C437" s="517"/>
      <c r="D437" s="517"/>
      <c r="E437" s="517"/>
      <c r="F437" s="516"/>
      <c r="G437" s="516"/>
      <c r="H437" s="516"/>
      <c r="I437" s="516"/>
      <c r="J437" s="516"/>
      <c r="K437" s="516"/>
      <c r="L437" s="516"/>
      <c r="M437" s="516"/>
      <c r="N437" s="516"/>
      <c r="O437" s="516"/>
      <c r="P437" s="516"/>
      <c r="Q437" s="516"/>
      <c r="R437" s="516"/>
      <c r="S437" s="516"/>
      <c r="T437" s="516"/>
      <c r="U437" s="516"/>
      <c r="V437" s="516"/>
      <c r="W437" s="516"/>
      <c r="X437" s="516"/>
      <c r="Y437" s="516"/>
      <c r="Z437" s="516"/>
    </row>
    <row r="438" ht="14.25" customHeight="1">
      <c r="A438" s="516"/>
      <c r="B438" s="516"/>
      <c r="C438" s="517"/>
      <c r="D438" s="517"/>
      <c r="E438" s="517"/>
      <c r="F438" s="516"/>
      <c r="G438" s="516"/>
      <c r="H438" s="516"/>
      <c r="I438" s="516"/>
      <c r="J438" s="516"/>
      <c r="K438" s="516"/>
      <c r="L438" s="516"/>
      <c r="M438" s="516"/>
      <c r="N438" s="516"/>
      <c r="O438" s="516"/>
      <c r="P438" s="516"/>
      <c r="Q438" s="516"/>
      <c r="R438" s="516"/>
      <c r="S438" s="516"/>
      <c r="T438" s="516"/>
      <c r="U438" s="516"/>
      <c r="V438" s="516"/>
      <c r="W438" s="516"/>
      <c r="X438" s="516"/>
      <c r="Y438" s="516"/>
      <c r="Z438" s="516"/>
    </row>
    <row r="439" ht="14.25" customHeight="1">
      <c r="A439" s="516"/>
      <c r="B439" s="516"/>
      <c r="C439" s="517"/>
      <c r="D439" s="517"/>
      <c r="E439" s="517"/>
      <c r="F439" s="516"/>
      <c r="G439" s="516"/>
      <c r="H439" s="516"/>
      <c r="I439" s="516"/>
      <c r="J439" s="516"/>
      <c r="K439" s="516"/>
      <c r="L439" s="516"/>
      <c r="M439" s="516"/>
      <c r="N439" s="516"/>
      <c r="O439" s="516"/>
      <c r="P439" s="516"/>
      <c r="Q439" s="516"/>
      <c r="R439" s="516"/>
      <c r="S439" s="516"/>
      <c r="T439" s="516"/>
      <c r="U439" s="516"/>
      <c r="V439" s="516"/>
      <c r="W439" s="516"/>
      <c r="X439" s="516"/>
      <c r="Y439" s="516"/>
      <c r="Z439" s="516"/>
    </row>
    <row r="440" ht="14.25" customHeight="1">
      <c r="A440" s="516"/>
      <c r="B440" s="516"/>
      <c r="C440" s="517"/>
      <c r="D440" s="517"/>
      <c r="E440" s="517"/>
      <c r="F440" s="516"/>
      <c r="G440" s="516"/>
      <c r="H440" s="516"/>
      <c r="I440" s="516"/>
      <c r="J440" s="516"/>
      <c r="K440" s="516"/>
      <c r="L440" s="516"/>
      <c r="M440" s="516"/>
      <c r="N440" s="516"/>
      <c r="O440" s="516"/>
      <c r="P440" s="516"/>
      <c r="Q440" s="516"/>
      <c r="R440" s="516"/>
      <c r="S440" s="516"/>
      <c r="T440" s="516"/>
      <c r="U440" s="516"/>
      <c r="V440" s="516"/>
      <c r="W440" s="516"/>
      <c r="X440" s="516"/>
      <c r="Y440" s="516"/>
      <c r="Z440" s="516"/>
    </row>
    <row r="441" ht="14.25" customHeight="1">
      <c r="A441" s="516"/>
      <c r="B441" s="516"/>
      <c r="C441" s="517"/>
      <c r="D441" s="517"/>
      <c r="E441" s="517"/>
      <c r="F441" s="516"/>
      <c r="G441" s="516"/>
      <c r="H441" s="516"/>
      <c r="I441" s="516"/>
      <c r="J441" s="516"/>
      <c r="K441" s="516"/>
      <c r="L441" s="516"/>
      <c r="M441" s="516"/>
      <c r="N441" s="516"/>
      <c r="O441" s="516"/>
      <c r="P441" s="516"/>
      <c r="Q441" s="516"/>
      <c r="R441" s="516"/>
      <c r="S441" s="516"/>
      <c r="T441" s="516"/>
      <c r="U441" s="516"/>
      <c r="V441" s="516"/>
      <c r="W441" s="516"/>
      <c r="X441" s="516"/>
      <c r="Y441" s="516"/>
      <c r="Z441" s="516"/>
    </row>
    <row r="442" ht="14.25" customHeight="1">
      <c r="A442" s="516"/>
      <c r="B442" s="516"/>
      <c r="C442" s="517"/>
      <c r="D442" s="517"/>
      <c r="E442" s="517"/>
      <c r="F442" s="516"/>
      <c r="G442" s="516"/>
      <c r="H442" s="516"/>
      <c r="I442" s="516"/>
      <c r="J442" s="516"/>
      <c r="K442" s="516"/>
      <c r="L442" s="516"/>
      <c r="M442" s="516"/>
      <c r="N442" s="516"/>
      <c r="O442" s="516"/>
      <c r="P442" s="516"/>
      <c r="Q442" s="516"/>
      <c r="R442" s="516"/>
      <c r="S442" s="516"/>
      <c r="T442" s="516"/>
      <c r="U442" s="516"/>
      <c r="V442" s="516"/>
      <c r="W442" s="516"/>
      <c r="X442" s="516"/>
      <c r="Y442" s="516"/>
      <c r="Z442" s="516"/>
    </row>
    <row r="443" ht="14.25" customHeight="1">
      <c r="A443" s="516"/>
      <c r="B443" s="516"/>
      <c r="C443" s="517"/>
      <c r="D443" s="517"/>
      <c r="E443" s="517"/>
      <c r="F443" s="516"/>
      <c r="G443" s="516"/>
      <c r="H443" s="516"/>
      <c r="I443" s="516"/>
      <c r="J443" s="516"/>
      <c r="K443" s="516"/>
      <c r="L443" s="516"/>
      <c r="M443" s="516"/>
      <c r="N443" s="516"/>
      <c r="O443" s="516"/>
      <c r="P443" s="516"/>
      <c r="Q443" s="516"/>
      <c r="R443" s="516"/>
      <c r="S443" s="516"/>
      <c r="T443" s="516"/>
      <c r="U443" s="516"/>
      <c r="V443" s="516"/>
      <c r="W443" s="516"/>
      <c r="X443" s="516"/>
      <c r="Y443" s="516"/>
      <c r="Z443" s="516"/>
    </row>
    <row r="444" ht="14.25" customHeight="1">
      <c r="A444" s="516"/>
      <c r="B444" s="516"/>
      <c r="C444" s="517"/>
      <c r="D444" s="517"/>
      <c r="E444" s="517"/>
      <c r="F444" s="516"/>
      <c r="G444" s="516"/>
      <c r="H444" s="516"/>
      <c r="I444" s="516"/>
      <c r="J444" s="516"/>
      <c r="K444" s="516"/>
      <c r="L444" s="516"/>
      <c r="M444" s="516"/>
      <c r="N444" s="516"/>
      <c r="O444" s="516"/>
      <c r="P444" s="516"/>
      <c r="Q444" s="516"/>
      <c r="R444" s="516"/>
      <c r="S444" s="516"/>
      <c r="T444" s="516"/>
      <c r="U444" s="516"/>
      <c r="V444" s="516"/>
      <c r="W444" s="516"/>
      <c r="X444" s="516"/>
      <c r="Y444" s="516"/>
      <c r="Z444" s="516"/>
    </row>
    <row r="445" ht="14.25" customHeight="1">
      <c r="A445" s="516"/>
      <c r="B445" s="516"/>
      <c r="C445" s="517"/>
      <c r="D445" s="517"/>
      <c r="E445" s="517"/>
      <c r="F445" s="516"/>
      <c r="G445" s="516"/>
      <c r="H445" s="516"/>
      <c r="I445" s="516"/>
      <c r="J445" s="516"/>
      <c r="K445" s="516"/>
      <c r="L445" s="516"/>
      <c r="M445" s="516"/>
      <c r="N445" s="516"/>
      <c r="O445" s="516"/>
      <c r="P445" s="516"/>
      <c r="Q445" s="516"/>
      <c r="R445" s="516"/>
      <c r="S445" s="516"/>
      <c r="T445" s="516"/>
      <c r="U445" s="516"/>
      <c r="V445" s="516"/>
      <c r="W445" s="516"/>
      <c r="X445" s="516"/>
      <c r="Y445" s="516"/>
      <c r="Z445" s="516"/>
    </row>
    <row r="446" ht="14.25" customHeight="1">
      <c r="A446" s="516"/>
      <c r="B446" s="516"/>
      <c r="C446" s="517"/>
      <c r="D446" s="517"/>
      <c r="E446" s="517"/>
      <c r="F446" s="516"/>
      <c r="G446" s="516"/>
      <c r="H446" s="516"/>
      <c r="I446" s="516"/>
      <c r="J446" s="516"/>
      <c r="K446" s="516"/>
      <c r="L446" s="516"/>
      <c r="M446" s="516"/>
      <c r="N446" s="516"/>
      <c r="O446" s="516"/>
      <c r="P446" s="516"/>
      <c r="Q446" s="516"/>
      <c r="R446" s="516"/>
      <c r="S446" s="516"/>
      <c r="T446" s="516"/>
      <c r="U446" s="516"/>
      <c r="V446" s="516"/>
      <c r="W446" s="516"/>
      <c r="X446" s="516"/>
      <c r="Y446" s="516"/>
      <c r="Z446" s="516"/>
    </row>
    <row r="447" ht="14.25" customHeight="1">
      <c r="A447" s="516"/>
      <c r="B447" s="516"/>
      <c r="C447" s="517"/>
      <c r="D447" s="517"/>
      <c r="E447" s="517"/>
      <c r="F447" s="516"/>
      <c r="G447" s="516"/>
      <c r="H447" s="516"/>
      <c r="I447" s="516"/>
      <c r="J447" s="516"/>
      <c r="K447" s="516"/>
      <c r="L447" s="516"/>
      <c r="M447" s="516"/>
      <c r="N447" s="516"/>
      <c r="O447" s="516"/>
      <c r="P447" s="516"/>
      <c r="Q447" s="516"/>
      <c r="R447" s="516"/>
      <c r="S447" s="516"/>
      <c r="T447" s="516"/>
      <c r="U447" s="516"/>
      <c r="V447" s="516"/>
      <c r="W447" s="516"/>
      <c r="X447" s="516"/>
      <c r="Y447" s="516"/>
      <c r="Z447" s="516"/>
    </row>
    <row r="448" ht="14.25" customHeight="1">
      <c r="A448" s="516"/>
      <c r="B448" s="516"/>
      <c r="C448" s="517"/>
      <c r="D448" s="517"/>
      <c r="E448" s="517"/>
      <c r="F448" s="516"/>
      <c r="G448" s="516"/>
      <c r="H448" s="516"/>
      <c r="I448" s="516"/>
      <c r="J448" s="516"/>
      <c r="K448" s="516"/>
      <c r="L448" s="516"/>
      <c r="M448" s="516"/>
      <c r="N448" s="516"/>
      <c r="O448" s="516"/>
      <c r="P448" s="516"/>
      <c r="Q448" s="516"/>
      <c r="R448" s="516"/>
      <c r="S448" s="516"/>
      <c r="T448" s="516"/>
      <c r="U448" s="516"/>
      <c r="V448" s="516"/>
      <c r="W448" s="516"/>
      <c r="X448" s="516"/>
      <c r="Y448" s="516"/>
      <c r="Z448" s="516"/>
    </row>
    <row r="449" ht="14.25" customHeight="1">
      <c r="A449" s="516"/>
      <c r="B449" s="516"/>
      <c r="C449" s="517"/>
      <c r="D449" s="517"/>
      <c r="E449" s="517"/>
      <c r="F449" s="516"/>
      <c r="G449" s="516"/>
      <c r="H449" s="516"/>
      <c r="I449" s="516"/>
      <c r="J449" s="516"/>
      <c r="K449" s="516"/>
      <c r="L449" s="516"/>
      <c r="M449" s="516"/>
      <c r="N449" s="516"/>
      <c r="O449" s="516"/>
      <c r="P449" s="516"/>
      <c r="Q449" s="516"/>
      <c r="R449" s="516"/>
      <c r="S449" s="516"/>
      <c r="T449" s="516"/>
      <c r="U449" s="516"/>
      <c r="V449" s="516"/>
      <c r="W449" s="516"/>
      <c r="X449" s="516"/>
      <c r="Y449" s="516"/>
      <c r="Z449" s="516"/>
    </row>
    <row r="450" ht="14.25" customHeight="1">
      <c r="A450" s="516"/>
      <c r="B450" s="516"/>
      <c r="C450" s="517"/>
      <c r="D450" s="517"/>
      <c r="E450" s="517"/>
      <c r="F450" s="516"/>
      <c r="G450" s="516"/>
      <c r="H450" s="516"/>
      <c r="I450" s="516"/>
      <c r="J450" s="516"/>
      <c r="K450" s="516"/>
      <c r="L450" s="516"/>
      <c r="M450" s="516"/>
      <c r="N450" s="516"/>
      <c r="O450" s="516"/>
      <c r="P450" s="516"/>
      <c r="Q450" s="516"/>
      <c r="R450" s="516"/>
      <c r="S450" s="516"/>
      <c r="T450" s="516"/>
      <c r="U450" s="516"/>
      <c r="V450" s="516"/>
      <c r="W450" s="516"/>
      <c r="X450" s="516"/>
      <c r="Y450" s="516"/>
      <c r="Z450" s="516"/>
    </row>
    <row r="451" ht="14.25" customHeight="1">
      <c r="A451" s="516"/>
      <c r="B451" s="516"/>
      <c r="C451" s="517"/>
      <c r="D451" s="517"/>
      <c r="E451" s="517"/>
      <c r="F451" s="516"/>
      <c r="G451" s="516"/>
      <c r="H451" s="516"/>
      <c r="I451" s="516"/>
      <c r="J451" s="516"/>
      <c r="K451" s="516"/>
      <c r="L451" s="516"/>
      <c r="M451" s="516"/>
      <c r="N451" s="516"/>
      <c r="O451" s="516"/>
      <c r="P451" s="516"/>
      <c r="Q451" s="516"/>
      <c r="R451" s="516"/>
      <c r="S451" s="516"/>
      <c r="T451" s="516"/>
      <c r="U451" s="516"/>
      <c r="V451" s="516"/>
      <c r="W451" s="516"/>
      <c r="X451" s="516"/>
      <c r="Y451" s="516"/>
      <c r="Z451" s="516"/>
    </row>
    <row r="452" ht="14.25" customHeight="1">
      <c r="A452" s="516"/>
      <c r="B452" s="516"/>
      <c r="C452" s="517"/>
      <c r="D452" s="517"/>
      <c r="E452" s="517"/>
      <c r="F452" s="516"/>
      <c r="G452" s="516"/>
      <c r="H452" s="516"/>
      <c r="I452" s="516"/>
      <c r="J452" s="516"/>
      <c r="K452" s="516"/>
      <c r="L452" s="516"/>
      <c r="M452" s="516"/>
      <c r="N452" s="516"/>
      <c r="O452" s="516"/>
      <c r="P452" s="516"/>
      <c r="Q452" s="516"/>
      <c r="R452" s="516"/>
      <c r="S452" s="516"/>
      <c r="T452" s="516"/>
      <c r="U452" s="516"/>
      <c r="V452" s="516"/>
      <c r="W452" s="516"/>
      <c r="X452" s="516"/>
      <c r="Y452" s="516"/>
      <c r="Z452" s="516"/>
    </row>
    <row r="453" ht="14.25" customHeight="1">
      <c r="A453" s="516"/>
      <c r="B453" s="516"/>
      <c r="C453" s="517"/>
      <c r="D453" s="517"/>
      <c r="E453" s="517"/>
      <c r="F453" s="516"/>
      <c r="G453" s="516"/>
      <c r="H453" s="516"/>
      <c r="I453" s="516"/>
      <c r="J453" s="516"/>
      <c r="K453" s="516"/>
      <c r="L453" s="516"/>
      <c r="M453" s="516"/>
      <c r="N453" s="516"/>
      <c r="O453" s="516"/>
      <c r="P453" s="516"/>
      <c r="Q453" s="516"/>
      <c r="R453" s="516"/>
      <c r="S453" s="516"/>
      <c r="T453" s="516"/>
      <c r="U453" s="516"/>
      <c r="V453" s="516"/>
      <c r="W453" s="516"/>
      <c r="X453" s="516"/>
      <c r="Y453" s="516"/>
      <c r="Z453" s="516"/>
    </row>
    <row r="454" ht="14.25" customHeight="1">
      <c r="A454" s="516"/>
      <c r="B454" s="516"/>
      <c r="C454" s="517"/>
      <c r="D454" s="517"/>
      <c r="E454" s="517"/>
      <c r="F454" s="516"/>
      <c r="G454" s="516"/>
      <c r="H454" s="516"/>
      <c r="I454" s="516"/>
      <c r="J454" s="516"/>
      <c r="K454" s="516"/>
      <c r="L454" s="516"/>
      <c r="M454" s="516"/>
      <c r="N454" s="516"/>
      <c r="O454" s="516"/>
      <c r="P454" s="516"/>
      <c r="Q454" s="516"/>
      <c r="R454" s="516"/>
      <c r="S454" s="516"/>
      <c r="T454" s="516"/>
      <c r="U454" s="516"/>
      <c r="V454" s="516"/>
      <c r="W454" s="516"/>
      <c r="X454" s="516"/>
      <c r="Y454" s="516"/>
      <c r="Z454" s="516"/>
    </row>
    <row r="455" ht="14.25" customHeight="1">
      <c r="A455" s="516"/>
      <c r="B455" s="516"/>
      <c r="C455" s="517"/>
      <c r="D455" s="517"/>
      <c r="E455" s="517"/>
      <c r="F455" s="516"/>
      <c r="G455" s="516"/>
      <c r="H455" s="516"/>
      <c r="I455" s="516"/>
      <c r="J455" s="516"/>
      <c r="K455" s="516"/>
      <c r="L455" s="516"/>
      <c r="M455" s="516"/>
      <c r="N455" s="516"/>
      <c r="O455" s="516"/>
      <c r="P455" s="516"/>
      <c r="Q455" s="516"/>
      <c r="R455" s="516"/>
      <c r="S455" s="516"/>
      <c r="T455" s="516"/>
      <c r="U455" s="516"/>
      <c r="V455" s="516"/>
      <c r="W455" s="516"/>
      <c r="X455" s="516"/>
      <c r="Y455" s="516"/>
      <c r="Z455" s="516"/>
    </row>
    <row r="456" ht="14.25" customHeight="1">
      <c r="A456" s="516"/>
      <c r="B456" s="516"/>
      <c r="C456" s="517"/>
      <c r="D456" s="517"/>
      <c r="E456" s="517"/>
      <c r="F456" s="516"/>
      <c r="G456" s="516"/>
      <c r="H456" s="516"/>
      <c r="I456" s="516"/>
      <c r="J456" s="516"/>
      <c r="K456" s="516"/>
      <c r="L456" s="516"/>
      <c r="M456" s="516"/>
      <c r="N456" s="516"/>
      <c r="O456" s="516"/>
      <c r="P456" s="516"/>
      <c r="Q456" s="516"/>
      <c r="R456" s="516"/>
      <c r="S456" s="516"/>
      <c r="T456" s="516"/>
      <c r="U456" s="516"/>
      <c r="V456" s="516"/>
      <c r="W456" s="516"/>
      <c r="X456" s="516"/>
      <c r="Y456" s="516"/>
      <c r="Z456" s="516"/>
    </row>
    <row r="457" ht="14.25" customHeight="1">
      <c r="A457" s="516"/>
      <c r="B457" s="516"/>
      <c r="C457" s="517"/>
      <c r="D457" s="517"/>
      <c r="E457" s="517"/>
      <c r="F457" s="516"/>
      <c r="G457" s="516"/>
      <c r="H457" s="516"/>
      <c r="I457" s="516"/>
      <c r="J457" s="516"/>
      <c r="K457" s="516"/>
      <c r="L457" s="516"/>
      <c r="M457" s="516"/>
      <c r="N457" s="516"/>
      <c r="O457" s="516"/>
      <c r="P457" s="516"/>
      <c r="Q457" s="516"/>
      <c r="R457" s="516"/>
      <c r="S457" s="516"/>
      <c r="T457" s="516"/>
      <c r="U457" s="516"/>
      <c r="V457" s="516"/>
      <c r="W457" s="516"/>
      <c r="X457" s="516"/>
      <c r="Y457" s="516"/>
      <c r="Z457" s="516"/>
    </row>
    <row r="458" ht="14.25" customHeight="1">
      <c r="A458" s="516"/>
      <c r="B458" s="516"/>
      <c r="C458" s="517"/>
      <c r="D458" s="517"/>
      <c r="E458" s="517"/>
      <c r="F458" s="516"/>
      <c r="G458" s="516"/>
      <c r="H458" s="516"/>
      <c r="I458" s="516"/>
      <c r="J458" s="516"/>
      <c r="K458" s="516"/>
      <c r="L458" s="516"/>
      <c r="M458" s="516"/>
      <c r="N458" s="516"/>
      <c r="O458" s="516"/>
      <c r="P458" s="516"/>
      <c r="Q458" s="516"/>
      <c r="R458" s="516"/>
      <c r="S458" s="516"/>
      <c r="T458" s="516"/>
      <c r="U458" s="516"/>
      <c r="V458" s="516"/>
      <c r="W458" s="516"/>
      <c r="X458" s="516"/>
      <c r="Y458" s="516"/>
      <c r="Z458" s="516"/>
    </row>
    <row r="459" ht="14.25" customHeight="1">
      <c r="A459" s="516"/>
      <c r="B459" s="516"/>
      <c r="C459" s="517"/>
      <c r="D459" s="517"/>
      <c r="E459" s="517"/>
      <c r="F459" s="516"/>
      <c r="G459" s="516"/>
      <c r="H459" s="516"/>
      <c r="I459" s="516"/>
      <c r="J459" s="516"/>
      <c r="K459" s="516"/>
      <c r="L459" s="516"/>
      <c r="M459" s="516"/>
      <c r="N459" s="516"/>
      <c r="O459" s="516"/>
      <c r="P459" s="516"/>
      <c r="Q459" s="516"/>
      <c r="R459" s="516"/>
      <c r="S459" s="516"/>
      <c r="T459" s="516"/>
      <c r="U459" s="516"/>
      <c r="V459" s="516"/>
      <c r="W459" s="516"/>
      <c r="X459" s="516"/>
      <c r="Y459" s="516"/>
      <c r="Z459" s="516"/>
    </row>
    <row r="460" ht="14.25" customHeight="1">
      <c r="A460" s="516"/>
      <c r="B460" s="516"/>
      <c r="C460" s="517"/>
      <c r="D460" s="517"/>
      <c r="E460" s="517"/>
      <c r="F460" s="516"/>
      <c r="G460" s="516"/>
      <c r="H460" s="516"/>
      <c r="I460" s="516"/>
      <c r="J460" s="516"/>
      <c r="K460" s="516"/>
      <c r="L460" s="516"/>
      <c r="M460" s="516"/>
      <c r="N460" s="516"/>
      <c r="O460" s="516"/>
      <c r="P460" s="516"/>
      <c r="Q460" s="516"/>
      <c r="R460" s="516"/>
      <c r="S460" s="516"/>
      <c r="T460" s="516"/>
      <c r="U460" s="516"/>
      <c r="V460" s="516"/>
      <c r="W460" s="516"/>
      <c r="X460" s="516"/>
      <c r="Y460" s="516"/>
      <c r="Z460" s="516"/>
    </row>
    <row r="461" ht="14.25" customHeight="1">
      <c r="A461" s="516"/>
      <c r="B461" s="516"/>
      <c r="C461" s="517"/>
      <c r="D461" s="517"/>
      <c r="E461" s="517"/>
      <c r="F461" s="516"/>
      <c r="G461" s="516"/>
      <c r="H461" s="516"/>
      <c r="I461" s="516"/>
      <c r="J461" s="516"/>
      <c r="K461" s="516"/>
      <c r="L461" s="516"/>
      <c r="M461" s="516"/>
      <c r="N461" s="516"/>
      <c r="O461" s="516"/>
      <c r="P461" s="516"/>
      <c r="Q461" s="516"/>
      <c r="R461" s="516"/>
      <c r="S461" s="516"/>
      <c r="T461" s="516"/>
      <c r="U461" s="516"/>
      <c r="V461" s="516"/>
      <c r="W461" s="516"/>
      <c r="X461" s="516"/>
      <c r="Y461" s="516"/>
      <c r="Z461" s="516"/>
    </row>
    <row r="462" ht="14.25" customHeight="1">
      <c r="A462" s="516"/>
      <c r="B462" s="516"/>
      <c r="C462" s="517"/>
      <c r="D462" s="517"/>
      <c r="E462" s="517"/>
      <c r="F462" s="516"/>
      <c r="G462" s="516"/>
      <c r="H462" s="516"/>
      <c r="I462" s="516"/>
      <c r="J462" s="516"/>
      <c r="K462" s="516"/>
      <c r="L462" s="516"/>
      <c r="M462" s="516"/>
      <c r="N462" s="516"/>
      <c r="O462" s="516"/>
      <c r="P462" s="516"/>
      <c r="Q462" s="516"/>
      <c r="R462" s="516"/>
      <c r="S462" s="516"/>
      <c r="T462" s="516"/>
      <c r="U462" s="516"/>
      <c r="V462" s="516"/>
      <c r="W462" s="516"/>
      <c r="X462" s="516"/>
      <c r="Y462" s="516"/>
      <c r="Z462" s="516"/>
    </row>
    <row r="463" ht="14.25" customHeight="1">
      <c r="A463" s="516"/>
      <c r="B463" s="516"/>
      <c r="C463" s="517"/>
      <c r="D463" s="517"/>
      <c r="E463" s="517"/>
      <c r="F463" s="516"/>
      <c r="G463" s="516"/>
      <c r="H463" s="516"/>
      <c r="I463" s="516"/>
      <c r="J463" s="516"/>
      <c r="K463" s="516"/>
      <c r="L463" s="516"/>
      <c r="M463" s="516"/>
      <c r="N463" s="516"/>
      <c r="O463" s="516"/>
      <c r="P463" s="516"/>
      <c r="Q463" s="516"/>
      <c r="R463" s="516"/>
      <c r="S463" s="516"/>
      <c r="T463" s="516"/>
      <c r="U463" s="516"/>
      <c r="V463" s="516"/>
      <c r="W463" s="516"/>
      <c r="X463" s="516"/>
      <c r="Y463" s="516"/>
      <c r="Z463" s="516"/>
    </row>
    <row r="464" ht="14.25" customHeight="1">
      <c r="A464" s="516"/>
      <c r="B464" s="516"/>
      <c r="C464" s="517"/>
      <c r="D464" s="517"/>
      <c r="E464" s="517"/>
      <c r="F464" s="516"/>
      <c r="G464" s="516"/>
      <c r="H464" s="516"/>
      <c r="I464" s="516"/>
      <c r="J464" s="516"/>
      <c r="K464" s="516"/>
      <c r="L464" s="516"/>
      <c r="M464" s="516"/>
      <c r="N464" s="516"/>
      <c r="O464" s="516"/>
      <c r="P464" s="516"/>
      <c r="Q464" s="516"/>
      <c r="R464" s="516"/>
      <c r="S464" s="516"/>
      <c r="T464" s="516"/>
      <c r="U464" s="516"/>
      <c r="V464" s="516"/>
      <c r="W464" s="516"/>
      <c r="X464" s="516"/>
      <c r="Y464" s="516"/>
      <c r="Z464" s="516"/>
    </row>
    <row r="465" ht="14.25" customHeight="1">
      <c r="A465" s="516"/>
      <c r="B465" s="516"/>
      <c r="C465" s="517"/>
      <c r="D465" s="517"/>
      <c r="E465" s="517"/>
      <c r="F465" s="516"/>
      <c r="G465" s="516"/>
      <c r="H465" s="516"/>
      <c r="I465" s="516"/>
      <c r="J465" s="516"/>
      <c r="K465" s="516"/>
      <c r="L465" s="516"/>
      <c r="M465" s="516"/>
      <c r="N465" s="516"/>
      <c r="O465" s="516"/>
      <c r="P465" s="516"/>
      <c r="Q465" s="516"/>
      <c r="R465" s="516"/>
      <c r="S465" s="516"/>
      <c r="T465" s="516"/>
      <c r="U465" s="516"/>
      <c r="V465" s="516"/>
      <c r="W465" s="516"/>
      <c r="X465" s="516"/>
      <c r="Y465" s="516"/>
      <c r="Z465" s="516"/>
    </row>
    <row r="466" ht="14.25" customHeight="1">
      <c r="A466" s="516"/>
      <c r="B466" s="516"/>
      <c r="C466" s="517"/>
      <c r="D466" s="517"/>
      <c r="E466" s="517"/>
      <c r="F466" s="516"/>
      <c r="G466" s="516"/>
      <c r="H466" s="516"/>
      <c r="I466" s="516"/>
      <c r="J466" s="516"/>
      <c r="K466" s="516"/>
      <c r="L466" s="516"/>
      <c r="M466" s="516"/>
      <c r="N466" s="516"/>
      <c r="O466" s="516"/>
      <c r="P466" s="516"/>
      <c r="Q466" s="516"/>
      <c r="R466" s="516"/>
      <c r="S466" s="516"/>
      <c r="T466" s="516"/>
      <c r="U466" s="516"/>
      <c r="V466" s="516"/>
      <c r="W466" s="516"/>
      <c r="X466" s="516"/>
      <c r="Y466" s="516"/>
      <c r="Z466" s="516"/>
    </row>
    <row r="467" ht="14.25" customHeight="1">
      <c r="A467" s="516"/>
      <c r="B467" s="516"/>
      <c r="C467" s="517"/>
      <c r="D467" s="517"/>
      <c r="E467" s="517"/>
      <c r="F467" s="516"/>
      <c r="G467" s="516"/>
      <c r="H467" s="516"/>
      <c r="I467" s="516"/>
      <c r="J467" s="516"/>
      <c r="K467" s="516"/>
      <c r="L467" s="516"/>
      <c r="M467" s="516"/>
      <c r="N467" s="516"/>
      <c r="O467" s="516"/>
      <c r="P467" s="516"/>
      <c r="Q467" s="516"/>
      <c r="R467" s="516"/>
      <c r="S467" s="516"/>
      <c r="T467" s="516"/>
      <c r="U467" s="516"/>
      <c r="V467" s="516"/>
      <c r="W467" s="516"/>
      <c r="X467" s="516"/>
      <c r="Y467" s="516"/>
      <c r="Z467" s="516"/>
    </row>
    <row r="468" ht="14.25" customHeight="1">
      <c r="A468" s="516"/>
      <c r="B468" s="516"/>
      <c r="C468" s="517"/>
      <c r="D468" s="517"/>
      <c r="E468" s="517"/>
      <c r="F468" s="516"/>
      <c r="G468" s="516"/>
      <c r="H468" s="516"/>
      <c r="I468" s="516"/>
      <c r="J468" s="516"/>
      <c r="K468" s="516"/>
      <c r="L468" s="516"/>
      <c r="M468" s="516"/>
      <c r="N468" s="516"/>
      <c r="O468" s="516"/>
      <c r="P468" s="516"/>
      <c r="Q468" s="516"/>
      <c r="R468" s="516"/>
      <c r="S468" s="516"/>
      <c r="T468" s="516"/>
      <c r="U468" s="516"/>
      <c r="V468" s="516"/>
      <c r="W468" s="516"/>
      <c r="X468" s="516"/>
      <c r="Y468" s="516"/>
      <c r="Z468" s="516"/>
    </row>
    <row r="469" ht="14.25" customHeight="1">
      <c r="A469" s="516"/>
      <c r="B469" s="516"/>
      <c r="C469" s="517"/>
      <c r="D469" s="517"/>
      <c r="E469" s="517"/>
      <c r="F469" s="516"/>
      <c r="G469" s="516"/>
      <c r="H469" s="516"/>
      <c r="I469" s="516"/>
      <c r="J469" s="516"/>
      <c r="K469" s="516"/>
      <c r="L469" s="516"/>
      <c r="M469" s="516"/>
      <c r="N469" s="516"/>
      <c r="O469" s="516"/>
      <c r="P469" s="516"/>
      <c r="Q469" s="516"/>
      <c r="R469" s="516"/>
      <c r="S469" s="516"/>
      <c r="T469" s="516"/>
      <c r="U469" s="516"/>
      <c r="V469" s="516"/>
      <c r="W469" s="516"/>
      <c r="X469" s="516"/>
      <c r="Y469" s="516"/>
      <c r="Z469" s="516"/>
    </row>
    <row r="470" ht="14.25" customHeight="1">
      <c r="A470" s="516"/>
      <c r="B470" s="516"/>
      <c r="C470" s="517"/>
      <c r="D470" s="517"/>
      <c r="E470" s="517"/>
      <c r="F470" s="516"/>
      <c r="G470" s="516"/>
      <c r="H470" s="516"/>
      <c r="I470" s="516"/>
      <c r="J470" s="516"/>
      <c r="K470" s="516"/>
      <c r="L470" s="516"/>
      <c r="M470" s="516"/>
      <c r="N470" s="516"/>
      <c r="O470" s="516"/>
      <c r="P470" s="516"/>
      <c r="Q470" s="516"/>
      <c r="R470" s="516"/>
      <c r="S470" s="516"/>
      <c r="T470" s="516"/>
      <c r="U470" s="516"/>
      <c r="V470" s="516"/>
      <c r="W470" s="516"/>
      <c r="X470" s="516"/>
      <c r="Y470" s="516"/>
      <c r="Z470" s="516"/>
    </row>
    <row r="471" ht="14.25" customHeight="1">
      <c r="A471" s="516"/>
      <c r="B471" s="516"/>
      <c r="C471" s="517"/>
      <c r="D471" s="517"/>
      <c r="E471" s="517"/>
      <c r="F471" s="516"/>
      <c r="G471" s="516"/>
      <c r="H471" s="516"/>
      <c r="I471" s="516"/>
      <c r="J471" s="516"/>
      <c r="K471" s="516"/>
      <c r="L471" s="516"/>
      <c r="M471" s="516"/>
      <c r="N471" s="516"/>
      <c r="O471" s="516"/>
      <c r="P471" s="516"/>
      <c r="Q471" s="516"/>
      <c r="R471" s="516"/>
      <c r="S471" s="516"/>
      <c r="T471" s="516"/>
      <c r="U471" s="516"/>
      <c r="V471" s="516"/>
      <c r="W471" s="516"/>
      <c r="X471" s="516"/>
      <c r="Y471" s="516"/>
      <c r="Z471" s="516"/>
    </row>
    <row r="472" ht="14.25" customHeight="1">
      <c r="A472" s="516"/>
      <c r="B472" s="516"/>
      <c r="C472" s="517"/>
      <c r="D472" s="517"/>
      <c r="E472" s="517"/>
      <c r="F472" s="516"/>
      <c r="G472" s="516"/>
      <c r="H472" s="516"/>
      <c r="I472" s="516"/>
      <c r="J472" s="516"/>
      <c r="K472" s="516"/>
      <c r="L472" s="516"/>
      <c r="M472" s="516"/>
      <c r="N472" s="516"/>
      <c r="O472" s="516"/>
      <c r="P472" s="516"/>
      <c r="Q472" s="516"/>
      <c r="R472" s="516"/>
      <c r="S472" s="516"/>
      <c r="T472" s="516"/>
      <c r="U472" s="516"/>
      <c r="V472" s="516"/>
      <c r="W472" s="516"/>
      <c r="X472" s="516"/>
      <c r="Y472" s="516"/>
      <c r="Z472" s="516"/>
    </row>
    <row r="473" ht="14.25" customHeight="1">
      <c r="A473" s="516"/>
      <c r="B473" s="516"/>
      <c r="C473" s="517"/>
      <c r="D473" s="517"/>
      <c r="E473" s="517"/>
      <c r="F473" s="516"/>
      <c r="G473" s="516"/>
      <c r="H473" s="516"/>
      <c r="I473" s="516"/>
      <c r="J473" s="516"/>
      <c r="K473" s="516"/>
      <c r="L473" s="516"/>
      <c r="M473" s="516"/>
      <c r="N473" s="516"/>
      <c r="O473" s="516"/>
      <c r="P473" s="516"/>
      <c r="Q473" s="516"/>
      <c r="R473" s="516"/>
      <c r="S473" s="516"/>
      <c r="T473" s="516"/>
      <c r="U473" s="516"/>
      <c r="V473" s="516"/>
      <c r="W473" s="516"/>
      <c r="X473" s="516"/>
      <c r="Y473" s="516"/>
      <c r="Z473" s="516"/>
    </row>
    <row r="474" ht="14.25" customHeight="1">
      <c r="A474" s="516"/>
      <c r="B474" s="516"/>
      <c r="C474" s="517"/>
      <c r="D474" s="517"/>
      <c r="E474" s="517"/>
      <c r="F474" s="516"/>
      <c r="G474" s="516"/>
      <c r="H474" s="516"/>
      <c r="I474" s="516"/>
      <c r="J474" s="516"/>
      <c r="K474" s="516"/>
      <c r="L474" s="516"/>
      <c r="M474" s="516"/>
      <c r="N474" s="516"/>
      <c r="O474" s="516"/>
      <c r="P474" s="516"/>
      <c r="Q474" s="516"/>
      <c r="R474" s="516"/>
      <c r="S474" s="516"/>
      <c r="T474" s="516"/>
      <c r="U474" s="516"/>
      <c r="V474" s="516"/>
      <c r="W474" s="516"/>
      <c r="X474" s="516"/>
      <c r="Y474" s="516"/>
      <c r="Z474" s="516"/>
    </row>
    <row r="475" ht="14.25" customHeight="1">
      <c r="A475" s="516"/>
      <c r="B475" s="516"/>
      <c r="C475" s="517"/>
      <c r="D475" s="517"/>
      <c r="E475" s="517"/>
      <c r="F475" s="516"/>
      <c r="G475" s="516"/>
      <c r="H475" s="516"/>
      <c r="I475" s="516"/>
      <c r="J475" s="516"/>
      <c r="K475" s="516"/>
      <c r="L475" s="516"/>
      <c r="M475" s="516"/>
      <c r="N475" s="516"/>
      <c r="O475" s="516"/>
      <c r="P475" s="516"/>
      <c r="Q475" s="516"/>
      <c r="R475" s="516"/>
      <c r="S475" s="516"/>
      <c r="T475" s="516"/>
      <c r="U475" s="516"/>
      <c r="V475" s="516"/>
      <c r="W475" s="516"/>
      <c r="X475" s="516"/>
      <c r="Y475" s="516"/>
      <c r="Z475" s="516"/>
    </row>
    <row r="476" ht="14.25" customHeight="1">
      <c r="A476" s="516"/>
      <c r="B476" s="516"/>
      <c r="C476" s="517"/>
      <c r="D476" s="517"/>
      <c r="E476" s="517"/>
      <c r="F476" s="516"/>
      <c r="G476" s="516"/>
      <c r="H476" s="516"/>
      <c r="I476" s="516"/>
      <c r="J476" s="516"/>
      <c r="K476" s="516"/>
      <c r="L476" s="516"/>
      <c r="M476" s="516"/>
      <c r="N476" s="516"/>
      <c r="O476" s="516"/>
      <c r="P476" s="516"/>
      <c r="Q476" s="516"/>
      <c r="R476" s="516"/>
      <c r="S476" s="516"/>
      <c r="T476" s="516"/>
      <c r="U476" s="516"/>
      <c r="V476" s="516"/>
      <c r="W476" s="516"/>
      <c r="X476" s="516"/>
      <c r="Y476" s="516"/>
      <c r="Z476" s="516"/>
    </row>
    <row r="477" ht="14.25" customHeight="1">
      <c r="A477" s="516"/>
      <c r="B477" s="516"/>
      <c r="C477" s="517"/>
      <c r="D477" s="517"/>
      <c r="E477" s="517"/>
      <c r="F477" s="516"/>
      <c r="G477" s="516"/>
      <c r="H477" s="516"/>
      <c r="I477" s="516"/>
      <c r="J477" s="516"/>
      <c r="K477" s="516"/>
      <c r="L477" s="516"/>
      <c r="M477" s="516"/>
      <c r="N477" s="516"/>
      <c r="O477" s="516"/>
      <c r="P477" s="516"/>
      <c r="Q477" s="516"/>
      <c r="R477" s="516"/>
      <c r="S477" s="516"/>
      <c r="T477" s="516"/>
      <c r="U477" s="516"/>
      <c r="V477" s="516"/>
      <c r="W477" s="516"/>
      <c r="X477" s="516"/>
      <c r="Y477" s="516"/>
      <c r="Z477" s="516"/>
    </row>
    <row r="478" ht="14.25" customHeight="1">
      <c r="A478" s="516"/>
      <c r="B478" s="516"/>
      <c r="C478" s="517"/>
      <c r="D478" s="517"/>
      <c r="E478" s="517"/>
      <c r="F478" s="516"/>
      <c r="G478" s="516"/>
      <c r="H478" s="516"/>
      <c r="I478" s="516"/>
      <c r="J478" s="516"/>
      <c r="K478" s="516"/>
      <c r="L478" s="516"/>
      <c r="M478" s="516"/>
      <c r="N478" s="516"/>
      <c r="O478" s="516"/>
      <c r="P478" s="516"/>
      <c r="Q478" s="516"/>
      <c r="R478" s="516"/>
      <c r="S478" s="516"/>
      <c r="T478" s="516"/>
      <c r="U478" s="516"/>
      <c r="V478" s="516"/>
      <c r="W478" s="516"/>
      <c r="X478" s="516"/>
      <c r="Y478" s="516"/>
      <c r="Z478" s="516"/>
    </row>
    <row r="479" ht="14.25" customHeight="1">
      <c r="A479" s="516"/>
      <c r="B479" s="516"/>
      <c r="C479" s="517"/>
      <c r="D479" s="517"/>
      <c r="E479" s="517"/>
      <c r="F479" s="516"/>
      <c r="G479" s="516"/>
      <c r="H479" s="516"/>
      <c r="I479" s="516"/>
      <c r="J479" s="516"/>
      <c r="K479" s="516"/>
      <c r="L479" s="516"/>
      <c r="M479" s="516"/>
      <c r="N479" s="516"/>
      <c r="O479" s="516"/>
      <c r="P479" s="516"/>
      <c r="Q479" s="516"/>
      <c r="R479" s="516"/>
      <c r="S479" s="516"/>
      <c r="T479" s="516"/>
      <c r="U479" s="516"/>
      <c r="V479" s="516"/>
      <c r="W479" s="516"/>
      <c r="X479" s="516"/>
      <c r="Y479" s="516"/>
      <c r="Z479" s="516"/>
    </row>
    <row r="480" ht="14.25" customHeight="1">
      <c r="A480" s="516"/>
      <c r="B480" s="516"/>
      <c r="C480" s="517"/>
      <c r="D480" s="517"/>
      <c r="E480" s="517"/>
      <c r="F480" s="516"/>
      <c r="G480" s="516"/>
      <c r="H480" s="516"/>
      <c r="I480" s="516"/>
      <c r="J480" s="516"/>
      <c r="K480" s="516"/>
      <c r="L480" s="516"/>
      <c r="M480" s="516"/>
      <c r="N480" s="516"/>
      <c r="O480" s="516"/>
      <c r="P480" s="516"/>
      <c r="Q480" s="516"/>
      <c r="R480" s="516"/>
      <c r="S480" s="516"/>
      <c r="T480" s="516"/>
      <c r="U480" s="516"/>
      <c r="V480" s="516"/>
      <c r="W480" s="516"/>
      <c r="X480" s="516"/>
      <c r="Y480" s="516"/>
      <c r="Z480" s="516"/>
    </row>
    <row r="481" ht="14.25" customHeight="1">
      <c r="A481" s="516"/>
      <c r="B481" s="516"/>
      <c r="C481" s="517"/>
      <c r="D481" s="517"/>
      <c r="E481" s="517"/>
      <c r="F481" s="516"/>
      <c r="G481" s="516"/>
      <c r="H481" s="516"/>
      <c r="I481" s="516"/>
      <c r="J481" s="516"/>
      <c r="K481" s="516"/>
      <c r="L481" s="516"/>
      <c r="M481" s="516"/>
      <c r="N481" s="516"/>
      <c r="O481" s="516"/>
      <c r="P481" s="516"/>
      <c r="Q481" s="516"/>
      <c r="R481" s="516"/>
      <c r="S481" s="516"/>
      <c r="T481" s="516"/>
      <c r="U481" s="516"/>
      <c r="V481" s="516"/>
      <c r="W481" s="516"/>
      <c r="X481" s="516"/>
      <c r="Y481" s="516"/>
      <c r="Z481" s="516"/>
    </row>
    <row r="482" ht="14.25" customHeight="1">
      <c r="A482" s="516"/>
      <c r="B482" s="516"/>
      <c r="C482" s="517"/>
      <c r="D482" s="517"/>
      <c r="E482" s="517"/>
      <c r="F482" s="516"/>
      <c r="G482" s="516"/>
      <c r="H482" s="516"/>
      <c r="I482" s="516"/>
      <c r="J482" s="516"/>
      <c r="K482" s="516"/>
      <c r="L482" s="516"/>
      <c r="M482" s="516"/>
      <c r="N482" s="516"/>
      <c r="O482" s="516"/>
      <c r="P482" s="516"/>
      <c r="Q482" s="516"/>
      <c r="R482" s="516"/>
      <c r="S482" s="516"/>
      <c r="T482" s="516"/>
      <c r="U482" s="516"/>
      <c r="V482" s="516"/>
      <c r="W482" s="516"/>
      <c r="X482" s="516"/>
      <c r="Y482" s="516"/>
      <c r="Z482" s="516"/>
    </row>
    <row r="483" ht="14.25" customHeight="1">
      <c r="A483" s="516"/>
      <c r="B483" s="516"/>
      <c r="C483" s="517"/>
      <c r="D483" s="517"/>
      <c r="E483" s="517"/>
      <c r="F483" s="516"/>
      <c r="G483" s="516"/>
      <c r="H483" s="516"/>
      <c r="I483" s="516"/>
      <c r="J483" s="516"/>
      <c r="K483" s="516"/>
      <c r="L483" s="516"/>
      <c r="M483" s="516"/>
      <c r="N483" s="516"/>
      <c r="O483" s="516"/>
      <c r="P483" s="516"/>
      <c r="Q483" s="516"/>
      <c r="R483" s="516"/>
      <c r="S483" s="516"/>
      <c r="T483" s="516"/>
      <c r="U483" s="516"/>
      <c r="V483" s="516"/>
      <c r="W483" s="516"/>
      <c r="X483" s="516"/>
      <c r="Y483" s="516"/>
      <c r="Z483" s="516"/>
    </row>
    <row r="484" ht="14.25" customHeight="1">
      <c r="A484" s="516"/>
      <c r="B484" s="516"/>
      <c r="C484" s="517"/>
      <c r="D484" s="517"/>
      <c r="E484" s="517"/>
      <c r="F484" s="516"/>
      <c r="G484" s="516"/>
      <c r="H484" s="516"/>
      <c r="I484" s="516"/>
      <c r="J484" s="516"/>
      <c r="K484" s="516"/>
      <c r="L484" s="516"/>
      <c r="M484" s="516"/>
      <c r="N484" s="516"/>
      <c r="O484" s="516"/>
      <c r="P484" s="516"/>
      <c r="Q484" s="516"/>
      <c r="R484" s="516"/>
      <c r="S484" s="516"/>
      <c r="T484" s="516"/>
      <c r="U484" s="516"/>
      <c r="V484" s="516"/>
      <c r="W484" s="516"/>
      <c r="X484" s="516"/>
      <c r="Y484" s="516"/>
      <c r="Z484" s="516"/>
    </row>
    <row r="485" ht="14.25" customHeight="1">
      <c r="A485" s="516"/>
      <c r="B485" s="516"/>
      <c r="C485" s="517"/>
      <c r="D485" s="517"/>
      <c r="E485" s="517"/>
      <c r="F485" s="516"/>
      <c r="G485" s="516"/>
      <c r="H485" s="516"/>
      <c r="I485" s="516"/>
      <c r="J485" s="516"/>
      <c r="K485" s="516"/>
      <c r="L485" s="516"/>
      <c r="M485" s="516"/>
      <c r="N485" s="516"/>
      <c r="O485" s="516"/>
      <c r="P485" s="516"/>
      <c r="Q485" s="516"/>
      <c r="R485" s="516"/>
      <c r="S485" s="516"/>
      <c r="T485" s="516"/>
      <c r="U485" s="516"/>
      <c r="V485" s="516"/>
      <c r="W485" s="516"/>
      <c r="X485" s="516"/>
      <c r="Y485" s="516"/>
      <c r="Z485" s="516"/>
    </row>
    <row r="486" ht="14.25" customHeight="1">
      <c r="A486" s="516"/>
      <c r="B486" s="516"/>
      <c r="C486" s="517"/>
      <c r="D486" s="517"/>
      <c r="E486" s="517"/>
      <c r="F486" s="516"/>
      <c r="G486" s="516"/>
      <c r="H486" s="516"/>
      <c r="I486" s="516"/>
      <c r="J486" s="516"/>
      <c r="K486" s="516"/>
      <c r="L486" s="516"/>
      <c r="M486" s="516"/>
      <c r="N486" s="516"/>
      <c r="O486" s="516"/>
      <c r="P486" s="516"/>
      <c r="Q486" s="516"/>
      <c r="R486" s="516"/>
      <c r="S486" s="516"/>
      <c r="T486" s="516"/>
      <c r="U486" s="516"/>
      <c r="V486" s="516"/>
      <c r="W486" s="516"/>
      <c r="X486" s="516"/>
      <c r="Y486" s="516"/>
      <c r="Z486" s="516"/>
    </row>
    <row r="487" ht="14.25" customHeight="1">
      <c r="A487" s="516"/>
      <c r="B487" s="516"/>
      <c r="C487" s="517"/>
      <c r="D487" s="517"/>
      <c r="E487" s="517"/>
      <c r="F487" s="516"/>
      <c r="G487" s="516"/>
      <c r="H487" s="516"/>
      <c r="I487" s="516"/>
      <c r="J487" s="516"/>
      <c r="K487" s="516"/>
      <c r="L487" s="516"/>
      <c r="M487" s="516"/>
      <c r="N487" s="516"/>
      <c r="O487" s="516"/>
      <c r="P487" s="516"/>
      <c r="Q487" s="516"/>
      <c r="R487" s="516"/>
      <c r="S487" s="516"/>
      <c r="T487" s="516"/>
      <c r="U487" s="516"/>
      <c r="V487" s="516"/>
      <c r="W487" s="516"/>
      <c r="X487" s="516"/>
      <c r="Y487" s="516"/>
      <c r="Z487" s="516"/>
    </row>
    <row r="488" ht="14.25" customHeight="1">
      <c r="A488" s="516"/>
      <c r="B488" s="516"/>
      <c r="C488" s="517"/>
      <c r="D488" s="517"/>
      <c r="E488" s="517"/>
      <c r="F488" s="516"/>
      <c r="G488" s="516"/>
      <c r="H488" s="516"/>
      <c r="I488" s="516"/>
      <c r="J488" s="516"/>
      <c r="K488" s="516"/>
      <c r="L488" s="516"/>
      <c r="M488" s="516"/>
      <c r="N488" s="516"/>
      <c r="O488" s="516"/>
      <c r="P488" s="516"/>
      <c r="Q488" s="516"/>
      <c r="R488" s="516"/>
      <c r="S488" s="516"/>
      <c r="T488" s="516"/>
      <c r="U488" s="516"/>
      <c r="V488" s="516"/>
      <c r="W488" s="516"/>
      <c r="X488" s="516"/>
      <c r="Y488" s="516"/>
      <c r="Z488" s="516"/>
    </row>
    <row r="489" ht="14.25" customHeight="1">
      <c r="A489" s="516"/>
      <c r="B489" s="516"/>
      <c r="C489" s="517"/>
      <c r="D489" s="517"/>
      <c r="E489" s="517"/>
      <c r="F489" s="516"/>
      <c r="G489" s="516"/>
      <c r="H489" s="516"/>
      <c r="I489" s="516"/>
      <c r="J489" s="516"/>
      <c r="K489" s="516"/>
      <c r="L489" s="516"/>
      <c r="M489" s="516"/>
      <c r="N489" s="516"/>
      <c r="O489" s="516"/>
      <c r="P489" s="516"/>
      <c r="Q489" s="516"/>
      <c r="R489" s="516"/>
      <c r="S489" s="516"/>
      <c r="T489" s="516"/>
      <c r="U489" s="516"/>
      <c r="V489" s="516"/>
      <c r="W489" s="516"/>
      <c r="X489" s="516"/>
      <c r="Y489" s="516"/>
      <c r="Z489" s="516"/>
    </row>
    <row r="490" ht="14.25" customHeight="1">
      <c r="A490" s="516"/>
      <c r="B490" s="516"/>
      <c r="C490" s="517"/>
      <c r="D490" s="517"/>
      <c r="E490" s="517"/>
      <c r="F490" s="516"/>
      <c r="G490" s="516"/>
      <c r="H490" s="516"/>
      <c r="I490" s="516"/>
      <c r="J490" s="516"/>
      <c r="K490" s="516"/>
      <c r="L490" s="516"/>
      <c r="M490" s="516"/>
      <c r="N490" s="516"/>
      <c r="O490" s="516"/>
      <c r="P490" s="516"/>
      <c r="Q490" s="516"/>
      <c r="R490" s="516"/>
      <c r="S490" s="516"/>
      <c r="T490" s="516"/>
      <c r="U490" s="516"/>
      <c r="V490" s="516"/>
      <c r="W490" s="516"/>
      <c r="X490" s="516"/>
      <c r="Y490" s="516"/>
      <c r="Z490" s="516"/>
    </row>
    <row r="491" ht="14.25" customHeight="1">
      <c r="A491" s="516"/>
      <c r="B491" s="516"/>
      <c r="C491" s="517"/>
      <c r="D491" s="517"/>
      <c r="E491" s="517"/>
      <c r="F491" s="516"/>
      <c r="G491" s="516"/>
      <c r="H491" s="516"/>
      <c r="I491" s="516"/>
      <c r="J491" s="516"/>
      <c r="K491" s="516"/>
      <c r="L491" s="516"/>
      <c r="M491" s="516"/>
      <c r="N491" s="516"/>
      <c r="O491" s="516"/>
      <c r="P491" s="516"/>
      <c r="Q491" s="516"/>
      <c r="R491" s="516"/>
      <c r="S491" s="516"/>
      <c r="T491" s="516"/>
      <c r="U491" s="516"/>
      <c r="V491" s="516"/>
      <c r="W491" s="516"/>
      <c r="X491" s="516"/>
      <c r="Y491" s="516"/>
      <c r="Z491" s="516"/>
    </row>
    <row r="492" ht="14.25" customHeight="1">
      <c r="A492" s="516"/>
      <c r="B492" s="516"/>
      <c r="C492" s="517"/>
      <c r="D492" s="517"/>
      <c r="E492" s="517"/>
      <c r="F492" s="516"/>
      <c r="G492" s="516"/>
      <c r="H492" s="516"/>
      <c r="I492" s="516"/>
      <c r="J492" s="516"/>
      <c r="K492" s="516"/>
      <c r="L492" s="516"/>
      <c r="M492" s="516"/>
      <c r="N492" s="516"/>
      <c r="O492" s="516"/>
      <c r="P492" s="516"/>
      <c r="Q492" s="516"/>
      <c r="R492" s="516"/>
      <c r="S492" s="516"/>
      <c r="T492" s="516"/>
      <c r="U492" s="516"/>
      <c r="V492" s="516"/>
      <c r="W492" s="516"/>
      <c r="X492" s="516"/>
      <c r="Y492" s="516"/>
      <c r="Z492" s="516"/>
    </row>
    <row r="493" ht="14.25" customHeight="1">
      <c r="A493" s="516"/>
      <c r="B493" s="516"/>
      <c r="C493" s="517"/>
      <c r="D493" s="517"/>
      <c r="E493" s="517"/>
      <c r="F493" s="516"/>
      <c r="G493" s="516"/>
      <c r="H493" s="516"/>
      <c r="I493" s="516"/>
      <c r="J493" s="516"/>
      <c r="K493" s="516"/>
      <c r="L493" s="516"/>
      <c r="M493" s="516"/>
      <c r="N493" s="516"/>
      <c r="O493" s="516"/>
      <c r="P493" s="516"/>
      <c r="Q493" s="516"/>
      <c r="R493" s="516"/>
      <c r="S493" s="516"/>
      <c r="T493" s="516"/>
      <c r="U493" s="516"/>
      <c r="V493" s="516"/>
      <c r="W493" s="516"/>
      <c r="X493" s="516"/>
      <c r="Y493" s="516"/>
      <c r="Z493" s="516"/>
    </row>
    <row r="494" ht="14.25" customHeight="1">
      <c r="A494" s="516"/>
      <c r="B494" s="516"/>
      <c r="C494" s="517"/>
      <c r="D494" s="517"/>
      <c r="E494" s="517"/>
      <c r="F494" s="516"/>
      <c r="G494" s="516"/>
      <c r="H494" s="516"/>
      <c r="I494" s="516"/>
      <c r="J494" s="516"/>
      <c r="K494" s="516"/>
      <c r="L494" s="516"/>
      <c r="M494" s="516"/>
      <c r="N494" s="516"/>
      <c r="O494" s="516"/>
      <c r="P494" s="516"/>
      <c r="Q494" s="516"/>
      <c r="R494" s="516"/>
      <c r="S494" s="516"/>
      <c r="T494" s="516"/>
      <c r="U494" s="516"/>
      <c r="V494" s="516"/>
      <c r="W494" s="516"/>
      <c r="X494" s="516"/>
      <c r="Y494" s="516"/>
      <c r="Z494" s="516"/>
    </row>
    <row r="495" ht="14.25" customHeight="1">
      <c r="A495" s="516"/>
      <c r="B495" s="516"/>
      <c r="C495" s="517"/>
      <c r="D495" s="517"/>
      <c r="E495" s="517"/>
      <c r="F495" s="516"/>
      <c r="G495" s="516"/>
      <c r="H495" s="516"/>
      <c r="I495" s="516"/>
      <c r="J495" s="516"/>
      <c r="K495" s="516"/>
      <c r="L495" s="516"/>
      <c r="M495" s="516"/>
      <c r="N495" s="516"/>
      <c r="O495" s="516"/>
      <c r="P495" s="516"/>
      <c r="Q495" s="516"/>
      <c r="R495" s="516"/>
      <c r="S495" s="516"/>
      <c r="T495" s="516"/>
      <c r="U495" s="516"/>
      <c r="V495" s="516"/>
      <c r="W495" s="516"/>
      <c r="X495" s="516"/>
      <c r="Y495" s="516"/>
      <c r="Z495" s="516"/>
    </row>
    <row r="496" ht="14.25" customHeight="1">
      <c r="A496" s="516"/>
      <c r="B496" s="516"/>
      <c r="C496" s="517"/>
      <c r="D496" s="517"/>
      <c r="E496" s="517"/>
      <c r="F496" s="516"/>
      <c r="G496" s="516"/>
      <c r="H496" s="516"/>
      <c r="I496" s="516"/>
      <c r="J496" s="516"/>
      <c r="K496" s="516"/>
      <c r="L496" s="516"/>
      <c r="M496" s="516"/>
      <c r="N496" s="516"/>
      <c r="O496" s="516"/>
      <c r="P496" s="516"/>
      <c r="Q496" s="516"/>
      <c r="R496" s="516"/>
      <c r="S496" s="516"/>
      <c r="T496" s="516"/>
      <c r="U496" s="516"/>
      <c r="V496" s="516"/>
      <c r="W496" s="516"/>
      <c r="X496" s="516"/>
      <c r="Y496" s="516"/>
      <c r="Z496" s="516"/>
    </row>
    <row r="497" ht="14.25" customHeight="1">
      <c r="A497" s="516"/>
      <c r="B497" s="516"/>
      <c r="C497" s="517"/>
      <c r="D497" s="517"/>
      <c r="E497" s="517"/>
      <c r="F497" s="516"/>
      <c r="G497" s="516"/>
      <c r="H497" s="516"/>
      <c r="I497" s="516"/>
      <c r="J497" s="516"/>
      <c r="K497" s="516"/>
      <c r="L497" s="516"/>
      <c r="M497" s="516"/>
      <c r="N497" s="516"/>
      <c r="O497" s="516"/>
      <c r="P497" s="516"/>
      <c r="Q497" s="516"/>
      <c r="R497" s="516"/>
      <c r="S497" s="516"/>
      <c r="T497" s="516"/>
      <c r="U497" s="516"/>
      <c r="V497" s="516"/>
      <c r="W497" s="516"/>
      <c r="X497" s="516"/>
      <c r="Y497" s="516"/>
      <c r="Z497" s="516"/>
    </row>
    <row r="498" ht="14.25" customHeight="1">
      <c r="A498" s="516"/>
      <c r="B498" s="516"/>
      <c r="C498" s="517"/>
      <c r="D498" s="517"/>
      <c r="E498" s="517"/>
      <c r="F498" s="516"/>
      <c r="G498" s="516"/>
      <c r="H498" s="516"/>
      <c r="I498" s="516"/>
      <c r="J498" s="516"/>
      <c r="K498" s="516"/>
      <c r="L498" s="516"/>
      <c r="M498" s="516"/>
      <c r="N498" s="516"/>
      <c r="O498" s="516"/>
      <c r="P498" s="516"/>
      <c r="Q498" s="516"/>
      <c r="R498" s="516"/>
      <c r="S498" s="516"/>
      <c r="T498" s="516"/>
      <c r="U498" s="516"/>
      <c r="V498" s="516"/>
      <c r="W498" s="516"/>
      <c r="X498" s="516"/>
      <c r="Y498" s="516"/>
      <c r="Z498" s="516"/>
    </row>
    <row r="499" ht="14.25" customHeight="1">
      <c r="A499" s="516"/>
      <c r="B499" s="516"/>
      <c r="C499" s="517"/>
      <c r="D499" s="517"/>
      <c r="E499" s="517"/>
      <c r="F499" s="516"/>
      <c r="G499" s="516"/>
      <c r="H499" s="516"/>
      <c r="I499" s="516"/>
      <c r="J499" s="516"/>
      <c r="K499" s="516"/>
      <c r="L499" s="516"/>
      <c r="M499" s="516"/>
      <c r="N499" s="516"/>
      <c r="O499" s="516"/>
      <c r="P499" s="516"/>
      <c r="Q499" s="516"/>
      <c r="R499" s="516"/>
      <c r="S499" s="516"/>
      <c r="T499" s="516"/>
      <c r="U499" s="516"/>
      <c r="V499" s="516"/>
      <c r="W499" s="516"/>
      <c r="X499" s="516"/>
      <c r="Y499" s="516"/>
      <c r="Z499" s="516"/>
    </row>
    <row r="500" ht="14.25" customHeight="1">
      <c r="A500" s="516"/>
      <c r="B500" s="516"/>
      <c r="C500" s="517"/>
      <c r="D500" s="517"/>
      <c r="E500" s="517"/>
      <c r="F500" s="516"/>
      <c r="G500" s="516"/>
      <c r="H500" s="516"/>
      <c r="I500" s="516"/>
      <c r="J500" s="516"/>
      <c r="K500" s="516"/>
      <c r="L500" s="516"/>
      <c r="M500" s="516"/>
      <c r="N500" s="516"/>
      <c r="O500" s="516"/>
      <c r="P500" s="516"/>
      <c r="Q500" s="516"/>
      <c r="R500" s="516"/>
      <c r="S500" s="516"/>
      <c r="T500" s="516"/>
      <c r="U500" s="516"/>
      <c r="V500" s="516"/>
      <c r="W500" s="516"/>
      <c r="X500" s="516"/>
      <c r="Y500" s="516"/>
      <c r="Z500" s="516"/>
    </row>
    <row r="501" ht="14.25" customHeight="1">
      <c r="A501" s="516"/>
      <c r="B501" s="516"/>
      <c r="C501" s="517"/>
      <c r="D501" s="517"/>
      <c r="E501" s="517"/>
      <c r="F501" s="516"/>
      <c r="G501" s="516"/>
      <c r="H501" s="516"/>
      <c r="I501" s="516"/>
      <c r="J501" s="516"/>
      <c r="K501" s="516"/>
      <c r="L501" s="516"/>
      <c r="M501" s="516"/>
      <c r="N501" s="516"/>
      <c r="O501" s="516"/>
      <c r="P501" s="516"/>
      <c r="Q501" s="516"/>
      <c r="R501" s="516"/>
      <c r="S501" s="516"/>
      <c r="T501" s="516"/>
      <c r="U501" s="516"/>
      <c r="V501" s="516"/>
      <c r="W501" s="516"/>
      <c r="X501" s="516"/>
      <c r="Y501" s="516"/>
      <c r="Z501" s="516"/>
    </row>
    <row r="502" ht="14.25" customHeight="1">
      <c r="A502" s="516"/>
      <c r="B502" s="516"/>
      <c r="C502" s="517"/>
      <c r="D502" s="517"/>
      <c r="E502" s="517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</row>
    <row r="503" ht="14.25" customHeight="1">
      <c r="A503" s="516"/>
      <c r="B503" s="516"/>
      <c r="C503" s="517"/>
      <c r="D503" s="517"/>
      <c r="E503" s="517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</row>
    <row r="504" ht="14.25" customHeight="1">
      <c r="A504" s="516"/>
      <c r="B504" s="516"/>
      <c r="C504" s="517"/>
      <c r="D504" s="517"/>
      <c r="E504" s="517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</row>
    <row r="505" ht="14.25" customHeight="1">
      <c r="A505" s="516"/>
      <c r="B505" s="516"/>
      <c r="C505" s="517"/>
      <c r="D505" s="517"/>
      <c r="E505" s="517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</row>
    <row r="506" ht="14.25" customHeight="1">
      <c r="A506" s="516"/>
      <c r="B506" s="516"/>
      <c r="C506" s="517"/>
      <c r="D506" s="517"/>
      <c r="E506" s="517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</row>
    <row r="507" ht="14.25" customHeight="1">
      <c r="A507" s="516"/>
      <c r="B507" s="516"/>
      <c r="C507" s="517"/>
      <c r="D507" s="517"/>
      <c r="E507" s="517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</row>
    <row r="508" ht="14.25" customHeight="1">
      <c r="A508" s="516"/>
      <c r="B508" s="516"/>
      <c r="C508" s="517"/>
      <c r="D508" s="517"/>
      <c r="E508" s="517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</row>
    <row r="509" ht="14.25" customHeight="1">
      <c r="A509" s="516"/>
      <c r="B509" s="516"/>
      <c r="C509" s="517"/>
      <c r="D509" s="517"/>
      <c r="E509" s="517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</row>
    <row r="510" ht="14.25" customHeight="1">
      <c r="A510" s="516"/>
      <c r="B510" s="516"/>
      <c r="C510" s="517"/>
      <c r="D510" s="517"/>
      <c r="E510" s="517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</row>
    <row r="511" ht="14.25" customHeight="1">
      <c r="A511" s="516"/>
      <c r="B511" s="516"/>
      <c r="C511" s="517"/>
      <c r="D511" s="517"/>
      <c r="E511" s="517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</row>
    <row r="512" ht="14.25" customHeight="1">
      <c r="A512" s="516"/>
      <c r="B512" s="516"/>
      <c r="C512" s="517"/>
      <c r="D512" s="517"/>
      <c r="E512" s="517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</row>
    <row r="513" ht="14.25" customHeight="1">
      <c r="A513" s="516"/>
      <c r="B513" s="516"/>
      <c r="C513" s="517"/>
      <c r="D513" s="517"/>
      <c r="E513" s="517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</row>
    <row r="514" ht="14.25" customHeight="1">
      <c r="A514" s="516"/>
      <c r="B514" s="516"/>
      <c r="C514" s="517"/>
      <c r="D514" s="517"/>
      <c r="E514" s="517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</row>
    <row r="515" ht="14.25" customHeight="1">
      <c r="A515" s="516"/>
      <c r="B515" s="516"/>
      <c r="C515" s="517"/>
      <c r="D515" s="517"/>
      <c r="E515" s="517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</row>
    <row r="516" ht="14.25" customHeight="1">
      <c r="A516" s="516"/>
      <c r="B516" s="516"/>
      <c r="C516" s="517"/>
      <c r="D516" s="517"/>
      <c r="E516" s="517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</row>
    <row r="517" ht="14.25" customHeight="1">
      <c r="A517" s="516"/>
      <c r="B517" s="516"/>
      <c r="C517" s="517"/>
      <c r="D517" s="517"/>
      <c r="E517" s="517"/>
      <c r="F517" s="516"/>
      <c r="G517" s="516"/>
      <c r="H517" s="516"/>
      <c r="I517" s="516"/>
      <c r="J517" s="516"/>
      <c r="K517" s="516"/>
      <c r="L517" s="516"/>
      <c r="M517" s="516"/>
      <c r="N517" s="516"/>
      <c r="O517" s="516"/>
      <c r="P517" s="516"/>
      <c r="Q517" s="516"/>
      <c r="R517" s="516"/>
      <c r="S517" s="516"/>
      <c r="T517" s="516"/>
      <c r="U517" s="516"/>
      <c r="V517" s="516"/>
      <c r="W517" s="516"/>
      <c r="X517" s="516"/>
      <c r="Y517" s="516"/>
      <c r="Z517" s="516"/>
    </row>
    <row r="518" ht="14.25" customHeight="1">
      <c r="A518" s="516"/>
      <c r="B518" s="516"/>
      <c r="C518" s="517"/>
      <c r="D518" s="517"/>
      <c r="E518" s="517"/>
      <c r="F518" s="516"/>
      <c r="G518" s="516"/>
      <c r="H518" s="516"/>
      <c r="I518" s="516"/>
      <c r="J518" s="516"/>
      <c r="K518" s="516"/>
      <c r="L518" s="516"/>
      <c r="M518" s="516"/>
      <c r="N518" s="516"/>
      <c r="O518" s="516"/>
      <c r="P518" s="516"/>
      <c r="Q518" s="516"/>
      <c r="R518" s="516"/>
      <c r="S518" s="516"/>
      <c r="T518" s="516"/>
      <c r="U518" s="516"/>
      <c r="V518" s="516"/>
      <c r="W518" s="516"/>
      <c r="X518" s="516"/>
      <c r="Y518" s="516"/>
      <c r="Z518" s="516"/>
    </row>
    <row r="519" ht="14.25" customHeight="1">
      <c r="A519" s="516"/>
      <c r="B519" s="516"/>
      <c r="C519" s="517"/>
      <c r="D519" s="517"/>
      <c r="E519" s="517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</row>
    <row r="520" ht="14.25" customHeight="1">
      <c r="A520" s="516"/>
      <c r="B520" s="516"/>
      <c r="C520" s="517"/>
      <c r="D520" s="517"/>
      <c r="E520" s="517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</row>
    <row r="521" ht="14.25" customHeight="1">
      <c r="A521" s="516"/>
      <c r="B521" s="516"/>
      <c r="C521" s="517"/>
      <c r="D521" s="517"/>
      <c r="E521" s="517"/>
      <c r="F521" s="516"/>
      <c r="G521" s="516"/>
      <c r="H521" s="516"/>
      <c r="I521" s="516"/>
      <c r="J521" s="516"/>
      <c r="K521" s="516"/>
      <c r="L521" s="516"/>
      <c r="M521" s="516"/>
      <c r="N521" s="516"/>
      <c r="O521" s="516"/>
      <c r="P521" s="516"/>
      <c r="Q521" s="516"/>
      <c r="R521" s="516"/>
      <c r="S521" s="516"/>
      <c r="T521" s="516"/>
      <c r="U521" s="516"/>
      <c r="V521" s="516"/>
      <c r="W521" s="516"/>
      <c r="X521" s="516"/>
      <c r="Y521" s="516"/>
      <c r="Z521" s="516"/>
    </row>
    <row r="522" ht="14.25" customHeight="1">
      <c r="A522" s="516"/>
      <c r="B522" s="516"/>
      <c r="C522" s="517"/>
      <c r="D522" s="517"/>
      <c r="E522" s="517"/>
      <c r="F522" s="516"/>
      <c r="G522" s="516"/>
      <c r="H522" s="516"/>
      <c r="I522" s="516"/>
      <c r="J522" s="516"/>
      <c r="K522" s="516"/>
      <c r="L522" s="516"/>
      <c r="M522" s="516"/>
      <c r="N522" s="516"/>
      <c r="O522" s="516"/>
      <c r="P522" s="516"/>
      <c r="Q522" s="516"/>
      <c r="R522" s="516"/>
      <c r="S522" s="516"/>
      <c r="T522" s="516"/>
      <c r="U522" s="516"/>
      <c r="V522" s="516"/>
      <c r="W522" s="516"/>
      <c r="X522" s="516"/>
      <c r="Y522" s="516"/>
      <c r="Z522" s="516"/>
    </row>
    <row r="523" ht="14.25" customHeight="1">
      <c r="A523" s="516"/>
      <c r="B523" s="516"/>
      <c r="C523" s="517"/>
      <c r="D523" s="517"/>
      <c r="E523" s="517"/>
      <c r="F523" s="516"/>
      <c r="G523" s="516"/>
      <c r="H523" s="516"/>
      <c r="I523" s="516"/>
      <c r="J523" s="516"/>
      <c r="K523" s="516"/>
      <c r="L523" s="516"/>
      <c r="M523" s="516"/>
      <c r="N523" s="516"/>
      <c r="O523" s="516"/>
      <c r="P523" s="516"/>
      <c r="Q523" s="516"/>
      <c r="R523" s="516"/>
      <c r="S523" s="516"/>
      <c r="T523" s="516"/>
      <c r="U523" s="516"/>
      <c r="V523" s="516"/>
      <c r="W523" s="516"/>
      <c r="X523" s="516"/>
      <c r="Y523" s="516"/>
      <c r="Z523" s="516"/>
    </row>
    <row r="524" ht="14.25" customHeight="1">
      <c r="A524" s="516"/>
      <c r="B524" s="516"/>
      <c r="C524" s="517"/>
      <c r="D524" s="517"/>
      <c r="E524" s="517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</row>
    <row r="525" ht="14.25" customHeight="1">
      <c r="A525" s="516"/>
      <c r="B525" s="516"/>
      <c r="C525" s="517"/>
      <c r="D525" s="517"/>
      <c r="E525" s="517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</row>
    <row r="526" ht="14.25" customHeight="1">
      <c r="A526" s="516"/>
      <c r="B526" s="516"/>
      <c r="C526" s="517"/>
      <c r="D526" s="517"/>
      <c r="E526" s="517"/>
      <c r="F526" s="516"/>
      <c r="G526" s="516"/>
      <c r="H526" s="516"/>
      <c r="I526" s="516"/>
      <c r="J526" s="516"/>
      <c r="K526" s="516"/>
      <c r="L526" s="516"/>
      <c r="M526" s="516"/>
      <c r="N526" s="516"/>
      <c r="O526" s="516"/>
      <c r="P526" s="516"/>
      <c r="Q526" s="516"/>
      <c r="R526" s="516"/>
      <c r="S526" s="516"/>
      <c r="T526" s="516"/>
      <c r="U526" s="516"/>
      <c r="V526" s="516"/>
      <c r="W526" s="516"/>
      <c r="X526" s="516"/>
      <c r="Y526" s="516"/>
      <c r="Z526" s="516"/>
    </row>
    <row r="527" ht="14.25" customHeight="1">
      <c r="A527" s="516"/>
      <c r="B527" s="516"/>
      <c r="C527" s="517"/>
      <c r="D527" s="517"/>
      <c r="E527" s="517"/>
      <c r="F527" s="516"/>
      <c r="G527" s="516"/>
      <c r="H527" s="516"/>
      <c r="I527" s="516"/>
      <c r="J527" s="516"/>
      <c r="K527" s="516"/>
      <c r="L527" s="516"/>
      <c r="M527" s="516"/>
      <c r="N527" s="516"/>
      <c r="O527" s="516"/>
      <c r="P527" s="516"/>
      <c r="Q527" s="516"/>
      <c r="R527" s="516"/>
      <c r="S527" s="516"/>
      <c r="T527" s="516"/>
      <c r="U527" s="516"/>
      <c r="V527" s="516"/>
      <c r="W527" s="516"/>
      <c r="X527" s="516"/>
      <c r="Y527" s="516"/>
      <c r="Z527" s="516"/>
    </row>
    <row r="528" ht="14.25" customHeight="1">
      <c r="A528" s="516"/>
      <c r="B528" s="516"/>
      <c r="C528" s="517"/>
      <c r="D528" s="517"/>
      <c r="E528" s="517"/>
      <c r="F528" s="516"/>
      <c r="G528" s="516"/>
      <c r="H528" s="516"/>
      <c r="I528" s="516"/>
      <c r="J528" s="516"/>
      <c r="K528" s="516"/>
      <c r="L528" s="516"/>
      <c r="M528" s="516"/>
      <c r="N528" s="516"/>
      <c r="O528" s="516"/>
      <c r="P528" s="516"/>
      <c r="Q528" s="516"/>
      <c r="R528" s="516"/>
      <c r="S528" s="516"/>
      <c r="T528" s="516"/>
      <c r="U528" s="516"/>
      <c r="V528" s="516"/>
      <c r="W528" s="516"/>
      <c r="X528" s="516"/>
      <c r="Y528" s="516"/>
      <c r="Z528" s="516"/>
    </row>
    <row r="529" ht="14.25" customHeight="1">
      <c r="A529" s="516"/>
      <c r="B529" s="516"/>
      <c r="C529" s="517"/>
      <c r="D529" s="517"/>
      <c r="E529" s="517"/>
      <c r="F529" s="516"/>
      <c r="G529" s="516"/>
      <c r="H529" s="516"/>
      <c r="I529" s="516"/>
      <c r="J529" s="516"/>
      <c r="K529" s="516"/>
      <c r="L529" s="516"/>
      <c r="M529" s="516"/>
      <c r="N529" s="516"/>
      <c r="O529" s="516"/>
      <c r="P529" s="516"/>
      <c r="Q529" s="516"/>
      <c r="R529" s="516"/>
      <c r="S529" s="516"/>
      <c r="T529" s="516"/>
      <c r="U529" s="516"/>
      <c r="V529" s="516"/>
      <c r="W529" s="516"/>
      <c r="X529" s="516"/>
      <c r="Y529" s="516"/>
      <c r="Z529" s="516"/>
    </row>
    <row r="530" ht="14.25" customHeight="1">
      <c r="A530" s="516"/>
      <c r="B530" s="516"/>
      <c r="C530" s="517"/>
      <c r="D530" s="517"/>
      <c r="E530" s="517"/>
      <c r="F530" s="516"/>
      <c r="G530" s="516"/>
      <c r="H530" s="516"/>
      <c r="I530" s="516"/>
      <c r="J530" s="516"/>
      <c r="K530" s="516"/>
      <c r="L530" s="516"/>
      <c r="M530" s="516"/>
      <c r="N530" s="516"/>
      <c r="O530" s="516"/>
      <c r="P530" s="516"/>
      <c r="Q530" s="516"/>
      <c r="R530" s="516"/>
      <c r="S530" s="516"/>
      <c r="T530" s="516"/>
      <c r="U530" s="516"/>
      <c r="V530" s="516"/>
      <c r="W530" s="516"/>
      <c r="X530" s="516"/>
      <c r="Y530" s="516"/>
      <c r="Z530" s="516"/>
    </row>
    <row r="531" ht="14.25" customHeight="1">
      <c r="A531" s="516"/>
      <c r="B531" s="516"/>
      <c r="C531" s="517"/>
      <c r="D531" s="517"/>
      <c r="E531" s="517"/>
      <c r="F531" s="516"/>
      <c r="G531" s="516"/>
      <c r="H531" s="516"/>
      <c r="I531" s="516"/>
      <c r="J531" s="516"/>
      <c r="K531" s="516"/>
      <c r="L531" s="516"/>
      <c r="M531" s="516"/>
      <c r="N531" s="516"/>
      <c r="O531" s="516"/>
      <c r="P531" s="516"/>
      <c r="Q531" s="516"/>
      <c r="R531" s="516"/>
      <c r="S531" s="516"/>
      <c r="T531" s="516"/>
      <c r="U531" s="516"/>
      <c r="V531" s="516"/>
      <c r="W531" s="516"/>
      <c r="X531" s="516"/>
      <c r="Y531" s="516"/>
      <c r="Z531" s="516"/>
    </row>
    <row r="532" ht="14.25" customHeight="1">
      <c r="A532" s="516"/>
      <c r="B532" s="516"/>
      <c r="C532" s="517"/>
      <c r="D532" s="517"/>
      <c r="E532" s="517"/>
      <c r="F532" s="516"/>
      <c r="G532" s="516"/>
      <c r="H532" s="516"/>
      <c r="I532" s="516"/>
      <c r="J532" s="516"/>
      <c r="K532" s="516"/>
      <c r="L532" s="516"/>
      <c r="M532" s="516"/>
      <c r="N532" s="516"/>
      <c r="O532" s="516"/>
      <c r="P532" s="516"/>
      <c r="Q532" s="516"/>
      <c r="R532" s="516"/>
      <c r="S532" s="516"/>
      <c r="T532" s="516"/>
      <c r="U532" s="516"/>
      <c r="V532" s="516"/>
      <c r="W532" s="516"/>
      <c r="X532" s="516"/>
      <c r="Y532" s="516"/>
      <c r="Z532" s="516"/>
    </row>
    <row r="533" ht="14.25" customHeight="1">
      <c r="A533" s="516"/>
      <c r="B533" s="516"/>
      <c r="C533" s="517"/>
      <c r="D533" s="517"/>
      <c r="E533" s="517"/>
      <c r="F533" s="516"/>
      <c r="G533" s="516"/>
      <c r="H533" s="516"/>
      <c r="I533" s="516"/>
      <c r="J533" s="516"/>
      <c r="K533" s="516"/>
      <c r="L533" s="516"/>
      <c r="M533" s="516"/>
      <c r="N533" s="516"/>
      <c r="O533" s="516"/>
      <c r="P533" s="516"/>
      <c r="Q533" s="516"/>
      <c r="R533" s="516"/>
      <c r="S533" s="516"/>
      <c r="T533" s="516"/>
      <c r="U533" s="516"/>
      <c r="V533" s="516"/>
      <c r="W533" s="516"/>
      <c r="X533" s="516"/>
      <c r="Y533" s="516"/>
      <c r="Z533" s="516"/>
    </row>
    <row r="534" ht="14.25" customHeight="1">
      <c r="A534" s="516"/>
      <c r="B534" s="516"/>
      <c r="C534" s="517"/>
      <c r="D534" s="517"/>
      <c r="E534" s="517"/>
      <c r="F534" s="516"/>
      <c r="G534" s="516"/>
      <c r="H534" s="516"/>
      <c r="I534" s="516"/>
      <c r="J534" s="516"/>
      <c r="K534" s="516"/>
      <c r="L534" s="516"/>
      <c r="M534" s="516"/>
      <c r="N534" s="516"/>
      <c r="O534" s="516"/>
      <c r="P534" s="516"/>
      <c r="Q534" s="516"/>
      <c r="R534" s="516"/>
      <c r="S534" s="516"/>
      <c r="T534" s="516"/>
      <c r="U534" s="516"/>
      <c r="V534" s="516"/>
      <c r="W534" s="516"/>
      <c r="X534" s="516"/>
      <c r="Y534" s="516"/>
      <c r="Z534" s="516"/>
    </row>
    <row r="535" ht="14.25" customHeight="1">
      <c r="A535" s="516"/>
      <c r="B535" s="516"/>
      <c r="C535" s="517"/>
      <c r="D535" s="517"/>
      <c r="E535" s="517"/>
      <c r="F535" s="516"/>
      <c r="G535" s="516"/>
      <c r="H535" s="516"/>
      <c r="I535" s="516"/>
      <c r="J535" s="516"/>
      <c r="K535" s="516"/>
      <c r="L535" s="516"/>
      <c r="M535" s="516"/>
      <c r="N535" s="516"/>
      <c r="O535" s="516"/>
      <c r="P535" s="516"/>
      <c r="Q535" s="516"/>
      <c r="R535" s="516"/>
      <c r="S535" s="516"/>
      <c r="T535" s="516"/>
      <c r="U535" s="516"/>
      <c r="V535" s="516"/>
      <c r="W535" s="516"/>
      <c r="X535" s="516"/>
      <c r="Y535" s="516"/>
      <c r="Z535" s="516"/>
    </row>
    <row r="536" ht="14.25" customHeight="1">
      <c r="A536" s="516"/>
      <c r="B536" s="516"/>
      <c r="C536" s="517"/>
      <c r="D536" s="517"/>
      <c r="E536" s="517"/>
      <c r="F536" s="516"/>
      <c r="G536" s="516"/>
      <c r="H536" s="516"/>
      <c r="I536" s="516"/>
      <c r="J536" s="516"/>
      <c r="K536" s="516"/>
      <c r="L536" s="516"/>
      <c r="M536" s="516"/>
      <c r="N536" s="516"/>
      <c r="O536" s="516"/>
      <c r="P536" s="516"/>
      <c r="Q536" s="516"/>
      <c r="R536" s="516"/>
      <c r="S536" s="516"/>
      <c r="T536" s="516"/>
      <c r="U536" s="516"/>
      <c r="V536" s="516"/>
      <c r="W536" s="516"/>
      <c r="X536" s="516"/>
      <c r="Y536" s="516"/>
      <c r="Z536" s="516"/>
    </row>
    <row r="537" ht="14.25" customHeight="1">
      <c r="A537" s="516"/>
      <c r="B537" s="516"/>
      <c r="C537" s="517"/>
      <c r="D537" s="517"/>
      <c r="E537" s="517"/>
      <c r="F537" s="516"/>
      <c r="G537" s="516"/>
      <c r="H537" s="516"/>
      <c r="I537" s="516"/>
      <c r="J537" s="516"/>
      <c r="K537" s="516"/>
      <c r="L537" s="516"/>
      <c r="M537" s="516"/>
      <c r="N537" s="516"/>
      <c r="O537" s="516"/>
      <c r="P537" s="516"/>
      <c r="Q537" s="516"/>
      <c r="R537" s="516"/>
      <c r="S537" s="516"/>
      <c r="T537" s="516"/>
      <c r="U537" s="516"/>
      <c r="V537" s="516"/>
      <c r="W537" s="516"/>
      <c r="X537" s="516"/>
      <c r="Y537" s="516"/>
      <c r="Z537" s="516"/>
    </row>
    <row r="538" ht="14.25" customHeight="1">
      <c r="A538" s="516"/>
      <c r="B538" s="516"/>
      <c r="C538" s="517"/>
      <c r="D538" s="517"/>
      <c r="E538" s="517"/>
      <c r="F538" s="516"/>
      <c r="G538" s="516"/>
      <c r="H538" s="516"/>
      <c r="I538" s="516"/>
      <c r="J538" s="516"/>
      <c r="K538" s="516"/>
      <c r="L538" s="516"/>
      <c r="M538" s="516"/>
      <c r="N538" s="516"/>
      <c r="O538" s="516"/>
      <c r="P538" s="516"/>
      <c r="Q538" s="516"/>
      <c r="R538" s="516"/>
      <c r="S538" s="516"/>
      <c r="T538" s="516"/>
      <c r="U538" s="516"/>
      <c r="V538" s="516"/>
      <c r="W538" s="516"/>
      <c r="X538" s="516"/>
      <c r="Y538" s="516"/>
      <c r="Z538" s="516"/>
    </row>
    <row r="539" ht="14.25" customHeight="1">
      <c r="A539" s="516"/>
      <c r="B539" s="516"/>
      <c r="C539" s="517"/>
      <c r="D539" s="517"/>
      <c r="E539" s="517"/>
      <c r="F539" s="516"/>
      <c r="G539" s="516"/>
      <c r="H539" s="516"/>
      <c r="I539" s="516"/>
      <c r="J539" s="516"/>
      <c r="K539" s="516"/>
      <c r="L539" s="516"/>
      <c r="M539" s="516"/>
      <c r="N539" s="516"/>
      <c r="O539" s="516"/>
      <c r="P539" s="516"/>
      <c r="Q539" s="516"/>
      <c r="R539" s="516"/>
      <c r="S539" s="516"/>
      <c r="T539" s="516"/>
      <c r="U539" s="516"/>
      <c r="V539" s="516"/>
      <c r="W539" s="516"/>
      <c r="X539" s="516"/>
      <c r="Y539" s="516"/>
      <c r="Z539" s="516"/>
    </row>
    <row r="540" ht="14.25" customHeight="1">
      <c r="A540" s="516"/>
      <c r="B540" s="516"/>
      <c r="C540" s="517"/>
      <c r="D540" s="517"/>
      <c r="E540" s="517"/>
      <c r="F540" s="516"/>
      <c r="G540" s="516"/>
      <c r="H540" s="516"/>
      <c r="I540" s="516"/>
      <c r="J540" s="516"/>
      <c r="K540" s="516"/>
      <c r="L540" s="516"/>
      <c r="M540" s="516"/>
      <c r="N540" s="516"/>
      <c r="O540" s="516"/>
      <c r="P540" s="516"/>
      <c r="Q540" s="516"/>
      <c r="R540" s="516"/>
      <c r="S540" s="516"/>
      <c r="T540" s="516"/>
      <c r="U540" s="516"/>
      <c r="V540" s="516"/>
      <c r="W540" s="516"/>
      <c r="X540" s="516"/>
      <c r="Y540" s="516"/>
      <c r="Z540" s="516"/>
    </row>
    <row r="541" ht="14.25" customHeight="1">
      <c r="A541" s="516"/>
      <c r="B541" s="516"/>
      <c r="C541" s="517"/>
      <c r="D541" s="517"/>
      <c r="E541" s="517"/>
      <c r="F541" s="516"/>
      <c r="G541" s="516"/>
      <c r="H541" s="516"/>
      <c r="I541" s="516"/>
      <c r="J541" s="516"/>
      <c r="K541" s="516"/>
      <c r="L541" s="516"/>
      <c r="M541" s="516"/>
      <c r="N541" s="516"/>
      <c r="O541" s="516"/>
      <c r="P541" s="516"/>
      <c r="Q541" s="516"/>
      <c r="R541" s="516"/>
      <c r="S541" s="516"/>
      <c r="T541" s="516"/>
      <c r="U541" s="516"/>
      <c r="V541" s="516"/>
      <c r="W541" s="516"/>
      <c r="X541" s="516"/>
      <c r="Y541" s="516"/>
      <c r="Z541" s="516"/>
    </row>
    <row r="542" ht="14.25" customHeight="1">
      <c r="A542" s="516"/>
      <c r="B542" s="516"/>
      <c r="C542" s="517"/>
      <c r="D542" s="517"/>
      <c r="E542" s="517"/>
      <c r="F542" s="516"/>
      <c r="G542" s="516"/>
      <c r="H542" s="516"/>
      <c r="I542" s="516"/>
      <c r="J542" s="516"/>
      <c r="K542" s="516"/>
      <c r="L542" s="516"/>
      <c r="M542" s="516"/>
      <c r="N542" s="516"/>
      <c r="O542" s="516"/>
      <c r="P542" s="516"/>
      <c r="Q542" s="516"/>
      <c r="R542" s="516"/>
      <c r="S542" s="516"/>
      <c r="T542" s="516"/>
      <c r="U542" s="516"/>
      <c r="V542" s="516"/>
      <c r="W542" s="516"/>
      <c r="X542" s="516"/>
      <c r="Y542" s="516"/>
      <c r="Z542" s="516"/>
    </row>
    <row r="543" ht="14.25" customHeight="1">
      <c r="A543" s="516"/>
      <c r="B543" s="516"/>
      <c r="C543" s="517"/>
      <c r="D543" s="517"/>
      <c r="E543" s="517"/>
      <c r="F543" s="516"/>
      <c r="G543" s="516"/>
      <c r="H543" s="516"/>
      <c r="I543" s="516"/>
      <c r="J543" s="516"/>
      <c r="K543" s="516"/>
      <c r="L543" s="516"/>
      <c r="M543" s="516"/>
      <c r="N543" s="516"/>
      <c r="O543" s="516"/>
      <c r="P543" s="516"/>
      <c r="Q543" s="516"/>
      <c r="R543" s="516"/>
      <c r="S543" s="516"/>
      <c r="T543" s="516"/>
      <c r="U543" s="516"/>
      <c r="V543" s="516"/>
      <c r="W543" s="516"/>
      <c r="X543" s="516"/>
      <c r="Y543" s="516"/>
      <c r="Z543" s="516"/>
    </row>
    <row r="544" ht="14.25" customHeight="1">
      <c r="A544" s="516"/>
      <c r="B544" s="516"/>
      <c r="C544" s="517"/>
      <c r="D544" s="517"/>
      <c r="E544" s="517"/>
      <c r="F544" s="516"/>
      <c r="G544" s="516"/>
      <c r="H544" s="516"/>
      <c r="I544" s="516"/>
      <c r="J544" s="516"/>
      <c r="K544" s="516"/>
      <c r="L544" s="516"/>
      <c r="M544" s="516"/>
      <c r="N544" s="516"/>
      <c r="O544" s="516"/>
      <c r="P544" s="516"/>
      <c r="Q544" s="516"/>
      <c r="R544" s="516"/>
      <c r="S544" s="516"/>
      <c r="T544" s="516"/>
      <c r="U544" s="516"/>
      <c r="V544" s="516"/>
      <c r="W544" s="516"/>
      <c r="X544" s="516"/>
      <c r="Y544" s="516"/>
      <c r="Z544" s="516"/>
    </row>
    <row r="545" ht="14.25" customHeight="1">
      <c r="A545" s="516"/>
      <c r="B545" s="516"/>
      <c r="C545" s="517"/>
      <c r="D545" s="517"/>
      <c r="E545" s="517"/>
      <c r="F545" s="516"/>
      <c r="G545" s="516"/>
      <c r="H545" s="516"/>
      <c r="I545" s="516"/>
      <c r="J545" s="516"/>
      <c r="K545" s="516"/>
      <c r="L545" s="516"/>
      <c r="M545" s="516"/>
      <c r="N545" s="516"/>
      <c r="O545" s="516"/>
      <c r="P545" s="516"/>
      <c r="Q545" s="516"/>
      <c r="R545" s="516"/>
      <c r="S545" s="516"/>
      <c r="T545" s="516"/>
      <c r="U545" s="516"/>
      <c r="V545" s="516"/>
      <c r="W545" s="516"/>
      <c r="X545" s="516"/>
      <c r="Y545" s="516"/>
      <c r="Z545" s="516"/>
    </row>
    <row r="546" ht="14.25" customHeight="1">
      <c r="A546" s="516"/>
      <c r="B546" s="516"/>
      <c r="C546" s="517"/>
      <c r="D546" s="517"/>
      <c r="E546" s="517"/>
      <c r="F546" s="516"/>
      <c r="G546" s="516"/>
      <c r="H546" s="516"/>
      <c r="I546" s="516"/>
      <c r="J546" s="516"/>
      <c r="K546" s="516"/>
      <c r="L546" s="516"/>
      <c r="M546" s="516"/>
      <c r="N546" s="516"/>
      <c r="O546" s="516"/>
      <c r="P546" s="516"/>
      <c r="Q546" s="516"/>
      <c r="R546" s="516"/>
      <c r="S546" s="516"/>
      <c r="T546" s="516"/>
      <c r="U546" s="516"/>
      <c r="V546" s="516"/>
      <c r="W546" s="516"/>
      <c r="X546" s="516"/>
      <c r="Y546" s="516"/>
      <c r="Z546" s="516"/>
    </row>
    <row r="547" ht="14.25" customHeight="1">
      <c r="A547" s="516"/>
      <c r="B547" s="516"/>
      <c r="C547" s="517"/>
      <c r="D547" s="517"/>
      <c r="E547" s="517"/>
      <c r="F547" s="516"/>
      <c r="G547" s="516"/>
      <c r="H547" s="516"/>
      <c r="I547" s="516"/>
      <c r="J547" s="516"/>
      <c r="K547" s="516"/>
      <c r="L547" s="516"/>
      <c r="M547" s="516"/>
      <c r="N547" s="516"/>
      <c r="O547" s="516"/>
      <c r="P547" s="516"/>
      <c r="Q547" s="516"/>
      <c r="R547" s="516"/>
      <c r="S547" s="516"/>
      <c r="T547" s="516"/>
      <c r="U547" s="516"/>
      <c r="V547" s="516"/>
      <c r="W547" s="516"/>
      <c r="X547" s="516"/>
      <c r="Y547" s="516"/>
      <c r="Z547" s="516"/>
    </row>
    <row r="548" ht="14.25" customHeight="1">
      <c r="A548" s="516"/>
      <c r="B548" s="516"/>
      <c r="C548" s="517"/>
      <c r="D548" s="517"/>
      <c r="E548" s="517"/>
      <c r="F548" s="516"/>
      <c r="G548" s="516"/>
      <c r="H548" s="516"/>
      <c r="I548" s="516"/>
      <c r="J548" s="516"/>
      <c r="K548" s="516"/>
      <c r="L548" s="516"/>
      <c r="M548" s="516"/>
      <c r="N548" s="516"/>
      <c r="O548" s="516"/>
      <c r="P548" s="516"/>
      <c r="Q548" s="516"/>
      <c r="R548" s="516"/>
      <c r="S548" s="516"/>
      <c r="T548" s="516"/>
      <c r="U548" s="516"/>
      <c r="V548" s="516"/>
      <c r="W548" s="516"/>
      <c r="X548" s="516"/>
      <c r="Y548" s="516"/>
      <c r="Z548" s="516"/>
    </row>
    <row r="549" ht="14.25" customHeight="1">
      <c r="A549" s="516"/>
      <c r="B549" s="516"/>
      <c r="C549" s="517"/>
      <c r="D549" s="517"/>
      <c r="E549" s="517"/>
      <c r="F549" s="516"/>
      <c r="G549" s="516"/>
      <c r="H549" s="516"/>
      <c r="I549" s="516"/>
      <c r="J549" s="516"/>
      <c r="K549" s="516"/>
      <c r="L549" s="516"/>
      <c r="M549" s="516"/>
      <c r="N549" s="516"/>
      <c r="O549" s="516"/>
      <c r="P549" s="516"/>
      <c r="Q549" s="516"/>
      <c r="R549" s="516"/>
      <c r="S549" s="516"/>
      <c r="T549" s="516"/>
      <c r="U549" s="516"/>
      <c r="V549" s="516"/>
      <c r="W549" s="516"/>
      <c r="X549" s="516"/>
      <c r="Y549" s="516"/>
      <c r="Z549" s="516"/>
    </row>
    <row r="550" ht="14.25" customHeight="1">
      <c r="A550" s="516"/>
      <c r="B550" s="516"/>
      <c r="C550" s="517"/>
      <c r="D550" s="517"/>
      <c r="E550" s="517"/>
      <c r="F550" s="516"/>
      <c r="G550" s="516"/>
      <c r="H550" s="516"/>
      <c r="I550" s="516"/>
      <c r="J550" s="516"/>
      <c r="K550" s="516"/>
      <c r="L550" s="516"/>
      <c r="M550" s="516"/>
      <c r="N550" s="516"/>
      <c r="O550" s="516"/>
      <c r="P550" s="516"/>
      <c r="Q550" s="516"/>
      <c r="R550" s="516"/>
      <c r="S550" s="516"/>
      <c r="T550" s="516"/>
      <c r="U550" s="516"/>
      <c r="V550" s="516"/>
      <c r="W550" s="516"/>
      <c r="X550" s="516"/>
      <c r="Y550" s="516"/>
      <c r="Z550" s="516"/>
    </row>
    <row r="551" ht="14.25" customHeight="1">
      <c r="A551" s="516"/>
      <c r="B551" s="516"/>
      <c r="C551" s="517"/>
      <c r="D551" s="517"/>
      <c r="E551" s="517"/>
      <c r="F551" s="516"/>
      <c r="G551" s="516"/>
      <c r="H551" s="516"/>
      <c r="I551" s="516"/>
      <c r="J551" s="516"/>
      <c r="K551" s="516"/>
      <c r="L551" s="516"/>
      <c r="M551" s="516"/>
      <c r="N551" s="516"/>
      <c r="O551" s="516"/>
      <c r="P551" s="516"/>
      <c r="Q551" s="516"/>
      <c r="R551" s="516"/>
      <c r="S551" s="516"/>
      <c r="T551" s="516"/>
      <c r="U551" s="516"/>
      <c r="V551" s="516"/>
      <c r="W551" s="516"/>
      <c r="X551" s="516"/>
      <c r="Y551" s="516"/>
      <c r="Z551" s="516"/>
    </row>
    <row r="552" ht="14.25" customHeight="1">
      <c r="A552" s="516"/>
      <c r="B552" s="516"/>
      <c r="C552" s="517"/>
      <c r="D552" s="517"/>
      <c r="E552" s="517"/>
      <c r="F552" s="516"/>
      <c r="G552" s="516"/>
      <c r="H552" s="516"/>
      <c r="I552" s="516"/>
      <c r="J552" s="516"/>
      <c r="K552" s="516"/>
      <c r="L552" s="516"/>
      <c r="M552" s="516"/>
      <c r="N552" s="516"/>
      <c r="O552" s="516"/>
      <c r="P552" s="516"/>
      <c r="Q552" s="516"/>
      <c r="R552" s="516"/>
      <c r="S552" s="516"/>
      <c r="T552" s="516"/>
      <c r="U552" s="516"/>
      <c r="V552" s="516"/>
      <c r="W552" s="516"/>
      <c r="X552" s="516"/>
      <c r="Y552" s="516"/>
      <c r="Z552" s="516"/>
    </row>
    <row r="553" ht="14.25" customHeight="1">
      <c r="A553" s="516"/>
      <c r="B553" s="516"/>
      <c r="C553" s="517"/>
      <c r="D553" s="517"/>
      <c r="E553" s="517"/>
      <c r="F553" s="516"/>
      <c r="G553" s="516"/>
      <c r="H553" s="516"/>
      <c r="I553" s="516"/>
      <c r="J553" s="516"/>
      <c r="K553" s="516"/>
      <c r="L553" s="516"/>
      <c r="M553" s="516"/>
      <c r="N553" s="516"/>
      <c r="O553" s="516"/>
      <c r="P553" s="516"/>
      <c r="Q553" s="516"/>
      <c r="R553" s="516"/>
      <c r="S553" s="516"/>
      <c r="T553" s="516"/>
      <c r="U553" s="516"/>
      <c r="V553" s="516"/>
      <c r="W553" s="516"/>
      <c r="X553" s="516"/>
      <c r="Y553" s="516"/>
      <c r="Z553" s="516"/>
    </row>
    <row r="554" ht="14.25" customHeight="1">
      <c r="A554" s="516"/>
      <c r="B554" s="516"/>
      <c r="C554" s="517"/>
      <c r="D554" s="517"/>
      <c r="E554" s="517"/>
      <c r="F554" s="516"/>
      <c r="G554" s="516"/>
      <c r="H554" s="516"/>
      <c r="I554" s="516"/>
      <c r="J554" s="516"/>
      <c r="K554" s="516"/>
      <c r="L554" s="516"/>
      <c r="M554" s="516"/>
      <c r="N554" s="516"/>
      <c r="O554" s="516"/>
      <c r="P554" s="516"/>
      <c r="Q554" s="516"/>
      <c r="R554" s="516"/>
      <c r="S554" s="516"/>
      <c r="T554" s="516"/>
      <c r="U554" s="516"/>
      <c r="V554" s="516"/>
      <c r="W554" s="516"/>
      <c r="X554" s="516"/>
      <c r="Y554" s="516"/>
      <c r="Z554" s="516"/>
    </row>
    <row r="555" ht="14.25" customHeight="1">
      <c r="A555" s="516"/>
      <c r="B555" s="516"/>
      <c r="C555" s="517"/>
      <c r="D555" s="517"/>
      <c r="E555" s="517"/>
      <c r="F555" s="516"/>
      <c r="G555" s="516"/>
      <c r="H555" s="516"/>
      <c r="I555" s="516"/>
      <c r="J555" s="516"/>
      <c r="K555" s="516"/>
      <c r="L555" s="516"/>
      <c r="M555" s="516"/>
      <c r="N555" s="516"/>
      <c r="O555" s="516"/>
      <c r="P555" s="516"/>
      <c r="Q555" s="516"/>
      <c r="R555" s="516"/>
      <c r="S555" s="516"/>
      <c r="T555" s="516"/>
      <c r="U555" s="516"/>
      <c r="V555" s="516"/>
      <c r="W555" s="516"/>
      <c r="X555" s="516"/>
      <c r="Y555" s="516"/>
      <c r="Z555" s="516"/>
    </row>
    <row r="556" ht="14.25" customHeight="1">
      <c r="A556" s="516"/>
      <c r="B556" s="516"/>
      <c r="C556" s="517"/>
      <c r="D556" s="517"/>
      <c r="E556" s="517"/>
      <c r="F556" s="516"/>
      <c r="G556" s="516"/>
      <c r="H556" s="516"/>
      <c r="I556" s="516"/>
      <c r="J556" s="516"/>
      <c r="K556" s="516"/>
      <c r="L556" s="516"/>
      <c r="M556" s="516"/>
      <c r="N556" s="516"/>
      <c r="O556" s="516"/>
      <c r="P556" s="516"/>
      <c r="Q556" s="516"/>
      <c r="R556" s="516"/>
      <c r="S556" s="516"/>
      <c r="T556" s="516"/>
      <c r="U556" s="516"/>
      <c r="V556" s="516"/>
      <c r="W556" s="516"/>
      <c r="X556" s="516"/>
      <c r="Y556" s="516"/>
      <c r="Z556" s="516"/>
    </row>
    <row r="557" ht="14.25" customHeight="1">
      <c r="A557" s="516"/>
      <c r="B557" s="516"/>
      <c r="C557" s="517"/>
      <c r="D557" s="517"/>
      <c r="E557" s="517"/>
      <c r="F557" s="516"/>
      <c r="G557" s="516"/>
      <c r="H557" s="516"/>
      <c r="I557" s="516"/>
      <c r="J557" s="516"/>
      <c r="K557" s="516"/>
      <c r="L557" s="516"/>
      <c r="M557" s="516"/>
      <c r="N557" s="516"/>
      <c r="O557" s="516"/>
      <c r="P557" s="516"/>
      <c r="Q557" s="516"/>
      <c r="R557" s="516"/>
      <c r="S557" s="516"/>
      <c r="T557" s="516"/>
      <c r="U557" s="516"/>
      <c r="V557" s="516"/>
      <c r="W557" s="516"/>
      <c r="X557" s="516"/>
      <c r="Y557" s="516"/>
      <c r="Z557" s="516"/>
    </row>
    <row r="558" ht="14.25" customHeight="1">
      <c r="A558" s="516"/>
      <c r="B558" s="516"/>
      <c r="C558" s="517"/>
      <c r="D558" s="517"/>
      <c r="E558" s="517"/>
      <c r="F558" s="516"/>
      <c r="G558" s="516"/>
      <c r="H558" s="516"/>
      <c r="I558" s="516"/>
      <c r="J558" s="516"/>
      <c r="K558" s="516"/>
      <c r="L558" s="516"/>
      <c r="M558" s="516"/>
      <c r="N558" s="516"/>
      <c r="O558" s="516"/>
      <c r="P558" s="516"/>
      <c r="Q558" s="516"/>
      <c r="R558" s="516"/>
      <c r="S558" s="516"/>
      <c r="T558" s="516"/>
      <c r="U558" s="516"/>
      <c r="V558" s="516"/>
      <c r="W558" s="516"/>
      <c r="X558" s="516"/>
      <c r="Y558" s="516"/>
      <c r="Z558" s="516"/>
    </row>
    <row r="559" ht="14.25" customHeight="1">
      <c r="A559" s="516"/>
      <c r="B559" s="516"/>
      <c r="C559" s="517"/>
      <c r="D559" s="517"/>
      <c r="E559" s="517"/>
      <c r="F559" s="516"/>
      <c r="G559" s="516"/>
      <c r="H559" s="516"/>
      <c r="I559" s="516"/>
      <c r="J559" s="516"/>
      <c r="K559" s="516"/>
      <c r="L559" s="516"/>
      <c r="M559" s="516"/>
      <c r="N559" s="516"/>
      <c r="O559" s="516"/>
      <c r="P559" s="516"/>
      <c r="Q559" s="516"/>
      <c r="R559" s="516"/>
      <c r="S559" s="516"/>
      <c r="T559" s="516"/>
      <c r="U559" s="516"/>
      <c r="V559" s="516"/>
      <c r="W559" s="516"/>
      <c r="X559" s="516"/>
      <c r="Y559" s="516"/>
      <c r="Z559" s="516"/>
    </row>
    <row r="560" ht="14.25" customHeight="1">
      <c r="A560" s="516"/>
      <c r="B560" s="516"/>
      <c r="C560" s="517"/>
      <c r="D560" s="517"/>
      <c r="E560" s="517"/>
      <c r="F560" s="516"/>
      <c r="G560" s="516"/>
      <c r="H560" s="516"/>
      <c r="I560" s="516"/>
      <c r="J560" s="516"/>
      <c r="K560" s="516"/>
      <c r="L560" s="516"/>
      <c r="M560" s="516"/>
      <c r="N560" s="516"/>
      <c r="O560" s="516"/>
      <c r="P560" s="516"/>
      <c r="Q560" s="516"/>
      <c r="R560" s="516"/>
      <c r="S560" s="516"/>
      <c r="T560" s="516"/>
      <c r="U560" s="516"/>
      <c r="V560" s="516"/>
      <c r="W560" s="516"/>
      <c r="X560" s="516"/>
      <c r="Y560" s="516"/>
      <c r="Z560" s="516"/>
    </row>
    <row r="561" ht="14.25" customHeight="1">
      <c r="A561" s="516"/>
      <c r="B561" s="516"/>
      <c r="C561" s="517"/>
      <c r="D561" s="517"/>
      <c r="E561" s="517"/>
      <c r="F561" s="516"/>
      <c r="G561" s="516"/>
      <c r="H561" s="516"/>
      <c r="I561" s="516"/>
      <c r="J561" s="516"/>
      <c r="K561" s="516"/>
      <c r="L561" s="516"/>
      <c r="M561" s="516"/>
      <c r="N561" s="516"/>
      <c r="O561" s="516"/>
      <c r="P561" s="516"/>
      <c r="Q561" s="516"/>
      <c r="R561" s="516"/>
      <c r="S561" s="516"/>
      <c r="T561" s="516"/>
      <c r="U561" s="516"/>
      <c r="V561" s="516"/>
      <c r="W561" s="516"/>
      <c r="X561" s="516"/>
      <c r="Y561" s="516"/>
      <c r="Z561" s="516"/>
    </row>
    <row r="562" ht="14.25" customHeight="1">
      <c r="A562" s="516"/>
      <c r="B562" s="516"/>
      <c r="C562" s="517"/>
      <c r="D562" s="517"/>
      <c r="E562" s="517"/>
      <c r="F562" s="516"/>
      <c r="G562" s="516"/>
      <c r="H562" s="516"/>
      <c r="I562" s="516"/>
      <c r="J562" s="516"/>
      <c r="K562" s="516"/>
      <c r="L562" s="516"/>
      <c r="M562" s="516"/>
      <c r="N562" s="516"/>
      <c r="O562" s="516"/>
      <c r="P562" s="516"/>
      <c r="Q562" s="516"/>
      <c r="R562" s="516"/>
      <c r="S562" s="516"/>
      <c r="T562" s="516"/>
      <c r="U562" s="516"/>
      <c r="V562" s="516"/>
      <c r="W562" s="516"/>
      <c r="X562" s="516"/>
      <c r="Y562" s="516"/>
      <c r="Z562" s="516"/>
    </row>
    <row r="563" ht="14.25" customHeight="1">
      <c r="A563" s="516"/>
      <c r="B563" s="516"/>
      <c r="C563" s="517"/>
      <c r="D563" s="517"/>
      <c r="E563" s="517"/>
      <c r="F563" s="516"/>
      <c r="G563" s="516"/>
      <c r="H563" s="516"/>
      <c r="I563" s="516"/>
      <c r="J563" s="516"/>
      <c r="K563" s="516"/>
      <c r="L563" s="516"/>
      <c r="M563" s="516"/>
      <c r="N563" s="516"/>
      <c r="O563" s="516"/>
      <c r="P563" s="516"/>
      <c r="Q563" s="516"/>
      <c r="R563" s="516"/>
      <c r="S563" s="516"/>
      <c r="T563" s="516"/>
      <c r="U563" s="516"/>
      <c r="V563" s="516"/>
      <c r="W563" s="516"/>
      <c r="X563" s="516"/>
      <c r="Y563" s="516"/>
      <c r="Z563" s="516"/>
    </row>
    <row r="564" ht="14.25" customHeight="1">
      <c r="A564" s="516"/>
      <c r="B564" s="516"/>
      <c r="C564" s="517"/>
      <c r="D564" s="517"/>
      <c r="E564" s="517"/>
      <c r="F564" s="516"/>
      <c r="G564" s="516"/>
      <c r="H564" s="516"/>
      <c r="I564" s="516"/>
      <c r="J564" s="516"/>
      <c r="K564" s="516"/>
      <c r="L564" s="516"/>
      <c r="M564" s="516"/>
      <c r="N564" s="516"/>
      <c r="O564" s="516"/>
      <c r="P564" s="516"/>
      <c r="Q564" s="516"/>
      <c r="R564" s="516"/>
      <c r="S564" s="516"/>
      <c r="T564" s="516"/>
      <c r="U564" s="516"/>
      <c r="V564" s="516"/>
      <c r="W564" s="516"/>
      <c r="X564" s="516"/>
      <c r="Y564" s="516"/>
      <c r="Z564" s="516"/>
    </row>
    <row r="565" ht="14.25" customHeight="1">
      <c r="A565" s="516"/>
      <c r="B565" s="516"/>
      <c r="C565" s="517"/>
      <c r="D565" s="517"/>
      <c r="E565" s="517"/>
      <c r="F565" s="516"/>
      <c r="G565" s="516"/>
      <c r="H565" s="516"/>
      <c r="I565" s="516"/>
      <c r="J565" s="516"/>
      <c r="K565" s="516"/>
      <c r="L565" s="516"/>
      <c r="M565" s="516"/>
      <c r="N565" s="516"/>
      <c r="O565" s="516"/>
      <c r="P565" s="516"/>
      <c r="Q565" s="516"/>
      <c r="R565" s="516"/>
      <c r="S565" s="516"/>
      <c r="T565" s="516"/>
      <c r="U565" s="516"/>
      <c r="V565" s="516"/>
      <c r="W565" s="516"/>
      <c r="X565" s="516"/>
      <c r="Y565" s="516"/>
      <c r="Z565" s="516"/>
    </row>
    <row r="566" ht="14.25" customHeight="1">
      <c r="A566" s="516"/>
      <c r="B566" s="516"/>
      <c r="C566" s="517"/>
      <c r="D566" s="517"/>
      <c r="E566" s="517"/>
      <c r="F566" s="516"/>
      <c r="G566" s="516"/>
      <c r="H566" s="516"/>
      <c r="I566" s="516"/>
      <c r="J566" s="516"/>
      <c r="K566" s="516"/>
      <c r="L566" s="516"/>
      <c r="M566" s="516"/>
      <c r="N566" s="516"/>
      <c r="O566" s="516"/>
      <c r="P566" s="516"/>
      <c r="Q566" s="516"/>
      <c r="R566" s="516"/>
      <c r="S566" s="516"/>
      <c r="T566" s="516"/>
      <c r="U566" s="516"/>
      <c r="V566" s="516"/>
      <c r="W566" s="516"/>
      <c r="X566" s="516"/>
      <c r="Y566" s="516"/>
      <c r="Z566" s="516"/>
    </row>
    <row r="567" ht="14.25" customHeight="1">
      <c r="A567" s="516"/>
      <c r="B567" s="516"/>
      <c r="C567" s="517"/>
      <c r="D567" s="517"/>
      <c r="E567" s="517"/>
      <c r="F567" s="516"/>
      <c r="G567" s="516"/>
      <c r="H567" s="516"/>
      <c r="I567" s="516"/>
      <c r="J567" s="516"/>
      <c r="K567" s="516"/>
      <c r="L567" s="516"/>
      <c r="M567" s="516"/>
      <c r="N567" s="516"/>
      <c r="O567" s="516"/>
      <c r="P567" s="516"/>
      <c r="Q567" s="516"/>
      <c r="R567" s="516"/>
      <c r="S567" s="516"/>
      <c r="T567" s="516"/>
      <c r="U567" s="516"/>
      <c r="V567" s="516"/>
      <c r="W567" s="516"/>
      <c r="X567" s="516"/>
      <c r="Y567" s="516"/>
      <c r="Z567" s="516"/>
    </row>
    <row r="568" ht="14.25" customHeight="1">
      <c r="A568" s="516"/>
      <c r="B568" s="516"/>
      <c r="C568" s="517"/>
      <c r="D568" s="517"/>
      <c r="E568" s="517"/>
      <c r="F568" s="516"/>
      <c r="G568" s="516"/>
      <c r="H568" s="516"/>
      <c r="I568" s="516"/>
      <c r="J568" s="516"/>
      <c r="K568" s="516"/>
      <c r="L568" s="516"/>
      <c r="M568" s="516"/>
      <c r="N568" s="516"/>
      <c r="O568" s="516"/>
      <c r="P568" s="516"/>
      <c r="Q568" s="516"/>
      <c r="R568" s="516"/>
      <c r="S568" s="516"/>
      <c r="T568" s="516"/>
      <c r="U568" s="516"/>
      <c r="V568" s="516"/>
      <c r="W568" s="516"/>
      <c r="X568" s="516"/>
      <c r="Y568" s="516"/>
      <c r="Z568" s="516"/>
    </row>
    <row r="569" ht="14.25" customHeight="1">
      <c r="A569" s="516"/>
      <c r="B569" s="516"/>
      <c r="C569" s="517"/>
      <c r="D569" s="517"/>
      <c r="E569" s="517"/>
      <c r="F569" s="516"/>
      <c r="G569" s="516"/>
      <c r="H569" s="516"/>
      <c r="I569" s="516"/>
      <c r="J569" s="516"/>
      <c r="K569" s="516"/>
      <c r="L569" s="516"/>
      <c r="M569" s="516"/>
      <c r="N569" s="516"/>
      <c r="O569" s="516"/>
      <c r="P569" s="516"/>
      <c r="Q569" s="516"/>
      <c r="R569" s="516"/>
      <c r="S569" s="516"/>
      <c r="T569" s="516"/>
      <c r="U569" s="516"/>
      <c r="V569" s="516"/>
      <c r="W569" s="516"/>
      <c r="X569" s="516"/>
      <c r="Y569" s="516"/>
      <c r="Z569" s="516"/>
    </row>
    <row r="570" ht="14.25" customHeight="1">
      <c r="A570" s="516"/>
      <c r="B570" s="516"/>
      <c r="C570" s="517"/>
      <c r="D570" s="517"/>
      <c r="E570" s="517"/>
      <c r="F570" s="516"/>
      <c r="G570" s="516"/>
      <c r="H570" s="516"/>
      <c r="I570" s="516"/>
      <c r="J570" s="516"/>
      <c r="K570" s="516"/>
      <c r="L570" s="516"/>
      <c r="M570" s="516"/>
      <c r="N570" s="516"/>
      <c r="O570" s="516"/>
      <c r="P570" s="516"/>
      <c r="Q570" s="516"/>
      <c r="R570" s="516"/>
      <c r="S570" s="516"/>
      <c r="T570" s="516"/>
      <c r="U570" s="516"/>
      <c r="V570" s="516"/>
      <c r="W570" s="516"/>
      <c r="X570" s="516"/>
      <c r="Y570" s="516"/>
      <c r="Z570" s="516"/>
    </row>
    <row r="571" ht="14.25" customHeight="1">
      <c r="A571" s="516"/>
      <c r="B571" s="516"/>
      <c r="C571" s="517"/>
      <c r="D571" s="517"/>
      <c r="E571" s="517"/>
      <c r="F571" s="516"/>
      <c r="G571" s="516"/>
      <c r="H571" s="516"/>
      <c r="I571" s="516"/>
      <c r="J571" s="516"/>
      <c r="K571" s="516"/>
      <c r="L571" s="516"/>
      <c r="M571" s="516"/>
      <c r="N571" s="516"/>
      <c r="O571" s="516"/>
      <c r="P571" s="516"/>
      <c r="Q571" s="516"/>
      <c r="R571" s="516"/>
      <c r="S571" s="516"/>
      <c r="T571" s="516"/>
      <c r="U571" s="516"/>
      <c r="V571" s="516"/>
      <c r="W571" s="516"/>
      <c r="X571" s="516"/>
      <c r="Y571" s="516"/>
      <c r="Z571" s="516"/>
    </row>
    <row r="572" ht="14.25" customHeight="1">
      <c r="A572" s="516"/>
      <c r="B572" s="516"/>
      <c r="C572" s="517"/>
      <c r="D572" s="517"/>
      <c r="E572" s="517"/>
      <c r="F572" s="516"/>
      <c r="G572" s="516"/>
      <c r="H572" s="516"/>
      <c r="I572" s="516"/>
      <c r="J572" s="516"/>
      <c r="K572" s="516"/>
      <c r="L572" s="516"/>
      <c r="M572" s="516"/>
      <c r="N572" s="516"/>
      <c r="O572" s="516"/>
      <c r="P572" s="516"/>
      <c r="Q572" s="516"/>
      <c r="R572" s="516"/>
      <c r="S572" s="516"/>
      <c r="T572" s="516"/>
      <c r="U572" s="516"/>
      <c r="V572" s="516"/>
      <c r="W572" s="516"/>
      <c r="X572" s="516"/>
      <c r="Y572" s="516"/>
      <c r="Z572" s="516"/>
    </row>
    <row r="573" ht="14.25" customHeight="1">
      <c r="A573" s="516"/>
      <c r="B573" s="516"/>
      <c r="C573" s="517"/>
      <c r="D573" s="517"/>
      <c r="E573" s="517"/>
      <c r="F573" s="516"/>
      <c r="G573" s="516"/>
      <c r="H573" s="516"/>
      <c r="I573" s="516"/>
      <c r="J573" s="516"/>
      <c r="K573" s="516"/>
      <c r="L573" s="516"/>
      <c r="M573" s="516"/>
      <c r="N573" s="516"/>
      <c r="O573" s="516"/>
      <c r="P573" s="516"/>
      <c r="Q573" s="516"/>
      <c r="R573" s="516"/>
      <c r="S573" s="516"/>
      <c r="T573" s="516"/>
      <c r="U573" s="516"/>
      <c r="V573" s="516"/>
      <c r="W573" s="516"/>
      <c r="X573" s="516"/>
      <c r="Y573" s="516"/>
      <c r="Z573" s="516"/>
    </row>
    <row r="574" ht="14.25" customHeight="1">
      <c r="A574" s="516"/>
      <c r="B574" s="516"/>
      <c r="C574" s="517"/>
      <c r="D574" s="517"/>
      <c r="E574" s="517"/>
      <c r="F574" s="516"/>
      <c r="G574" s="516"/>
      <c r="H574" s="516"/>
      <c r="I574" s="516"/>
      <c r="J574" s="516"/>
      <c r="K574" s="516"/>
      <c r="L574" s="516"/>
      <c r="M574" s="516"/>
      <c r="N574" s="516"/>
      <c r="O574" s="516"/>
      <c r="P574" s="516"/>
      <c r="Q574" s="516"/>
      <c r="R574" s="516"/>
      <c r="S574" s="516"/>
      <c r="T574" s="516"/>
      <c r="U574" s="516"/>
      <c r="V574" s="516"/>
      <c r="W574" s="516"/>
      <c r="X574" s="516"/>
      <c r="Y574" s="516"/>
      <c r="Z574" s="516"/>
    </row>
    <row r="575" ht="14.25" customHeight="1">
      <c r="A575" s="516"/>
      <c r="B575" s="516"/>
      <c r="C575" s="517"/>
      <c r="D575" s="517"/>
      <c r="E575" s="517"/>
      <c r="F575" s="516"/>
      <c r="G575" s="516"/>
      <c r="H575" s="516"/>
      <c r="I575" s="516"/>
      <c r="J575" s="516"/>
      <c r="K575" s="516"/>
      <c r="L575" s="516"/>
      <c r="M575" s="516"/>
      <c r="N575" s="516"/>
      <c r="O575" s="516"/>
      <c r="P575" s="516"/>
      <c r="Q575" s="516"/>
      <c r="R575" s="516"/>
      <c r="S575" s="516"/>
      <c r="T575" s="516"/>
      <c r="U575" s="516"/>
      <c r="V575" s="516"/>
      <c r="W575" s="516"/>
      <c r="X575" s="516"/>
      <c r="Y575" s="516"/>
      <c r="Z575" s="516"/>
    </row>
    <row r="576" ht="14.25" customHeight="1">
      <c r="A576" s="516"/>
      <c r="B576" s="516"/>
      <c r="C576" s="517"/>
      <c r="D576" s="517"/>
      <c r="E576" s="517"/>
      <c r="F576" s="516"/>
      <c r="G576" s="516"/>
      <c r="H576" s="516"/>
      <c r="I576" s="516"/>
      <c r="J576" s="516"/>
      <c r="K576" s="516"/>
      <c r="L576" s="516"/>
      <c r="M576" s="516"/>
      <c r="N576" s="516"/>
      <c r="O576" s="516"/>
      <c r="P576" s="516"/>
      <c r="Q576" s="516"/>
      <c r="R576" s="516"/>
      <c r="S576" s="516"/>
      <c r="T576" s="516"/>
      <c r="U576" s="516"/>
      <c r="V576" s="516"/>
      <c r="W576" s="516"/>
      <c r="X576" s="516"/>
      <c r="Y576" s="516"/>
      <c r="Z576" s="516"/>
    </row>
    <row r="577" ht="14.25" customHeight="1">
      <c r="A577" s="516"/>
      <c r="B577" s="516"/>
      <c r="C577" s="517"/>
      <c r="D577" s="517"/>
      <c r="E577" s="517"/>
      <c r="F577" s="516"/>
      <c r="G577" s="516"/>
      <c r="H577" s="516"/>
      <c r="I577" s="516"/>
      <c r="J577" s="516"/>
      <c r="K577" s="516"/>
      <c r="L577" s="516"/>
      <c r="M577" s="516"/>
      <c r="N577" s="516"/>
      <c r="O577" s="516"/>
      <c r="P577" s="516"/>
      <c r="Q577" s="516"/>
      <c r="R577" s="516"/>
      <c r="S577" s="516"/>
      <c r="T577" s="516"/>
      <c r="U577" s="516"/>
      <c r="V577" s="516"/>
      <c r="W577" s="516"/>
      <c r="X577" s="516"/>
      <c r="Y577" s="516"/>
      <c r="Z577" s="516"/>
    </row>
    <row r="578" ht="14.25" customHeight="1">
      <c r="A578" s="516"/>
      <c r="B578" s="516"/>
      <c r="C578" s="517"/>
      <c r="D578" s="517"/>
      <c r="E578" s="517"/>
      <c r="F578" s="516"/>
      <c r="G578" s="516"/>
      <c r="H578" s="516"/>
      <c r="I578" s="516"/>
      <c r="J578" s="516"/>
      <c r="K578" s="516"/>
      <c r="L578" s="516"/>
      <c r="M578" s="516"/>
      <c r="N578" s="516"/>
      <c r="O578" s="516"/>
      <c r="P578" s="516"/>
      <c r="Q578" s="516"/>
      <c r="R578" s="516"/>
      <c r="S578" s="516"/>
      <c r="T578" s="516"/>
      <c r="U578" s="516"/>
      <c r="V578" s="516"/>
      <c r="W578" s="516"/>
      <c r="X578" s="516"/>
      <c r="Y578" s="516"/>
      <c r="Z578" s="516"/>
    </row>
    <row r="579" ht="14.25" customHeight="1">
      <c r="A579" s="516"/>
      <c r="B579" s="516"/>
      <c r="C579" s="517"/>
      <c r="D579" s="517"/>
      <c r="E579" s="517"/>
      <c r="F579" s="516"/>
      <c r="G579" s="516"/>
      <c r="H579" s="516"/>
      <c r="I579" s="516"/>
      <c r="J579" s="516"/>
      <c r="K579" s="516"/>
      <c r="L579" s="516"/>
      <c r="M579" s="516"/>
      <c r="N579" s="516"/>
      <c r="O579" s="516"/>
      <c r="P579" s="516"/>
      <c r="Q579" s="516"/>
      <c r="R579" s="516"/>
      <c r="S579" s="516"/>
      <c r="T579" s="516"/>
      <c r="U579" s="516"/>
      <c r="V579" s="516"/>
      <c r="W579" s="516"/>
      <c r="X579" s="516"/>
      <c r="Y579" s="516"/>
      <c r="Z579" s="516"/>
    </row>
    <row r="580" ht="14.25" customHeight="1">
      <c r="A580" s="516"/>
      <c r="B580" s="516"/>
      <c r="C580" s="517"/>
      <c r="D580" s="517"/>
      <c r="E580" s="517"/>
      <c r="F580" s="516"/>
      <c r="G580" s="516"/>
      <c r="H580" s="516"/>
      <c r="I580" s="516"/>
      <c r="J580" s="516"/>
      <c r="K580" s="516"/>
      <c r="L580" s="516"/>
      <c r="M580" s="516"/>
      <c r="N580" s="516"/>
      <c r="O580" s="516"/>
      <c r="P580" s="516"/>
      <c r="Q580" s="516"/>
      <c r="R580" s="516"/>
      <c r="S580" s="516"/>
      <c r="T580" s="516"/>
      <c r="U580" s="516"/>
      <c r="V580" s="516"/>
      <c r="W580" s="516"/>
      <c r="X580" s="516"/>
      <c r="Y580" s="516"/>
      <c r="Z580" s="516"/>
    </row>
    <row r="581" ht="14.25" customHeight="1">
      <c r="A581" s="516"/>
      <c r="B581" s="516"/>
      <c r="C581" s="517"/>
      <c r="D581" s="517"/>
      <c r="E581" s="517"/>
      <c r="F581" s="516"/>
      <c r="G581" s="516"/>
      <c r="H581" s="516"/>
      <c r="I581" s="516"/>
      <c r="J581" s="516"/>
      <c r="K581" s="516"/>
      <c r="L581" s="516"/>
      <c r="M581" s="516"/>
      <c r="N581" s="516"/>
      <c r="O581" s="516"/>
      <c r="P581" s="516"/>
      <c r="Q581" s="516"/>
      <c r="R581" s="516"/>
      <c r="S581" s="516"/>
      <c r="T581" s="516"/>
      <c r="U581" s="516"/>
      <c r="V581" s="516"/>
      <c r="W581" s="516"/>
      <c r="X581" s="516"/>
      <c r="Y581" s="516"/>
      <c r="Z581" s="516"/>
    </row>
    <row r="582" ht="14.25" customHeight="1">
      <c r="A582" s="516"/>
      <c r="B582" s="516"/>
      <c r="C582" s="517"/>
      <c r="D582" s="517"/>
      <c r="E582" s="517"/>
      <c r="F582" s="516"/>
      <c r="G582" s="516"/>
      <c r="H582" s="516"/>
      <c r="I582" s="516"/>
      <c r="J582" s="516"/>
      <c r="K582" s="516"/>
      <c r="L582" s="516"/>
      <c r="M582" s="516"/>
      <c r="N582" s="516"/>
      <c r="O582" s="516"/>
      <c r="P582" s="516"/>
      <c r="Q582" s="516"/>
      <c r="R582" s="516"/>
      <c r="S582" s="516"/>
      <c r="T582" s="516"/>
      <c r="U582" s="516"/>
      <c r="V582" s="516"/>
      <c r="W582" s="516"/>
      <c r="X582" s="516"/>
      <c r="Y582" s="516"/>
      <c r="Z582" s="516"/>
    </row>
    <row r="583" ht="14.25" customHeight="1">
      <c r="A583" s="516"/>
      <c r="B583" s="516"/>
      <c r="C583" s="517"/>
      <c r="D583" s="517"/>
      <c r="E583" s="517"/>
      <c r="F583" s="516"/>
      <c r="G583" s="516"/>
      <c r="H583" s="516"/>
      <c r="I583" s="516"/>
      <c r="J583" s="516"/>
      <c r="K583" s="516"/>
      <c r="L583" s="516"/>
      <c r="M583" s="516"/>
      <c r="N583" s="516"/>
      <c r="O583" s="516"/>
      <c r="P583" s="516"/>
      <c r="Q583" s="516"/>
      <c r="R583" s="516"/>
      <c r="S583" s="516"/>
      <c r="T583" s="516"/>
      <c r="U583" s="516"/>
      <c r="V583" s="516"/>
      <c r="W583" s="516"/>
      <c r="X583" s="516"/>
      <c r="Y583" s="516"/>
      <c r="Z583" s="516"/>
    </row>
    <row r="584" ht="14.25" customHeight="1">
      <c r="A584" s="516"/>
      <c r="B584" s="516"/>
      <c r="C584" s="517"/>
      <c r="D584" s="517"/>
      <c r="E584" s="517"/>
      <c r="F584" s="516"/>
      <c r="G584" s="516"/>
      <c r="H584" s="516"/>
      <c r="I584" s="516"/>
      <c r="J584" s="516"/>
      <c r="K584" s="516"/>
      <c r="L584" s="516"/>
      <c r="M584" s="516"/>
      <c r="N584" s="516"/>
      <c r="O584" s="516"/>
      <c r="P584" s="516"/>
      <c r="Q584" s="516"/>
      <c r="R584" s="516"/>
      <c r="S584" s="516"/>
      <c r="T584" s="516"/>
      <c r="U584" s="516"/>
      <c r="V584" s="516"/>
      <c r="W584" s="516"/>
      <c r="X584" s="516"/>
      <c r="Y584" s="516"/>
      <c r="Z584" s="516"/>
    </row>
    <row r="585" ht="14.25" customHeight="1">
      <c r="A585" s="516"/>
      <c r="B585" s="516"/>
      <c r="C585" s="517"/>
      <c r="D585" s="517"/>
      <c r="E585" s="517"/>
      <c r="F585" s="516"/>
      <c r="G585" s="516"/>
      <c r="H585" s="516"/>
      <c r="I585" s="516"/>
      <c r="J585" s="516"/>
      <c r="K585" s="516"/>
      <c r="L585" s="516"/>
      <c r="M585" s="516"/>
      <c r="N585" s="516"/>
      <c r="O585" s="516"/>
      <c r="P585" s="516"/>
      <c r="Q585" s="516"/>
      <c r="R585" s="516"/>
      <c r="S585" s="516"/>
      <c r="T585" s="516"/>
      <c r="U585" s="516"/>
      <c r="V585" s="516"/>
      <c r="W585" s="516"/>
      <c r="X585" s="516"/>
      <c r="Y585" s="516"/>
      <c r="Z585" s="516"/>
    </row>
    <row r="586" ht="14.25" customHeight="1">
      <c r="A586" s="516"/>
      <c r="B586" s="516"/>
      <c r="C586" s="517"/>
      <c r="D586" s="517"/>
      <c r="E586" s="517"/>
      <c r="F586" s="516"/>
      <c r="G586" s="516"/>
      <c r="H586" s="516"/>
      <c r="I586" s="516"/>
      <c r="J586" s="516"/>
      <c r="K586" s="516"/>
      <c r="L586" s="516"/>
      <c r="M586" s="516"/>
      <c r="N586" s="516"/>
      <c r="O586" s="516"/>
      <c r="P586" s="516"/>
      <c r="Q586" s="516"/>
      <c r="R586" s="516"/>
      <c r="S586" s="516"/>
      <c r="T586" s="516"/>
      <c r="U586" s="516"/>
      <c r="V586" s="516"/>
      <c r="W586" s="516"/>
      <c r="X586" s="516"/>
      <c r="Y586" s="516"/>
      <c r="Z586" s="516"/>
    </row>
    <row r="587" ht="14.25" customHeight="1">
      <c r="A587" s="516"/>
      <c r="B587" s="516"/>
      <c r="C587" s="517"/>
      <c r="D587" s="517"/>
      <c r="E587" s="517"/>
      <c r="F587" s="516"/>
      <c r="G587" s="516"/>
      <c r="H587" s="516"/>
      <c r="I587" s="516"/>
      <c r="J587" s="516"/>
      <c r="K587" s="516"/>
      <c r="L587" s="516"/>
      <c r="M587" s="516"/>
      <c r="N587" s="516"/>
      <c r="O587" s="516"/>
      <c r="P587" s="516"/>
      <c r="Q587" s="516"/>
      <c r="R587" s="516"/>
      <c r="S587" s="516"/>
      <c r="T587" s="516"/>
      <c r="U587" s="516"/>
      <c r="V587" s="516"/>
      <c r="W587" s="516"/>
      <c r="X587" s="516"/>
      <c r="Y587" s="516"/>
      <c r="Z587" s="516"/>
    </row>
    <row r="588" ht="14.25" customHeight="1">
      <c r="A588" s="516"/>
      <c r="B588" s="516"/>
      <c r="C588" s="517"/>
      <c r="D588" s="517"/>
      <c r="E588" s="517"/>
      <c r="F588" s="516"/>
      <c r="G588" s="516"/>
      <c r="H588" s="516"/>
      <c r="I588" s="516"/>
      <c r="J588" s="516"/>
      <c r="K588" s="516"/>
      <c r="L588" s="516"/>
      <c r="M588" s="516"/>
      <c r="N588" s="516"/>
      <c r="O588" s="516"/>
      <c r="P588" s="516"/>
      <c r="Q588" s="516"/>
      <c r="R588" s="516"/>
      <c r="S588" s="516"/>
      <c r="T588" s="516"/>
      <c r="U588" s="516"/>
      <c r="V588" s="516"/>
      <c r="W588" s="516"/>
      <c r="X588" s="516"/>
      <c r="Y588" s="516"/>
      <c r="Z588" s="516"/>
    </row>
    <row r="589" ht="14.25" customHeight="1">
      <c r="A589" s="516"/>
      <c r="B589" s="516"/>
      <c r="C589" s="517"/>
      <c r="D589" s="517"/>
      <c r="E589" s="517"/>
      <c r="F589" s="516"/>
      <c r="G589" s="516"/>
      <c r="H589" s="516"/>
      <c r="I589" s="516"/>
      <c r="J589" s="516"/>
      <c r="K589" s="516"/>
      <c r="L589" s="516"/>
      <c r="M589" s="516"/>
      <c r="N589" s="516"/>
      <c r="O589" s="516"/>
      <c r="P589" s="516"/>
      <c r="Q589" s="516"/>
      <c r="R589" s="516"/>
      <c r="S589" s="516"/>
      <c r="T589" s="516"/>
      <c r="U589" s="516"/>
      <c r="V589" s="516"/>
      <c r="W589" s="516"/>
      <c r="X589" s="516"/>
      <c r="Y589" s="516"/>
      <c r="Z589" s="516"/>
    </row>
    <row r="590" ht="14.25" customHeight="1">
      <c r="A590" s="516"/>
      <c r="B590" s="516"/>
      <c r="C590" s="517"/>
      <c r="D590" s="517"/>
      <c r="E590" s="517"/>
      <c r="F590" s="516"/>
      <c r="G590" s="516"/>
      <c r="H590" s="516"/>
      <c r="I590" s="516"/>
      <c r="J590" s="516"/>
      <c r="K590" s="516"/>
      <c r="L590" s="516"/>
      <c r="M590" s="516"/>
      <c r="N590" s="516"/>
      <c r="O590" s="516"/>
      <c r="P590" s="516"/>
      <c r="Q590" s="516"/>
      <c r="R590" s="516"/>
      <c r="S590" s="516"/>
      <c r="T590" s="516"/>
      <c r="U590" s="516"/>
      <c r="V590" s="516"/>
      <c r="W590" s="516"/>
      <c r="X590" s="516"/>
      <c r="Y590" s="516"/>
      <c r="Z590" s="516"/>
    </row>
    <row r="591" ht="14.25" customHeight="1">
      <c r="A591" s="516"/>
      <c r="B591" s="516"/>
      <c r="C591" s="517"/>
      <c r="D591" s="517"/>
      <c r="E591" s="517"/>
      <c r="F591" s="516"/>
      <c r="G591" s="516"/>
      <c r="H591" s="516"/>
      <c r="I591" s="516"/>
      <c r="J591" s="516"/>
      <c r="K591" s="516"/>
      <c r="L591" s="516"/>
      <c r="M591" s="516"/>
      <c r="N591" s="516"/>
      <c r="O591" s="516"/>
      <c r="P591" s="516"/>
      <c r="Q591" s="516"/>
      <c r="R591" s="516"/>
      <c r="S591" s="516"/>
      <c r="T591" s="516"/>
      <c r="U591" s="516"/>
      <c r="V591" s="516"/>
      <c r="W591" s="516"/>
      <c r="X591" s="516"/>
      <c r="Y591" s="516"/>
      <c r="Z591" s="516"/>
    </row>
    <row r="592" ht="14.25" customHeight="1">
      <c r="A592" s="516"/>
      <c r="B592" s="516"/>
      <c r="C592" s="517"/>
      <c r="D592" s="517"/>
      <c r="E592" s="517"/>
      <c r="F592" s="516"/>
      <c r="G592" s="516"/>
      <c r="H592" s="516"/>
      <c r="I592" s="516"/>
      <c r="J592" s="516"/>
      <c r="K592" s="516"/>
      <c r="L592" s="516"/>
      <c r="M592" s="516"/>
      <c r="N592" s="516"/>
      <c r="O592" s="516"/>
      <c r="P592" s="516"/>
      <c r="Q592" s="516"/>
      <c r="R592" s="516"/>
      <c r="S592" s="516"/>
      <c r="T592" s="516"/>
      <c r="U592" s="516"/>
      <c r="V592" s="516"/>
      <c r="W592" s="516"/>
      <c r="X592" s="516"/>
      <c r="Y592" s="516"/>
      <c r="Z592" s="516"/>
    </row>
    <row r="593" ht="14.25" customHeight="1">
      <c r="A593" s="516"/>
      <c r="B593" s="516"/>
      <c r="C593" s="517"/>
      <c r="D593" s="517"/>
      <c r="E593" s="517"/>
      <c r="F593" s="516"/>
      <c r="G593" s="516"/>
      <c r="H593" s="516"/>
      <c r="I593" s="516"/>
      <c r="J593" s="516"/>
      <c r="K593" s="516"/>
      <c r="L593" s="516"/>
      <c r="M593" s="516"/>
      <c r="N593" s="516"/>
      <c r="O593" s="516"/>
      <c r="P593" s="516"/>
      <c r="Q593" s="516"/>
      <c r="R593" s="516"/>
      <c r="S593" s="516"/>
      <c r="T593" s="516"/>
      <c r="U593" s="516"/>
      <c r="V593" s="516"/>
      <c r="W593" s="516"/>
      <c r="X593" s="516"/>
      <c r="Y593" s="516"/>
      <c r="Z593" s="516"/>
    </row>
    <row r="594" ht="14.25" customHeight="1">
      <c r="A594" s="516"/>
      <c r="B594" s="516"/>
      <c r="C594" s="517"/>
      <c r="D594" s="517"/>
      <c r="E594" s="517"/>
      <c r="F594" s="516"/>
      <c r="G594" s="516"/>
      <c r="H594" s="516"/>
      <c r="I594" s="516"/>
      <c r="J594" s="516"/>
      <c r="K594" s="516"/>
      <c r="L594" s="516"/>
      <c r="M594" s="516"/>
      <c r="N594" s="516"/>
      <c r="O594" s="516"/>
      <c r="P594" s="516"/>
      <c r="Q594" s="516"/>
      <c r="R594" s="516"/>
      <c r="S594" s="516"/>
      <c r="T594" s="516"/>
      <c r="U594" s="516"/>
      <c r="V594" s="516"/>
      <c r="W594" s="516"/>
      <c r="X594" s="516"/>
      <c r="Y594" s="516"/>
      <c r="Z594" s="516"/>
    </row>
    <row r="595" ht="14.25" customHeight="1">
      <c r="A595" s="516"/>
      <c r="B595" s="516"/>
      <c r="C595" s="517"/>
      <c r="D595" s="517"/>
      <c r="E595" s="517"/>
      <c r="F595" s="516"/>
      <c r="G595" s="516"/>
      <c r="H595" s="516"/>
      <c r="I595" s="516"/>
      <c r="J595" s="516"/>
      <c r="K595" s="516"/>
      <c r="L595" s="516"/>
      <c r="M595" s="516"/>
      <c r="N595" s="516"/>
      <c r="O595" s="516"/>
      <c r="P595" s="516"/>
      <c r="Q595" s="516"/>
      <c r="R595" s="516"/>
      <c r="S595" s="516"/>
      <c r="T595" s="516"/>
      <c r="U595" s="516"/>
      <c r="V595" s="516"/>
      <c r="W595" s="516"/>
      <c r="X595" s="516"/>
      <c r="Y595" s="516"/>
      <c r="Z595" s="516"/>
    </row>
    <row r="596" ht="14.25" customHeight="1">
      <c r="A596" s="516"/>
      <c r="B596" s="516"/>
      <c r="C596" s="517"/>
      <c r="D596" s="517"/>
      <c r="E596" s="517"/>
      <c r="F596" s="516"/>
      <c r="G596" s="516"/>
      <c r="H596" s="516"/>
      <c r="I596" s="516"/>
      <c r="J596" s="516"/>
      <c r="K596" s="516"/>
      <c r="L596" s="516"/>
      <c r="M596" s="516"/>
      <c r="N596" s="516"/>
      <c r="O596" s="516"/>
      <c r="P596" s="516"/>
      <c r="Q596" s="516"/>
      <c r="R596" s="516"/>
      <c r="S596" s="516"/>
      <c r="T596" s="516"/>
      <c r="U596" s="516"/>
      <c r="V596" s="516"/>
      <c r="W596" s="516"/>
      <c r="X596" s="516"/>
      <c r="Y596" s="516"/>
      <c r="Z596" s="516"/>
    </row>
    <row r="597" ht="14.25" customHeight="1">
      <c r="A597" s="516"/>
      <c r="B597" s="516"/>
      <c r="C597" s="517"/>
      <c r="D597" s="517"/>
      <c r="E597" s="517"/>
      <c r="F597" s="516"/>
      <c r="G597" s="516"/>
      <c r="H597" s="516"/>
      <c r="I597" s="516"/>
      <c r="J597" s="516"/>
      <c r="K597" s="516"/>
      <c r="L597" s="516"/>
      <c r="M597" s="516"/>
      <c r="N597" s="516"/>
      <c r="O597" s="516"/>
      <c r="P597" s="516"/>
      <c r="Q597" s="516"/>
      <c r="R597" s="516"/>
      <c r="S597" s="516"/>
      <c r="T597" s="516"/>
      <c r="U597" s="516"/>
      <c r="V597" s="516"/>
      <c r="W597" s="516"/>
      <c r="X597" s="516"/>
      <c r="Y597" s="516"/>
      <c r="Z597" s="516"/>
    </row>
    <row r="598" ht="14.25" customHeight="1">
      <c r="A598" s="516"/>
      <c r="B598" s="516"/>
      <c r="C598" s="517"/>
      <c r="D598" s="517"/>
      <c r="E598" s="517"/>
      <c r="F598" s="516"/>
      <c r="G598" s="516"/>
      <c r="H598" s="516"/>
      <c r="I598" s="516"/>
      <c r="J598" s="516"/>
      <c r="K598" s="516"/>
      <c r="L598" s="516"/>
      <c r="M598" s="516"/>
      <c r="N598" s="516"/>
      <c r="O598" s="516"/>
      <c r="P598" s="516"/>
      <c r="Q598" s="516"/>
      <c r="R598" s="516"/>
      <c r="S598" s="516"/>
      <c r="T598" s="516"/>
      <c r="U598" s="516"/>
      <c r="V598" s="516"/>
      <c r="W598" s="516"/>
      <c r="X598" s="516"/>
      <c r="Y598" s="516"/>
      <c r="Z598" s="516"/>
    </row>
    <row r="599" ht="14.25" customHeight="1">
      <c r="A599" s="516"/>
      <c r="B599" s="516"/>
      <c r="C599" s="517"/>
      <c r="D599" s="517"/>
      <c r="E599" s="517"/>
      <c r="F599" s="516"/>
      <c r="G599" s="516"/>
      <c r="H599" s="516"/>
      <c r="I599" s="516"/>
      <c r="J599" s="516"/>
      <c r="K599" s="516"/>
      <c r="L599" s="516"/>
      <c r="M599" s="516"/>
      <c r="N599" s="516"/>
      <c r="O599" s="516"/>
      <c r="P599" s="516"/>
      <c r="Q599" s="516"/>
      <c r="R599" s="516"/>
      <c r="S599" s="516"/>
      <c r="T599" s="516"/>
      <c r="U599" s="516"/>
      <c r="V599" s="516"/>
      <c r="W599" s="516"/>
      <c r="X599" s="516"/>
      <c r="Y599" s="516"/>
      <c r="Z599" s="516"/>
    </row>
    <row r="600" ht="14.25" customHeight="1">
      <c r="A600" s="516"/>
      <c r="B600" s="516"/>
      <c r="C600" s="517"/>
      <c r="D600" s="517"/>
      <c r="E600" s="517"/>
      <c r="F600" s="516"/>
      <c r="G600" s="516"/>
      <c r="H600" s="516"/>
      <c r="I600" s="516"/>
      <c r="J600" s="516"/>
      <c r="K600" s="516"/>
      <c r="L600" s="516"/>
      <c r="M600" s="516"/>
      <c r="N600" s="516"/>
      <c r="O600" s="516"/>
      <c r="P600" s="516"/>
      <c r="Q600" s="516"/>
      <c r="R600" s="516"/>
      <c r="S600" s="516"/>
      <c r="T600" s="516"/>
      <c r="U600" s="516"/>
      <c r="V600" s="516"/>
      <c r="W600" s="516"/>
      <c r="X600" s="516"/>
      <c r="Y600" s="516"/>
      <c r="Z600" s="516"/>
    </row>
    <row r="601" ht="14.25" customHeight="1">
      <c r="A601" s="516"/>
      <c r="B601" s="516"/>
      <c r="C601" s="517"/>
      <c r="D601" s="517"/>
      <c r="E601" s="517"/>
      <c r="F601" s="516"/>
      <c r="G601" s="516"/>
      <c r="H601" s="516"/>
      <c r="I601" s="516"/>
      <c r="J601" s="516"/>
      <c r="K601" s="516"/>
      <c r="L601" s="516"/>
      <c r="M601" s="516"/>
      <c r="N601" s="516"/>
      <c r="O601" s="516"/>
      <c r="P601" s="516"/>
      <c r="Q601" s="516"/>
      <c r="R601" s="516"/>
      <c r="S601" s="516"/>
      <c r="T601" s="516"/>
      <c r="U601" s="516"/>
      <c r="V601" s="516"/>
      <c r="W601" s="516"/>
      <c r="X601" s="516"/>
      <c r="Y601" s="516"/>
      <c r="Z601" s="516"/>
    </row>
    <row r="602" ht="14.25" customHeight="1">
      <c r="A602" s="516"/>
      <c r="B602" s="516"/>
      <c r="C602" s="517"/>
      <c r="D602" s="517"/>
      <c r="E602" s="517"/>
      <c r="F602" s="516"/>
      <c r="G602" s="516"/>
      <c r="H602" s="516"/>
      <c r="I602" s="516"/>
      <c r="J602" s="516"/>
      <c r="K602" s="516"/>
      <c r="L602" s="516"/>
      <c r="M602" s="516"/>
      <c r="N602" s="516"/>
      <c r="O602" s="516"/>
      <c r="P602" s="516"/>
      <c r="Q602" s="516"/>
      <c r="R602" s="516"/>
      <c r="S602" s="516"/>
      <c r="T602" s="516"/>
      <c r="U602" s="516"/>
      <c r="V602" s="516"/>
      <c r="W602" s="516"/>
      <c r="X602" s="516"/>
      <c r="Y602" s="516"/>
      <c r="Z602" s="516"/>
    </row>
    <row r="603" ht="14.25" customHeight="1">
      <c r="A603" s="516"/>
      <c r="B603" s="516"/>
      <c r="C603" s="517"/>
      <c r="D603" s="517"/>
      <c r="E603" s="517"/>
      <c r="F603" s="516"/>
      <c r="G603" s="516"/>
      <c r="H603" s="516"/>
      <c r="I603" s="516"/>
      <c r="J603" s="516"/>
      <c r="K603" s="516"/>
      <c r="L603" s="516"/>
      <c r="M603" s="516"/>
      <c r="N603" s="516"/>
      <c r="O603" s="516"/>
      <c r="P603" s="516"/>
      <c r="Q603" s="516"/>
      <c r="R603" s="516"/>
      <c r="S603" s="516"/>
      <c r="T603" s="516"/>
      <c r="U603" s="516"/>
      <c r="V603" s="516"/>
      <c r="W603" s="516"/>
      <c r="X603" s="516"/>
      <c r="Y603" s="516"/>
      <c r="Z603" s="516"/>
    </row>
    <row r="604" ht="14.25" customHeight="1">
      <c r="A604" s="516"/>
      <c r="B604" s="516"/>
      <c r="C604" s="517"/>
      <c r="D604" s="517"/>
      <c r="E604" s="517"/>
      <c r="F604" s="516"/>
      <c r="G604" s="516"/>
      <c r="H604" s="516"/>
      <c r="I604" s="516"/>
      <c r="J604" s="516"/>
      <c r="K604" s="516"/>
      <c r="L604" s="516"/>
      <c r="M604" s="516"/>
      <c r="N604" s="516"/>
      <c r="O604" s="516"/>
      <c r="P604" s="516"/>
      <c r="Q604" s="516"/>
      <c r="R604" s="516"/>
      <c r="S604" s="516"/>
      <c r="T604" s="516"/>
      <c r="U604" s="516"/>
      <c r="V604" s="516"/>
      <c r="W604" s="516"/>
      <c r="X604" s="516"/>
      <c r="Y604" s="516"/>
      <c r="Z604" s="516"/>
    </row>
    <row r="605" ht="14.25" customHeight="1">
      <c r="A605" s="516"/>
      <c r="B605" s="516"/>
      <c r="C605" s="517"/>
      <c r="D605" s="517"/>
      <c r="E605" s="517"/>
      <c r="F605" s="516"/>
      <c r="G605" s="516"/>
      <c r="H605" s="516"/>
      <c r="I605" s="516"/>
      <c r="J605" s="516"/>
      <c r="K605" s="516"/>
      <c r="L605" s="516"/>
      <c r="M605" s="516"/>
      <c r="N605" s="516"/>
      <c r="O605" s="516"/>
      <c r="P605" s="516"/>
      <c r="Q605" s="516"/>
      <c r="R605" s="516"/>
      <c r="S605" s="516"/>
      <c r="T605" s="516"/>
      <c r="U605" s="516"/>
      <c r="V605" s="516"/>
      <c r="W605" s="516"/>
      <c r="X605" s="516"/>
      <c r="Y605" s="516"/>
      <c r="Z605" s="516"/>
    </row>
    <row r="606" ht="14.25" customHeight="1">
      <c r="A606" s="516"/>
      <c r="B606" s="516"/>
      <c r="C606" s="517"/>
      <c r="D606" s="517"/>
      <c r="E606" s="517"/>
      <c r="F606" s="516"/>
      <c r="G606" s="516"/>
      <c r="H606" s="516"/>
      <c r="I606" s="516"/>
      <c r="J606" s="516"/>
      <c r="K606" s="516"/>
      <c r="L606" s="516"/>
      <c r="M606" s="516"/>
      <c r="N606" s="516"/>
      <c r="O606" s="516"/>
      <c r="P606" s="516"/>
      <c r="Q606" s="516"/>
      <c r="R606" s="516"/>
      <c r="S606" s="516"/>
      <c r="T606" s="516"/>
      <c r="U606" s="516"/>
      <c r="V606" s="516"/>
      <c r="W606" s="516"/>
      <c r="X606" s="516"/>
      <c r="Y606" s="516"/>
      <c r="Z606" s="516"/>
    </row>
    <row r="607" ht="14.25" customHeight="1">
      <c r="A607" s="516"/>
      <c r="B607" s="516"/>
      <c r="C607" s="517"/>
      <c r="D607" s="517"/>
      <c r="E607" s="517"/>
      <c r="F607" s="516"/>
      <c r="G607" s="516"/>
      <c r="H607" s="516"/>
      <c r="I607" s="516"/>
      <c r="J607" s="516"/>
      <c r="K607" s="516"/>
      <c r="L607" s="516"/>
      <c r="M607" s="516"/>
      <c r="N607" s="516"/>
      <c r="O607" s="516"/>
      <c r="P607" s="516"/>
      <c r="Q607" s="516"/>
      <c r="R607" s="516"/>
      <c r="S607" s="516"/>
      <c r="T607" s="516"/>
      <c r="U607" s="516"/>
      <c r="V607" s="516"/>
      <c r="W607" s="516"/>
      <c r="X607" s="516"/>
      <c r="Y607" s="516"/>
      <c r="Z607" s="516"/>
    </row>
    <row r="608" ht="14.25" customHeight="1">
      <c r="A608" s="516"/>
      <c r="B608" s="516"/>
      <c r="C608" s="517"/>
      <c r="D608" s="517"/>
      <c r="E608" s="517"/>
      <c r="F608" s="516"/>
      <c r="G608" s="516"/>
      <c r="H608" s="516"/>
      <c r="I608" s="516"/>
      <c r="J608" s="516"/>
      <c r="K608" s="516"/>
      <c r="L608" s="516"/>
      <c r="M608" s="516"/>
      <c r="N608" s="516"/>
      <c r="O608" s="516"/>
      <c r="P608" s="516"/>
      <c r="Q608" s="516"/>
      <c r="R608" s="516"/>
      <c r="S608" s="516"/>
      <c r="T608" s="516"/>
      <c r="U608" s="516"/>
      <c r="V608" s="516"/>
      <c r="W608" s="516"/>
      <c r="X608" s="516"/>
      <c r="Y608" s="516"/>
      <c r="Z608" s="516"/>
    </row>
    <row r="609" ht="14.25" customHeight="1">
      <c r="A609" s="516"/>
      <c r="B609" s="516"/>
      <c r="C609" s="517"/>
      <c r="D609" s="517"/>
      <c r="E609" s="517"/>
      <c r="F609" s="516"/>
      <c r="G609" s="516"/>
      <c r="H609" s="516"/>
      <c r="I609" s="516"/>
      <c r="J609" s="516"/>
      <c r="K609" s="516"/>
      <c r="L609" s="516"/>
      <c r="M609" s="516"/>
      <c r="N609" s="516"/>
      <c r="O609" s="516"/>
      <c r="P609" s="516"/>
      <c r="Q609" s="516"/>
      <c r="R609" s="516"/>
      <c r="S609" s="516"/>
      <c r="T609" s="516"/>
      <c r="U609" s="516"/>
      <c r="V609" s="516"/>
      <c r="W609" s="516"/>
      <c r="X609" s="516"/>
      <c r="Y609" s="516"/>
      <c r="Z609" s="516"/>
    </row>
    <row r="610" ht="14.25" customHeight="1">
      <c r="A610" s="516"/>
      <c r="B610" s="516"/>
      <c r="C610" s="517"/>
      <c r="D610" s="517"/>
      <c r="E610" s="517"/>
      <c r="F610" s="516"/>
      <c r="G610" s="516"/>
      <c r="H610" s="516"/>
      <c r="I610" s="516"/>
      <c r="J610" s="516"/>
      <c r="K610" s="516"/>
      <c r="L610" s="516"/>
      <c r="M610" s="516"/>
      <c r="N610" s="516"/>
      <c r="O610" s="516"/>
      <c r="P610" s="516"/>
      <c r="Q610" s="516"/>
      <c r="R610" s="516"/>
      <c r="S610" s="516"/>
      <c r="T610" s="516"/>
      <c r="U610" s="516"/>
      <c r="V610" s="516"/>
      <c r="W610" s="516"/>
      <c r="X610" s="516"/>
      <c r="Y610" s="516"/>
      <c r="Z610" s="516"/>
    </row>
    <row r="611" ht="14.25" customHeight="1">
      <c r="A611" s="516"/>
      <c r="B611" s="516"/>
      <c r="C611" s="517"/>
      <c r="D611" s="517"/>
      <c r="E611" s="517"/>
      <c r="F611" s="516"/>
      <c r="G611" s="516"/>
      <c r="H611" s="516"/>
      <c r="I611" s="516"/>
      <c r="J611" s="516"/>
      <c r="K611" s="516"/>
      <c r="L611" s="516"/>
      <c r="M611" s="516"/>
      <c r="N611" s="516"/>
      <c r="O611" s="516"/>
      <c r="P611" s="516"/>
      <c r="Q611" s="516"/>
      <c r="R611" s="516"/>
      <c r="S611" s="516"/>
      <c r="T611" s="516"/>
      <c r="U611" s="516"/>
      <c r="V611" s="516"/>
      <c r="W611" s="516"/>
      <c r="X611" s="516"/>
      <c r="Y611" s="516"/>
      <c r="Z611" s="516"/>
    </row>
    <row r="612" ht="14.25" customHeight="1">
      <c r="A612" s="516"/>
      <c r="B612" s="516"/>
      <c r="C612" s="517"/>
      <c r="D612" s="517"/>
      <c r="E612" s="517"/>
      <c r="F612" s="516"/>
      <c r="G612" s="516"/>
      <c r="H612" s="516"/>
      <c r="I612" s="516"/>
      <c r="J612" s="516"/>
      <c r="K612" s="516"/>
      <c r="L612" s="516"/>
      <c r="M612" s="516"/>
      <c r="N612" s="516"/>
      <c r="O612" s="516"/>
      <c r="P612" s="516"/>
      <c r="Q612" s="516"/>
      <c r="R612" s="516"/>
      <c r="S612" s="516"/>
      <c r="T612" s="516"/>
      <c r="U612" s="516"/>
      <c r="V612" s="516"/>
      <c r="W612" s="516"/>
      <c r="X612" s="516"/>
      <c r="Y612" s="516"/>
      <c r="Z612" s="516"/>
    </row>
    <row r="613" ht="14.25" customHeight="1">
      <c r="A613" s="516"/>
      <c r="B613" s="516"/>
      <c r="C613" s="517"/>
      <c r="D613" s="517"/>
      <c r="E613" s="517"/>
      <c r="F613" s="516"/>
      <c r="G613" s="516"/>
      <c r="H613" s="516"/>
      <c r="I613" s="516"/>
      <c r="J613" s="516"/>
      <c r="K613" s="516"/>
      <c r="L613" s="516"/>
      <c r="M613" s="516"/>
      <c r="N613" s="516"/>
      <c r="O613" s="516"/>
      <c r="P613" s="516"/>
      <c r="Q613" s="516"/>
      <c r="R613" s="516"/>
      <c r="S613" s="516"/>
      <c r="T613" s="516"/>
      <c r="U613" s="516"/>
      <c r="V613" s="516"/>
      <c r="W613" s="516"/>
      <c r="X613" s="516"/>
      <c r="Y613" s="516"/>
      <c r="Z613" s="516"/>
    </row>
    <row r="614" ht="14.25" customHeight="1">
      <c r="A614" s="516"/>
      <c r="B614" s="516"/>
      <c r="C614" s="517"/>
      <c r="D614" s="517"/>
      <c r="E614" s="517"/>
      <c r="F614" s="516"/>
      <c r="G614" s="516"/>
      <c r="H614" s="516"/>
      <c r="I614" s="516"/>
      <c r="J614" s="516"/>
      <c r="K614" s="516"/>
      <c r="L614" s="516"/>
      <c r="M614" s="516"/>
      <c r="N614" s="516"/>
      <c r="O614" s="516"/>
      <c r="P614" s="516"/>
      <c r="Q614" s="516"/>
      <c r="R614" s="516"/>
      <c r="S614" s="516"/>
      <c r="T614" s="516"/>
      <c r="U614" s="516"/>
      <c r="V614" s="516"/>
      <c r="W614" s="516"/>
      <c r="X614" s="516"/>
      <c r="Y614" s="516"/>
      <c r="Z614" s="516"/>
    </row>
    <row r="615" ht="14.25" customHeight="1">
      <c r="A615" s="516"/>
      <c r="B615" s="516"/>
      <c r="C615" s="517"/>
      <c r="D615" s="517"/>
      <c r="E615" s="517"/>
      <c r="F615" s="516"/>
      <c r="G615" s="516"/>
      <c r="H615" s="516"/>
      <c r="I615" s="516"/>
      <c r="J615" s="516"/>
      <c r="K615" s="516"/>
      <c r="L615" s="516"/>
      <c r="M615" s="516"/>
      <c r="N615" s="516"/>
      <c r="O615" s="516"/>
      <c r="P615" s="516"/>
      <c r="Q615" s="516"/>
      <c r="R615" s="516"/>
      <c r="S615" s="516"/>
      <c r="T615" s="516"/>
      <c r="U615" s="516"/>
      <c r="V615" s="516"/>
      <c r="W615" s="516"/>
      <c r="X615" s="516"/>
      <c r="Y615" s="516"/>
      <c r="Z615" s="516"/>
    </row>
    <row r="616" ht="14.25" customHeight="1">
      <c r="A616" s="516"/>
      <c r="B616" s="516"/>
      <c r="C616" s="517"/>
      <c r="D616" s="517"/>
      <c r="E616" s="517"/>
      <c r="F616" s="516"/>
      <c r="G616" s="516"/>
      <c r="H616" s="516"/>
      <c r="I616" s="516"/>
      <c r="J616" s="516"/>
      <c r="K616" s="516"/>
      <c r="L616" s="516"/>
      <c r="M616" s="516"/>
      <c r="N616" s="516"/>
      <c r="O616" s="516"/>
      <c r="P616" s="516"/>
      <c r="Q616" s="516"/>
      <c r="R616" s="516"/>
      <c r="S616" s="516"/>
      <c r="T616" s="516"/>
      <c r="U616" s="516"/>
      <c r="V616" s="516"/>
      <c r="W616" s="516"/>
      <c r="X616" s="516"/>
      <c r="Y616" s="516"/>
      <c r="Z616" s="516"/>
    </row>
    <row r="617" ht="14.25" customHeight="1">
      <c r="A617" s="516"/>
      <c r="B617" s="516"/>
      <c r="C617" s="517"/>
      <c r="D617" s="517"/>
      <c r="E617" s="517"/>
      <c r="F617" s="516"/>
      <c r="G617" s="516"/>
      <c r="H617" s="516"/>
      <c r="I617" s="516"/>
      <c r="J617" s="516"/>
      <c r="K617" s="516"/>
      <c r="L617" s="516"/>
      <c r="M617" s="516"/>
      <c r="N617" s="516"/>
      <c r="O617" s="516"/>
      <c r="P617" s="516"/>
      <c r="Q617" s="516"/>
      <c r="R617" s="516"/>
      <c r="S617" s="516"/>
      <c r="T617" s="516"/>
      <c r="U617" s="516"/>
      <c r="V617" s="516"/>
      <c r="W617" s="516"/>
      <c r="X617" s="516"/>
      <c r="Y617" s="516"/>
      <c r="Z617" s="516"/>
    </row>
    <row r="618" ht="14.25" customHeight="1">
      <c r="A618" s="516"/>
      <c r="B618" s="516"/>
      <c r="C618" s="517"/>
      <c r="D618" s="517"/>
      <c r="E618" s="517"/>
      <c r="F618" s="516"/>
      <c r="G618" s="516"/>
      <c r="H618" s="516"/>
      <c r="I618" s="516"/>
      <c r="J618" s="516"/>
      <c r="K618" s="516"/>
      <c r="L618" s="516"/>
      <c r="M618" s="516"/>
      <c r="N618" s="516"/>
      <c r="O618" s="516"/>
      <c r="P618" s="516"/>
      <c r="Q618" s="516"/>
      <c r="R618" s="516"/>
      <c r="S618" s="516"/>
      <c r="T618" s="516"/>
      <c r="U618" s="516"/>
      <c r="V618" s="516"/>
      <c r="W618" s="516"/>
      <c r="X618" s="516"/>
      <c r="Y618" s="516"/>
      <c r="Z618" s="516"/>
    </row>
    <row r="619" ht="14.25" customHeight="1">
      <c r="A619" s="516"/>
      <c r="B619" s="516"/>
      <c r="C619" s="517"/>
      <c r="D619" s="517"/>
      <c r="E619" s="517"/>
      <c r="F619" s="516"/>
      <c r="G619" s="516"/>
      <c r="H619" s="516"/>
      <c r="I619" s="516"/>
      <c r="J619" s="516"/>
      <c r="K619" s="516"/>
      <c r="L619" s="516"/>
      <c r="M619" s="516"/>
      <c r="N619" s="516"/>
      <c r="O619" s="516"/>
      <c r="P619" s="516"/>
      <c r="Q619" s="516"/>
      <c r="R619" s="516"/>
      <c r="S619" s="516"/>
      <c r="T619" s="516"/>
      <c r="U619" s="516"/>
      <c r="V619" s="516"/>
      <c r="W619" s="516"/>
      <c r="X619" s="516"/>
      <c r="Y619" s="516"/>
      <c r="Z619" s="516"/>
    </row>
    <row r="620" ht="14.25" customHeight="1">
      <c r="A620" s="516"/>
      <c r="B620" s="516"/>
      <c r="C620" s="517"/>
      <c r="D620" s="517"/>
      <c r="E620" s="517"/>
      <c r="F620" s="516"/>
      <c r="G620" s="516"/>
      <c r="H620" s="516"/>
      <c r="I620" s="516"/>
      <c r="J620" s="516"/>
      <c r="K620" s="516"/>
      <c r="L620" s="516"/>
      <c r="M620" s="516"/>
      <c r="N620" s="516"/>
      <c r="O620" s="516"/>
      <c r="P620" s="516"/>
      <c r="Q620" s="516"/>
      <c r="R620" s="516"/>
      <c r="S620" s="516"/>
      <c r="T620" s="516"/>
      <c r="U620" s="516"/>
      <c r="V620" s="516"/>
      <c r="W620" s="516"/>
      <c r="X620" s="516"/>
      <c r="Y620" s="516"/>
      <c r="Z620" s="516"/>
    </row>
    <row r="621" ht="14.25" customHeight="1">
      <c r="A621" s="516"/>
      <c r="B621" s="516"/>
      <c r="C621" s="517"/>
      <c r="D621" s="517"/>
      <c r="E621" s="517"/>
      <c r="F621" s="516"/>
      <c r="G621" s="516"/>
      <c r="H621" s="516"/>
      <c r="I621" s="516"/>
      <c r="J621" s="516"/>
      <c r="K621" s="516"/>
      <c r="L621" s="516"/>
      <c r="M621" s="516"/>
      <c r="N621" s="516"/>
      <c r="O621" s="516"/>
      <c r="P621" s="516"/>
      <c r="Q621" s="516"/>
      <c r="R621" s="516"/>
      <c r="S621" s="516"/>
      <c r="T621" s="516"/>
      <c r="U621" s="516"/>
      <c r="V621" s="516"/>
      <c r="W621" s="516"/>
      <c r="X621" s="516"/>
      <c r="Y621" s="516"/>
      <c r="Z621" s="516"/>
    </row>
    <row r="622" ht="14.25" customHeight="1">
      <c r="A622" s="516"/>
      <c r="B622" s="516"/>
      <c r="C622" s="517"/>
      <c r="D622" s="517"/>
      <c r="E622" s="517"/>
      <c r="F622" s="516"/>
      <c r="G622" s="516"/>
      <c r="H622" s="516"/>
      <c r="I622" s="516"/>
      <c r="J622" s="516"/>
      <c r="K622" s="516"/>
      <c r="L622" s="516"/>
      <c r="M622" s="516"/>
      <c r="N622" s="516"/>
      <c r="O622" s="516"/>
      <c r="P622" s="516"/>
      <c r="Q622" s="516"/>
      <c r="R622" s="516"/>
      <c r="S622" s="516"/>
      <c r="T622" s="516"/>
      <c r="U622" s="516"/>
      <c r="V622" s="516"/>
      <c r="W622" s="516"/>
      <c r="X622" s="516"/>
      <c r="Y622" s="516"/>
      <c r="Z622" s="516"/>
    </row>
    <row r="623" ht="14.25" customHeight="1">
      <c r="A623" s="516"/>
      <c r="B623" s="516"/>
      <c r="C623" s="517"/>
      <c r="D623" s="517"/>
      <c r="E623" s="517"/>
      <c r="F623" s="516"/>
      <c r="G623" s="516"/>
      <c r="H623" s="516"/>
      <c r="I623" s="516"/>
      <c r="J623" s="516"/>
      <c r="K623" s="516"/>
      <c r="L623" s="516"/>
      <c r="M623" s="516"/>
      <c r="N623" s="516"/>
      <c r="O623" s="516"/>
      <c r="P623" s="516"/>
      <c r="Q623" s="516"/>
      <c r="R623" s="516"/>
      <c r="S623" s="516"/>
      <c r="T623" s="516"/>
      <c r="U623" s="516"/>
      <c r="V623" s="516"/>
      <c r="W623" s="516"/>
      <c r="X623" s="516"/>
      <c r="Y623" s="516"/>
      <c r="Z623" s="516"/>
    </row>
    <row r="624" ht="14.25" customHeight="1">
      <c r="A624" s="516"/>
      <c r="B624" s="516"/>
      <c r="C624" s="517"/>
      <c r="D624" s="517"/>
      <c r="E624" s="517"/>
      <c r="F624" s="516"/>
      <c r="G624" s="516"/>
      <c r="H624" s="516"/>
      <c r="I624" s="516"/>
      <c r="J624" s="516"/>
      <c r="K624" s="516"/>
      <c r="L624" s="516"/>
      <c r="M624" s="516"/>
      <c r="N624" s="516"/>
      <c r="O624" s="516"/>
      <c r="P624" s="516"/>
      <c r="Q624" s="516"/>
      <c r="R624" s="516"/>
      <c r="S624" s="516"/>
      <c r="T624" s="516"/>
      <c r="U624" s="516"/>
      <c r="V624" s="516"/>
      <c r="W624" s="516"/>
      <c r="X624" s="516"/>
      <c r="Y624" s="516"/>
      <c r="Z624" s="516"/>
    </row>
    <row r="625" ht="14.25" customHeight="1">
      <c r="A625" s="516"/>
      <c r="B625" s="516"/>
      <c r="C625" s="517"/>
      <c r="D625" s="517"/>
      <c r="E625" s="517"/>
      <c r="F625" s="516"/>
      <c r="G625" s="516"/>
      <c r="H625" s="516"/>
      <c r="I625" s="516"/>
      <c r="J625" s="516"/>
      <c r="K625" s="516"/>
      <c r="L625" s="516"/>
      <c r="M625" s="516"/>
      <c r="N625" s="516"/>
      <c r="O625" s="516"/>
      <c r="P625" s="516"/>
      <c r="Q625" s="516"/>
      <c r="R625" s="516"/>
      <c r="S625" s="516"/>
      <c r="T625" s="516"/>
      <c r="U625" s="516"/>
      <c r="V625" s="516"/>
      <c r="W625" s="516"/>
      <c r="X625" s="516"/>
      <c r="Y625" s="516"/>
      <c r="Z625" s="516"/>
    </row>
    <row r="626" ht="14.25" customHeight="1">
      <c r="A626" s="516"/>
      <c r="B626" s="516"/>
      <c r="C626" s="517"/>
      <c r="D626" s="517"/>
      <c r="E626" s="517"/>
      <c r="F626" s="516"/>
      <c r="G626" s="516"/>
      <c r="H626" s="516"/>
      <c r="I626" s="516"/>
      <c r="J626" s="516"/>
      <c r="K626" s="516"/>
      <c r="L626" s="516"/>
      <c r="M626" s="516"/>
      <c r="N626" s="516"/>
      <c r="O626" s="516"/>
      <c r="P626" s="516"/>
      <c r="Q626" s="516"/>
      <c r="R626" s="516"/>
      <c r="S626" s="516"/>
      <c r="T626" s="516"/>
      <c r="U626" s="516"/>
      <c r="V626" s="516"/>
      <c r="W626" s="516"/>
      <c r="X626" s="516"/>
      <c r="Y626" s="516"/>
      <c r="Z626" s="516"/>
    </row>
    <row r="627" ht="14.25" customHeight="1">
      <c r="A627" s="516"/>
      <c r="B627" s="516"/>
      <c r="C627" s="517"/>
      <c r="D627" s="517"/>
      <c r="E627" s="517"/>
      <c r="F627" s="516"/>
      <c r="G627" s="516"/>
      <c r="H627" s="516"/>
      <c r="I627" s="516"/>
      <c r="J627" s="516"/>
      <c r="K627" s="516"/>
      <c r="L627" s="516"/>
      <c r="M627" s="516"/>
      <c r="N627" s="516"/>
      <c r="O627" s="516"/>
      <c r="P627" s="516"/>
      <c r="Q627" s="516"/>
      <c r="R627" s="516"/>
      <c r="S627" s="516"/>
      <c r="T627" s="516"/>
      <c r="U627" s="516"/>
      <c r="V627" s="516"/>
      <c r="W627" s="516"/>
      <c r="X627" s="516"/>
      <c r="Y627" s="516"/>
      <c r="Z627" s="516"/>
    </row>
    <row r="628" ht="14.25" customHeight="1">
      <c r="A628" s="516"/>
      <c r="B628" s="516"/>
      <c r="C628" s="517"/>
      <c r="D628" s="517"/>
      <c r="E628" s="517"/>
      <c r="F628" s="516"/>
      <c r="G628" s="516"/>
      <c r="H628" s="516"/>
      <c r="I628" s="516"/>
      <c r="J628" s="516"/>
      <c r="K628" s="516"/>
      <c r="L628" s="516"/>
      <c r="M628" s="516"/>
      <c r="N628" s="516"/>
      <c r="O628" s="516"/>
      <c r="P628" s="516"/>
      <c r="Q628" s="516"/>
      <c r="R628" s="516"/>
      <c r="S628" s="516"/>
      <c r="T628" s="516"/>
      <c r="U628" s="516"/>
      <c r="V628" s="516"/>
      <c r="W628" s="516"/>
      <c r="X628" s="516"/>
      <c r="Y628" s="516"/>
      <c r="Z628" s="516"/>
    </row>
    <row r="629" ht="14.25" customHeight="1">
      <c r="A629" s="516"/>
      <c r="B629" s="516"/>
      <c r="C629" s="517"/>
      <c r="D629" s="517"/>
      <c r="E629" s="517"/>
      <c r="F629" s="516"/>
      <c r="G629" s="516"/>
      <c r="H629" s="516"/>
      <c r="I629" s="516"/>
      <c r="J629" s="516"/>
      <c r="K629" s="516"/>
      <c r="L629" s="516"/>
      <c r="M629" s="516"/>
      <c r="N629" s="516"/>
      <c r="O629" s="516"/>
      <c r="P629" s="516"/>
      <c r="Q629" s="516"/>
      <c r="R629" s="516"/>
      <c r="S629" s="516"/>
      <c r="T629" s="516"/>
      <c r="U629" s="516"/>
      <c r="V629" s="516"/>
      <c r="W629" s="516"/>
      <c r="X629" s="516"/>
      <c r="Y629" s="516"/>
      <c r="Z629" s="516"/>
    </row>
    <row r="630" ht="14.25" customHeight="1">
      <c r="A630" s="516"/>
      <c r="B630" s="516"/>
      <c r="C630" s="517"/>
      <c r="D630" s="517"/>
      <c r="E630" s="517"/>
      <c r="F630" s="516"/>
      <c r="G630" s="516"/>
      <c r="H630" s="516"/>
      <c r="I630" s="516"/>
      <c r="J630" s="516"/>
      <c r="K630" s="516"/>
      <c r="L630" s="516"/>
      <c r="M630" s="516"/>
      <c r="N630" s="516"/>
      <c r="O630" s="516"/>
      <c r="P630" s="516"/>
      <c r="Q630" s="516"/>
      <c r="R630" s="516"/>
      <c r="S630" s="516"/>
      <c r="T630" s="516"/>
      <c r="U630" s="516"/>
      <c r="V630" s="516"/>
      <c r="W630" s="516"/>
      <c r="X630" s="516"/>
      <c r="Y630" s="516"/>
      <c r="Z630" s="516"/>
    </row>
    <row r="631" ht="14.25" customHeight="1">
      <c r="A631" s="516"/>
      <c r="B631" s="516"/>
      <c r="C631" s="517"/>
      <c r="D631" s="517"/>
      <c r="E631" s="517"/>
      <c r="F631" s="516"/>
      <c r="G631" s="516"/>
      <c r="H631" s="516"/>
      <c r="I631" s="516"/>
      <c r="J631" s="516"/>
      <c r="K631" s="516"/>
      <c r="L631" s="516"/>
      <c r="M631" s="516"/>
      <c r="N631" s="516"/>
      <c r="O631" s="516"/>
      <c r="P631" s="516"/>
      <c r="Q631" s="516"/>
      <c r="R631" s="516"/>
      <c r="S631" s="516"/>
      <c r="T631" s="516"/>
      <c r="U631" s="516"/>
      <c r="V631" s="516"/>
      <c r="W631" s="516"/>
      <c r="X631" s="516"/>
      <c r="Y631" s="516"/>
      <c r="Z631" s="516"/>
    </row>
    <row r="632" ht="14.25" customHeight="1">
      <c r="A632" s="516"/>
      <c r="B632" s="516"/>
      <c r="C632" s="517"/>
      <c r="D632" s="517"/>
      <c r="E632" s="517"/>
      <c r="F632" s="516"/>
      <c r="G632" s="516"/>
      <c r="H632" s="516"/>
      <c r="I632" s="516"/>
      <c r="J632" s="516"/>
      <c r="K632" s="516"/>
      <c r="L632" s="516"/>
      <c r="M632" s="516"/>
      <c r="N632" s="516"/>
      <c r="O632" s="516"/>
      <c r="P632" s="516"/>
      <c r="Q632" s="516"/>
      <c r="R632" s="516"/>
      <c r="S632" s="516"/>
      <c r="T632" s="516"/>
      <c r="U632" s="516"/>
      <c r="V632" s="516"/>
      <c r="W632" s="516"/>
      <c r="X632" s="516"/>
      <c r="Y632" s="516"/>
      <c r="Z632" s="516"/>
    </row>
    <row r="633" ht="14.25" customHeight="1">
      <c r="A633" s="516"/>
      <c r="B633" s="516"/>
      <c r="C633" s="517"/>
      <c r="D633" s="517"/>
      <c r="E633" s="517"/>
      <c r="F633" s="516"/>
      <c r="G633" s="516"/>
      <c r="H633" s="516"/>
      <c r="I633" s="516"/>
      <c r="J633" s="516"/>
      <c r="K633" s="516"/>
      <c r="L633" s="516"/>
      <c r="M633" s="516"/>
      <c r="N633" s="516"/>
      <c r="O633" s="516"/>
      <c r="P633" s="516"/>
      <c r="Q633" s="516"/>
      <c r="R633" s="516"/>
      <c r="S633" s="516"/>
      <c r="T633" s="516"/>
      <c r="U633" s="516"/>
      <c r="V633" s="516"/>
      <c r="W633" s="516"/>
      <c r="X633" s="516"/>
      <c r="Y633" s="516"/>
      <c r="Z633" s="516"/>
    </row>
    <row r="634" ht="14.25" customHeight="1">
      <c r="A634" s="516"/>
      <c r="B634" s="516"/>
      <c r="C634" s="517"/>
      <c r="D634" s="517"/>
      <c r="E634" s="517"/>
      <c r="F634" s="516"/>
      <c r="G634" s="516"/>
      <c r="H634" s="516"/>
      <c r="I634" s="516"/>
      <c r="J634" s="516"/>
      <c r="K634" s="516"/>
      <c r="L634" s="516"/>
      <c r="M634" s="516"/>
      <c r="N634" s="516"/>
      <c r="O634" s="516"/>
      <c r="P634" s="516"/>
      <c r="Q634" s="516"/>
      <c r="R634" s="516"/>
      <c r="S634" s="516"/>
      <c r="T634" s="516"/>
      <c r="U634" s="516"/>
      <c r="V634" s="516"/>
      <c r="W634" s="516"/>
      <c r="X634" s="516"/>
      <c r="Y634" s="516"/>
      <c r="Z634" s="516"/>
    </row>
    <row r="635" ht="14.25" customHeight="1">
      <c r="A635" s="516"/>
      <c r="B635" s="516"/>
      <c r="C635" s="517"/>
      <c r="D635" s="517"/>
      <c r="E635" s="517"/>
      <c r="F635" s="516"/>
      <c r="G635" s="516"/>
      <c r="H635" s="516"/>
      <c r="I635" s="516"/>
      <c r="J635" s="516"/>
      <c r="K635" s="516"/>
      <c r="L635" s="516"/>
      <c r="M635" s="516"/>
      <c r="N635" s="516"/>
      <c r="O635" s="516"/>
      <c r="P635" s="516"/>
      <c r="Q635" s="516"/>
      <c r="R635" s="516"/>
      <c r="S635" s="516"/>
      <c r="T635" s="516"/>
      <c r="U635" s="516"/>
      <c r="V635" s="516"/>
      <c r="W635" s="516"/>
      <c r="X635" s="516"/>
      <c r="Y635" s="516"/>
      <c r="Z635" s="516"/>
    </row>
    <row r="636" ht="14.25" customHeight="1">
      <c r="A636" s="516"/>
      <c r="B636" s="516"/>
      <c r="C636" s="517"/>
      <c r="D636" s="517"/>
      <c r="E636" s="517"/>
      <c r="F636" s="516"/>
      <c r="G636" s="516"/>
      <c r="H636" s="516"/>
      <c r="I636" s="516"/>
      <c r="J636" s="516"/>
      <c r="K636" s="516"/>
      <c r="L636" s="516"/>
      <c r="M636" s="516"/>
      <c r="N636" s="516"/>
      <c r="O636" s="516"/>
      <c r="P636" s="516"/>
      <c r="Q636" s="516"/>
      <c r="R636" s="516"/>
      <c r="S636" s="516"/>
      <c r="T636" s="516"/>
      <c r="U636" s="516"/>
      <c r="V636" s="516"/>
      <c r="W636" s="516"/>
      <c r="X636" s="516"/>
      <c r="Y636" s="516"/>
      <c r="Z636" s="516"/>
    </row>
    <row r="637" ht="14.25" customHeight="1">
      <c r="A637" s="516"/>
      <c r="B637" s="516"/>
      <c r="C637" s="517"/>
      <c r="D637" s="517"/>
      <c r="E637" s="517"/>
      <c r="F637" s="516"/>
      <c r="G637" s="516"/>
      <c r="H637" s="516"/>
      <c r="I637" s="516"/>
      <c r="J637" s="516"/>
      <c r="K637" s="516"/>
      <c r="L637" s="516"/>
      <c r="M637" s="516"/>
      <c r="N637" s="516"/>
      <c r="O637" s="516"/>
      <c r="P637" s="516"/>
      <c r="Q637" s="516"/>
      <c r="R637" s="516"/>
      <c r="S637" s="516"/>
      <c r="T637" s="516"/>
      <c r="U637" s="516"/>
      <c r="V637" s="516"/>
      <c r="W637" s="516"/>
      <c r="X637" s="516"/>
      <c r="Y637" s="516"/>
      <c r="Z637" s="516"/>
    </row>
    <row r="638" ht="14.25" customHeight="1">
      <c r="A638" s="516"/>
      <c r="B638" s="516"/>
      <c r="C638" s="517"/>
      <c r="D638" s="517"/>
      <c r="E638" s="517"/>
      <c r="F638" s="516"/>
      <c r="G638" s="516"/>
      <c r="H638" s="516"/>
      <c r="I638" s="516"/>
      <c r="J638" s="516"/>
      <c r="K638" s="516"/>
      <c r="L638" s="516"/>
      <c r="M638" s="516"/>
      <c r="N638" s="516"/>
      <c r="O638" s="516"/>
      <c r="P638" s="516"/>
      <c r="Q638" s="516"/>
      <c r="R638" s="516"/>
      <c r="S638" s="516"/>
      <c r="T638" s="516"/>
      <c r="U638" s="516"/>
      <c r="V638" s="516"/>
      <c r="W638" s="516"/>
      <c r="X638" s="516"/>
      <c r="Y638" s="516"/>
      <c r="Z638" s="516"/>
    </row>
    <row r="639" ht="14.25" customHeight="1">
      <c r="A639" s="516"/>
      <c r="B639" s="516"/>
      <c r="C639" s="517"/>
      <c r="D639" s="517"/>
      <c r="E639" s="517"/>
      <c r="F639" s="516"/>
      <c r="G639" s="516"/>
      <c r="H639" s="516"/>
      <c r="I639" s="516"/>
      <c r="J639" s="516"/>
      <c r="K639" s="516"/>
      <c r="L639" s="516"/>
      <c r="M639" s="516"/>
      <c r="N639" s="516"/>
      <c r="O639" s="516"/>
      <c r="P639" s="516"/>
      <c r="Q639" s="516"/>
      <c r="R639" s="516"/>
      <c r="S639" s="516"/>
      <c r="T639" s="516"/>
      <c r="U639" s="516"/>
      <c r="V639" s="516"/>
      <c r="W639" s="516"/>
      <c r="X639" s="516"/>
      <c r="Y639" s="516"/>
      <c r="Z639" s="516"/>
    </row>
    <row r="640" ht="14.25" customHeight="1">
      <c r="A640" s="516"/>
      <c r="B640" s="516"/>
      <c r="C640" s="517"/>
      <c r="D640" s="517"/>
      <c r="E640" s="517"/>
      <c r="F640" s="516"/>
      <c r="G640" s="516"/>
      <c r="H640" s="516"/>
      <c r="I640" s="516"/>
      <c r="J640" s="516"/>
      <c r="K640" s="516"/>
      <c r="L640" s="516"/>
      <c r="M640" s="516"/>
      <c r="N640" s="516"/>
      <c r="O640" s="516"/>
      <c r="P640" s="516"/>
      <c r="Q640" s="516"/>
      <c r="R640" s="516"/>
      <c r="S640" s="516"/>
      <c r="T640" s="516"/>
      <c r="U640" s="516"/>
      <c r="V640" s="516"/>
      <c r="W640" s="516"/>
      <c r="X640" s="516"/>
      <c r="Y640" s="516"/>
      <c r="Z640" s="516"/>
    </row>
    <row r="641" ht="14.25" customHeight="1">
      <c r="A641" s="516"/>
      <c r="B641" s="516"/>
      <c r="C641" s="517"/>
      <c r="D641" s="517"/>
      <c r="E641" s="517"/>
      <c r="F641" s="516"/>
      <c r="G641" s="516"/>
      <c r="H641" s="516"/>
      <c r="I641" s="516"/>
      <c r="J641" s="516"/>
      <c r="K641" s="516"/>
      <c r="L641" s="516"/>
      <c r="M641" s="516"/>
      <c r="N641" s="516"/>
      <c r="O641" s="516"/>
      <c r="P641" s="516"/>
      <c r="Q641" s="516"/>
      <c r="R641" s="516"/>
      <c r="S641" s="516"/>
      <c r="T641" s="516"/>
      <c r="U641" s="516"/>
      <c r="V641" s="516"/>
      <c r="W641" s="516"/>
      <c r="X641" s="516"/>
      <c r="Y641" s="516"/>
      <c r="Z641" s="516"/>
    </row>
    <row r="642" ht="14.25" customHeight="1">
      <c r="A642" s="516"/>
      <c r="B642" s="516"/>
      <c r="C642" s="517"/>
      <c r="D642" s="517"/>
      <c r="E642" s="517"/>
      <c r="F642" s="516"/>
      <c r="G642" s="516"/>
      <c r="H642" s="516"/>
      <c r="I642" s="516"/>
      <c r="J642" s="516"/>
      <c r="K642" s="516"/>
      <c r="L642" s="516"/>
      <c r="M642" s="516"/>
      <c r="N642" s="516"/>
      <c r="O642" s="516"/>
      <c r="P642" s="516"/>
      <c r="Q642" s="516"/>
      <c r="R642" s="516"/>
      <c r="S642" s="516"/>
      <c r="T642" s="516"/>
      <c r="U642" s="516"/>
      <c r="V642" s="516"/>
      <c r="W642" s="516"/>
      <c r="X642" s="516"/>
      <c r="Y642" s="516"/>
      <c r="Z642" s="516"/>
    </row>
    <row r="643" ht="14.25" customHeight="1">
      <c r="A643" s="516"/>
      <c r="B643" s="516"/>
      <c r="C643" s="517"/>
      <c r="D643" s="517"/>
      <c r="E643" s="517"/>
      <c r="F643" s="516"/>
      <c r="G643" s="516"/>
      <c r="H643" s="516"/>
      <c r="I643" s="516"/>
      <c r="J643" s="516"/>
      <c r="K643" s="516"/>
      <c r="L643" s="516"/>
      <c r="M643" s="516"/>
      <c r="N643" s="516"/>
      <c r="O643" s="516"/>
      <c r="P643" s="516"/>
      <c r="Q643" s="516"/>
      <c r="R643" s="516"/>
      <c r="S643" s="516"/>
      <c r="T643" s="516"/>
      <c r="U643" s="516"/>
      <c r="V643" s="516"/>
      <c r="W643" s="516"/>
      <c r="X643" s="516"/>
      <c r="Y643" s="516"/>
      <c r="Z643" s="516"/>
    </row>
    <row r="644" ht="14.25" customHeight="1">
      <c r="A644" s="516"/>
      <c r="B644" s="516"/>
      <c r="C644" s="517"/>
      <c r="D644" s="517"/>
      <c r="E644" s="517"/>
      <c r="F644" s="516"/>
      <c r="G644" s="516"/>
      <c r="H644" s="516"/>
      <c r="I644" s="516"/>
      <c r="J644" s="516"/>
      <c r="K644" s="516"/>
      <c r="L644" s="516"/>
      <c r="M644" s="516"/>
      <c r="N644" s="516"/>
      <c r="O644" s="516"/>
      <c r="P644" s="516"/>
      <c r="Q644" s="516"/>
      <c r="R644" s="516"/>
      <c r="S644" s="516"/>
      <c r="T644" s="516"/>
      <c r="U644" s="516"/>
      <c r="V644" s="516"/>
      <c r="W644" s="516"/>
      <c r="X644" s="516"/>
      <c r="Y644" s="516"/>
      <c r="Z644" s="516"/>
    </row>
    <row r="645" ht="14.25" customHeight="1">
      <c r="A645" s="516"/>
      <c r="B645" s="516"/>
      <c r="C645" s="517"/>
      <c r="D645" s="517"/>
      <c r="E645" s="517"/>
      <c r="F645" s="516"/>
      <c r="G645" s="516"/>
      <c r="H645" s="516"/>
      <c r="I645" s="516"/>
      <c r="J645" s="516"/>
      <c r="K645" s="516"/>
      <c r="L645" s="516"/>
      <c r="M645" s="516"/>
      <c r="N645" s="516"/>
      <c r="O645" s="516"/>
      <c r="P645" s="516"/>
      <c r="Q645" s="516"/>
      <c r="R645" s="516"/>
      <c r="S645" s="516"/>
      <c r="T645" s="516"/>
      <c r="U645" s="516"/>
      <c r="V645" s="516"/>
      <c r="W645" s="516"/>
      <c r="X645" s="516"/>
      <c r="Y645" s="516"/>
      <c r="Z645" s="516"/>
    </row>
    <row r="646" ht="14.25" customHeight="1">
      <c r="A646" s="516"/>
      <c r="B646" s="516"/>
      <c r="C646" s="517"/>
      <c r="D646" s="517"/>
      <c r="E646" s="517"/>
      <c r="F646" s="516"/>
      <c r="G646" s="516"/>
      <c r="H646" s="516"/>
      <c r="I646" s="516"/>
      <c r="J646" s="516"/>
      <c r="K646" s="516"/>
      <c r="L646" s="516"/>
      <c r="M646" s="516"/>
      <c r="N646" s="516"/>
      <c r="O646" s="516"/>
      <c r="P646" s="516"/>
      <c r="Q646" s="516"/>
      <c r="R646" s="516"/>
      <c r="S646" s="516"/>
      <c r="T646" s="516"/>
      <c r="U646" s="516"/>
      <c r="V646" s="516"/>
      <c r="W646" s="516"/>
      <c r="X646" s="516"/>
      <c r="Y646" s="516"/>
      <c r="Z646" s="516"/>
    </row>
    <row r="647" ht="14.25" customHeight="1">
      <c r="A647" s="516"/>
      <c r="B647" s="516"/>
      <c r="C647" s="517"/>
      <c r="D647" s="517"/>
      <c r="E647" s="517"/>
      <c r="F647" s="516"/>
      <c r="G647" s="516"/>
      <c r="H647" s="516"/>
      <c r="I647" s="516"/>
      <c r="J647" s="516"/>
      <c r="K647" s="516"/>
      <c r="L647" s="516"/>
      <c r="M647" s="516"/>
      <c r="N647" s="516"/>
      <c r="O647" s="516"/>
      <c r="P647" s="516"/>
      <c r="Q647" s="516"/>
      <c r="R647" s="516"/>
      <c r="S647" s="516"/>
      <c r="T647" s="516"/>
      <c r="U647" s="516"/>
      <c r="V647" s="516"/>
      <c r="W647" s="516"/>
      <c r="X647" s="516"/>
      <c r="Y647" s="516"/>
      <c r="Z647" s="516"/>
    </row>
    <row r="648" ht="14.25" customHeight="1">
      <c r="A648" s="516"/>
      <c r="B648" s="516"/>
      <c r="C648" s="517"/>
      <c r="D648" s="517"/>
      <c r="E648" s="517"/>
      <c r="F648" s="516"/>
      <c r="G648" s="516"/>
      <c r="H648" s="516"/>
      <c r="I648" s="516"/>
      <c r="J648" s="516"/>
      <c r="K648" s="516"/>
      <c r="L648" s="516"/>
      <c r="M648" s="516"/>
      <c r="N648" s="516"/>
      <c r="O648" s="516"/>
      <c r="P648" s="516"/>
      <c r="Q648" s="516"/>
      <c r="R648" s="516"/>
      <c r="S648" s="516"/>
      <c r="T648" s="516"/>
      <c r="U648" s="516"/>
      <c r="V648" s="516"/>
      <c r="W648" s="516"/>
      <c r="X648" s="516"/>
      <c r="Y648" s="516"/>
      <c r="Z648" s="516"/>
    </row>
    <row r="649" ht="14.25" customHeight="1">
      <c r="A649" s="516"/>
      <c r="B649" s="516"/>
      <c r="C649" s="517"/>
      <c r="D649" s="517"/>
      <c r="E649" s="517"/>
      <c r="F649" s="516"/>
      <c r="G649" s="516"/>
      <c r="H649" s="516"/>
      <c r="I649" s="516"/>
      <c r="J649" s="516"/>
      <c r="K649" s="516"/>
      <c r="L649" s="516"/>
      <c r="M649" s="516"/>
      <c r="N649" s="516"/>
      <c r="O649" s="516"/>
      <c r="P649" s="516"/>
      <c r="Q649" s="516"/>
      <c r="R649" s="516"/>
      <c r="S649" s="516"/>
      <c r="T649" s="516"/>
      <c r="U649" s="516"/>
      <c r="V649" s="516"/>
      <c r="W649" s="516"/>
      <c r="X649" s="516"/>
      <c r="Y649" s="516"/>
      <c r="Z649" s="516"/>
    </row>
    <row r="650" ht="14.25" customHeight="1">
      <c r="A650" s="516"/>
      <c r="B650" s="516"/>
      <c r="C650" s="517"/>
      <c r="D650" s="517"/>
      <c r="E650" s="517"/>
      <c r="F650" s="516"/>
      <c r="G650" s="516"/>
      <c r="H650" s="516"/>
      <c r="I650" s="516"/>
      <c r="J650" s="516"/>
      <c r="K650" s="516"/>
      <c r="L650" s="516"/>
      <c r="M650" s="516"/>
      <c r="N650" s="516"/>
      <c r="O650" s="516"/>
      <c r="P650" s="516"/>
      <c r="Q650" s="516"/>
      <c r="R650" s="516"/>
      <c r="S650" s="516"/>
      <c r="T650" s="516"/>
      <c r="U650" s="516"/>
      <c r="V650" s="516"/>
      <c r="W650" s="516"/>
      <c r="X650" s="516"/>
      <c r="Y650" s="516"/>
      <c r="Z650" s="516"/>
    </row>
    <row r="651" ht="14.25" customHeight="1">
      <c r="A651" s="516"/>
      <c r="B651" s="516"/>
      <c r="C651" s="517"/>
      <c r="D651" s="517"/>
      <c r="E651" s="517"/>
      <c r="F651" s="516"/>
      <c r="G651" s="516"/>
      <c r="H651" s="516"/>
      <c r="I651" s="516"/>
      <c r="J651" s="516"/>
      <c r="K651" s="516"/>
      <c r="L651" s="516"/>
      <c r="M651" s="516"/>
      <c r="N651" s="516"/>
      <c r="O651" s="516"/>
      <c r="P651" s="516"/>
      <c r="Q651" s="516"/>
      <c r="R651" s="516"/>
      <c r="S651" s="516"/>
      <c r="T651" s="516"/>
      <c r="U651" s="516"/>
      <c r="V651" s="516"/>
      <c r="W651" s="516"/>
      <c r="X651" s="516"/>
      <c r="Y651" s="516"/>
      <c r="Z651" s="516"/>
    </row>
    <row r="652" ht="14.25" customHeight="1">
      <c r="A652" s="516"/>
      <c r="B652" s="516"/>
      <c r="C652" s="517"/>
      <c r="D652" s="517"/>
      <c r="E652" s="517"/>
      <c r="F652" s="516"/>
      <c r="G652" s="516"/>
      <c r="H652" s="516"/>
      <c r="I652" s="516"/>
      <c r="J652" s="516"/>
      <c r="K652" s="516"/>
      <c r="L652" s="516"/>
      <c r="M652" s="516"/>
      <c r="N652" s="516"/>
      <c r="O652" s="516"/>
      <c r="P652" s="516"/>
      <c r="Q652" s="516"/>
      <c r="R652" s="516"/>
      <c r="S652" s="516"/>
      <c r="T652" s="516"/>
      <c r="U652" s="516"/>
      <c r="V652" s="516"/>
      <c r="W652" s="516"/>
      <c r="X652" s="516"/>
      <c r="Y652" s="516"/>
      <c r="Z652" s="516"/>
    </row>
    <row r="653" ht="14.25" customHeight="1">
      <c r="A653" s="516"/>
      <c r="B653" s="516"/>
      <c r="C653" s="517"/>
      <c r="D653" s="517"/>
      <c r="E653" s="517"/>
      <c r="F653" s="516"/>
      <c r="G653" s="516"/>
      <c r="H653" s="516"/>
      <c r="I653" s="516"/>
      <c r="J653" s="516"/>
      <c r="K653" s="516"/>
      <c r="L653" s="516"/>
      <c r="M653" s="516"/>
      <c r="N653" s="516"/>
      <c r="O653" s="516"/>
      <c r="P653" s="516"/>
      <c r="Q653" s="516"/>
      <c r="R653" s="516"/>
      <c r="S653" s="516"/>
      <c r="T653" s="516"/>
      <c r="U653" s="516"/>
      <c r="V653" s="516"/>
      <c r="W653" s="516"/>
      <c r="X653" s="516"/>
      <c r="Y653" s="516"/>
      <c r="Z653" s="516"/>
    </row>
    <row r="654" ht="14.25" customHeight="1">
      <c r="A654" s="516"/>
      <c r="B654" s="516"/>
      <c r="C654" s="517"/>
      <c r="D654" s="517"/>
      <c r="E654" s="517"/>
      <c r="F654" s="516"/>
      <c r="G654" s="516"/>
      <c r="H654" s="516"/>
      <c r="I654" s="516"/>
      <c r="J654" s="516"/>
      <c r="K654" s="516"/>
      <c r="L654" s="516"/>
      <c r="M654" s="516"/>
      <c r="N654" s="516"/>
      <c r="O654" s="516"/>
      <c r="P654" s="516"/>
      <c r="Q654" s="516"/>
      <c r="R654" s="516"/>
      <c r="S654" s="516"/>
      <c r="T654" s="516"/>
      <c r="U654" s="516"/>
      <c r="V654" s="516"/>
      <c r="W654" s="516"/>
      <c r="X654" s="516"/>
      <c r="Y654" s="516"/>
      <c r="Z654" s="516"/>
    </row>
    <row r="655" ht="14.25" customHeight="1">
      <c r="A655" s="516"/>
      <c r="B655" s="516"/>
      <c r="C655" s="517"/>
      <c r="D655" s="517"/>
      <c r="E655" s="517"/>
      <c r="F655" s="516"/>
      <c r="G655" s="516"/>
      <c r="H655" s="516"/>
      <c r="I655" s="516"/>
      <c r="J655" s="516"/>
      <c r="K655" s="516"/>
      <c r="L655" s="516"/>
      <c r="M655" s="516"/>
      <c r="N655" s="516"/>
      <c r="O655" s="516"/>
      <c r="P655" s="516"/>
      <c r="Q655" s="516"/>
      <c r="R655" s="516"/>
      <c r="S655" s="516"/>
      <c r="T655" s="516"/>
      <c r="U655" s="516"/>
      <c r="V655" s="516"/>
      <c r="W655" s="516"/>
      <c r="X655" s="516"/>
      <c r="Y655" s="516"/>
      <c r="Z655" s="516"/>
    </row>
    <row r="656" ht="14.25" customHeight="1">
      <c r="A656" s="516"/>
      <c r="B656" s="516"/>
      <c r="C656" s="517"/>
      <c r="D656" s="517"/>
      <c r="E656" s="517"/>
      <c r="F656" s="516"/>
      <c r="G656" s="516"/>
      <c r="H656" s="516"/>
      <c r="I656" s="516"/>
      <c r="J656" s="516"/>
      <c r="K656" s="516"/>
      <c r="L656" s="516"/>
      <c r="M656" s="516"/>
      <c r="N656" s="516"/>
      <c r="O656" s="516"/>
      <c r="P656" s="516"/>
      <c r="Q656" s="516"/>
      <c r="R656" s="516"/>
      <c r="S656" s="516"/>
      <c r="T656" s="516"/>
      <c r="U656" s="516"/>
      <c r="V656" s="516"/>
      <c r="W656" s="516"/>
      <c r="X656" s="516"/>
      <c r="Y656" s="516"/>
      <c r="Z656" s="516"/>
    </row>
    <row r="657" ht="14.25" customHeight="1">
      <c r="A657" s="516"/>
      <c r="B657" s="516"/>
      <c r="C657" s="517"/>
      <c r="D657" s="517"/>
      <c r="E657" s="517"/>
      <c r="F657" s="516"/>
      <c r="G657" s="516"/>
      <c r="H657" s="516"/>
      <c r="I657" s="516"/>
      <c r="J657" s="516"/>
      <c r="K657" s="516"/>
      <c r="L657" s="516"/>
      <c r="M657" s="516"/>
      <c r="N657" s="516"/>
      <c r="O657" s="516"/>
      <c r="P657" s="516"/>
      <c r="Q657" s="516"/>
      <c r="R657" s="516"/>
      <c r="S657" s="516"/>
      <c r="T657" s="516"/>
      <c r="U657" s="516"/>
      <c r="V657" s="516"/>
      <c r="W657" s="516"/>
      <c r="X657" s="516"/>
      <c r="Y657" s="516"/>
      <c r="Z657" s="516"/>
    </row>
    <row r="658" ht="14.25" customHeight="1">
      <c r="A658" s="516"/>
      <c r="B658" s="516"/>
      <c r="C658" s="517"/>
      <c r="D658" s="517"/>
      <c r="E658" s="517"/>
      <c r="F658" s="516"/>
      <c r="G658" s="516"/>
      <c r="H658" s="516"/>
      <c r="I658" s="516"/>
      <c r="J658" s="516"/>
      <c r="K658" s="516"/>
      <c r="L658" s="516"/>
      <c r="M658" s="516"/>
      <c r="N658" s="516"/>
      <c r="O658" s="516"/>
      <c r="P658" s="516"/>
      <c r="Q658" s="516"/>
      <c r="R658" s="516"/>
      <c r="S658" s="516"/>
      <c r="T658" s="516"/>
      <c r="U658" s="516"/>
      <c r="V658" s="516"/>
      <c r="W658" s="516"/>
      <c r="X658" s="516"/>
      <c r="Y658" s="516"/>
      <c r="Z658" s="516"/>
    </row>
    <row r="659" ht="14.25" customHeight="1">
      <c r="A659" s="516"/>
      <c r="B659" s="516"/>
      <c r="C659" s="517"/>
      <c r="D659" s="517"/>
      <c r="E659" s="517"/>
      <c r="F659" s="516"/>
      <c r="G659" s="516"/>
      <c r="H659" s="516"/>
      <c r="I659" s="516"/>
      <c r="J659" s="516"/>
      <c r="K659" s="516"/>
      <c r="L659" s="516"/>
      <c r="M659" s="516"/>
      <c r="N659" s="516"/>
      <c r="O659" s="516"/>
      <c r="P659" s="516"/>
      <c r="Q659" s="516"/>
      <c r="R659" s="516"/>
      <c r="S659" s="516"/>
      <c r="T659" s="516"/>
      <c r="U659" s="516"/>
      <c r="V659" s="516"/>
      <c r="W659" s="516"/>
      <c r="X659" s="516"/>
      <c r="Y659" s="516"/>
      <c r="Z659" s="516"/>
    </row>
    <row r="660" ht="14.25" customHeight="1">
      <c r="A660" s="516"/>
      <c r="B660" s="516"/>
      <c r="C660" s="517"/>
      <c r="D660" s="517"/>
      <c r="E660" s="517"/>
      <c r="F660" s="516"/>
      <c r="G660" s="516"/>
      <c r="H660" s="516"/>
      <c r="I660" s="516"/>
      <c r="J660" s="516"/>
      <c r="K660" s="516"/>
      <c r="L660" s="516"/>
      <c r="M660" s="516"/>
      <c r="N660" s="516"/>
      <c r="O660" s="516"/>
      <c r="P660" s="516"/>
      <c r="Q660" s="516"/>
      <c r="R660" s="516"/>
      <c r="S660" s="516"/>
      <c r="T660" s="516"/>
      <c r="U660" s="516"/>
      <c r="V660" s="516"/>
      <c r="W660" s="516"/>
      <c r="X660" s="516"/>
      <c r="Y660" s="516"/>
      <c r="Z660" s="516"/>
    </row>
    <row r="661" ht="14.25" customHeight="1">
      <c r="A661" s="516"/>
      <c r="B661" s="516"/>
      <c r="C661" s="517"/>
      <c r="D661" s="517"/>
      <c r="E661" s="517"/>
      <c r="F661" s="516"/>
      <c r="G661" s="516"/>
      <c r="H661" s="516"/>
      <c r="I661" s="516"/>
      <c r="J661" s="516"/>
      <c r="K661" s="516"/>
      <c r="L661" s="516"/>
      <c r="M661" s="516"/>
      <c r="N661" s="516"/>
      <c r="O661" s="516"/>
      <c r="P661" s="516"/>
      <c r="Q661" s="516"/>
      <c r="R661" s="516"/>
      <c r="S661" s="516"/>
      <c r="T661" s="516"/>
      <c r="U661" s="516"/>
      <c r="V661" s="516"/>
      <c r="W661" s="516"/>
      <c r="X661" s="516"/>
      <c r="Y661" s="516"/>
      <c r="Z661" s="516"/>
    </row>
    <row r="662" ht="14.25" customHeight="1">
      <c r="A662" s="516"/>
      <c r="B662" s="516"/>
      <c r="C662" s="517"/>
      <c r="D662" s="517"/>
      <c r="E662" s="517"/>
      <c r="F662" s="516"/>
      <c r="G662" s="516"/>
      <c r="H662" s="516"/>
      <c r="I662" s="516"/>
      <c r="J662" s="516"/>
      <c r="K662" s="516"/>
      <c r="L662" s="516"/>
      <c r="M662" s="516"/>
      <c r="N662" s="516"/>
      <c r="O662" s="516"/>
      <c r="P662" s="516"/>
      <c r="Q662" s="516"/>
      <c r="R662" s="516"/>
      <c r="S662" s="516"/>
      <c r="T662" s="516"/>
      <c r="U662" s="516"/>
      <c r="V662" s="516"/>
      <c r="W662" s="516"/>
      <c r="X662" s="516"/>
      <c r="Y662" s="516"/>
      <c r="Z662" s="516"/>
    </row>
    <row r="663" ht="14.25" customHeight="1">
      <c r="A663" s="516"/>
      <c r="B663" s="516"/>
      <c r="C663" s="517"/>
      <c r="D663" s="517"/>
      <c r="E663" s="517"/>
      <c r="F663" s="516"/>
      <c r="G663" s="516"/>
      <c r="H663" s="516"/>
      <c r="I663" s="516"/>
      <c r="J663" s="516"/>
      <c r="K663" s="516"/>
      <c r="L663" s="516"/>
      <c r="M663" s="516"/>
      <c r="N663" s="516"/>
      <c r="O663" s="516"/>
      <c r="P663" s="516"/>
      <c r="Q663" s="516"/>
      <c r="R663" s="516"/>
      <c r="S663" s="516"/>
      <c r="T663" s="516"/>
      <c r="U663" s="516"/>
      <c r="V663" s="516"/>
      <c r="W663" s="516"/>
      <c r="X663" s="516"/>
      <c r="Y663" s="516"/>
      <c r="Z663" s="516"/>
    </row>
    <row r="664" ht="14.25" customHeight="1">
      <c r="A664" s="516"/>
      <c r="B664" s="516"/>
      <c r="C664" s="517"/>
      <c r="D664" s="517"/>
      <c r="E664" s="517"/>
      <c r="F664" s="516"/>
      <c r="G664" s="516"/>
      <c r="H664" s="516"/>
      <c r="I664" s="516"/>
      <c r="J664" s="516"/>
      <c r="K664" s="516"/>
      <c r="L664" s="516"/>
      <c r="M664" s="516"/>
      <c r="N664" s="516"/>
      <c r="O664" s="516"/>
      <c r="P664" s="516"/>
      <c r="Q664" s="516"/>
      <c r="R664" s="516"/>
      <c r="S664" s="516"/>
      <c r="T664" s="516"/>
      <c r="U664" s="516"/>
      <c r="V664" s="516"/>
      <c r="W664" s="516"/>
      <c r="X664" s="516"/>
      <c r="Y664" s="516"/>
      <c r="Z664" s="516"/>
    </row>
    <row r="665" ht="14.25" customHeight="1">
      <c r="A665" s="516"/>
      <c r="B665" s="516"/>
      <c r="C665" s="517"/>
      <c r="D665" s="517"/>
      <c r="E665" s="517"/>
      <c r="F665" s="516"/>
      <c r="G665" s="516"/>
      <c r="H665" s="516"/>
      <c r="I665" s="516"/>
      <c r="J665" s="516"/>
      <c r="K665" s="516"/>
      <c r="L665" s="516"/>
      <c r="M665" s="516"/>
      <c r="N665" s="516"/>
      <c r="O665" s="516"/>
      <c r="P665" s="516"/>
      <c r="Q665" s="516"/>
      <c r="R665" s="516"/>
      <c r="S665" s="516"/>
      <c r="T665" s="516"/>
      <c r="U665" s="516"/>
      <c r="V665" s="516"/>
      <c r="W665" s="516"/>
      <c r="X665" s="516"/>
      <c r="Y665" s="516"/>
      <c r="Z665" s="516"/>
    </row>
    <row r="666" ht="14.25" customHeight="1">
      <c r="A666" s="516"/>
      <c r="B666" s="516"/>
      <c r="C666" s="517"/>
      <c r="D666" s="517"/>
      <c r="E666" s="517"/>
      <c r="F666" s="516"/>
      <c r="G666" s="516"/>
      <c r="H666" s="516"/>
      <c r="I666" s="516"/>
      <c r="J666" s="516"/>
      <c r="K666" s="516"/>
      <c r="L666" s="516"/>
      <c r="M666" s="516"/>
      <c r="N666" s="516"/>
      <c r="O666" s="516"/>
      <c r="P666" s="516"/>
      <c r="Q666" s="516"/>
      <c r="R666" s="516"/>
      <c r="S666" s="516"/>
      <c r="T666" s="516"/>
      <c r="U666" s="516"/>
      <c r="V666" s="516"/>
      <c r="W666" s="516"/>
      <c r="X666" s="516"/>
      <c r="Y666" s="516"/>
      <c r="Z666" s="516"/>
    </row>
    <row r="667" ht="14.25" customHeight="1">
      <c r="A667" s="516"/>
      <c r="B667" s="516"/>
      <c r="C667" s="517"/>
      <c r="D667" s="517"/>
      <c r="E667" s="517"/>
      <c r="F667" s="516"/>
      <c r="G667" s="516"/>
      <c r="H667" s="516"/>
      <c r="I667" s="516"/>
      <c r="J667" s="516"/>
      <c r="K667" s="516"/>
      <c r="L667" s="516"/>
      <c r="M667" s="516"/>
      <c r="N667" s="516"/>
      <c r="O667" s="516"/>
      <c r="P667" s="516"/>
      <c r="Q667" s="516"/>
      <c r="R667" s="516"/>
      <c r="S667" s="516"/>
      <c r="T667" s="516"/>
      <c r="U667" s="516"/>
      <c r="V667" s="516"/>
      <c r="W667" s="516"/>
      <c r="X667" s="516"/>
      <c r="Y667" s="516"/>
      <c r="Z667" s="516"/>
    </row>
    <row r="668" ht="14.25" customHeight="1">
      <c r="A668" s="516"/>
      <c r="B668" s="516"/>
      <c r="C668" s="517"/>
      <c r="D668" s="517"/>
      <c r="E668" s="517"/>
      <c r="F668" s="516"/>
      <c r="G668" s="516"/>
      <c r="H668" s="516"/>
      <c r="I668" s="516"/>
      <c r="J668" s="516"/>
      <c r="K668" s="516"/>
      <c r="L668" s="516"/>
      <c r="M668" s="516"/>
      <c r="N668" s="516"/>
      <c r="O668" s="516"/>
      <c r="P668" s="516"/>
      <c r="Q668" s="516"/>
      <c r="R668" s="516"/>
      <c r="S668" s="516"/>
      <c r="T668" s="516"/>
      <c r="U668" s="516"/>
      <c r="V668" s="516"/>
      <c r="W668" s="516"/>
      <c r="X668" s="516"/>
      <c r="Y668" s="516"/>
      <c r="Z668" s="516"/>
    </row>
    <row r="669" ht="14.25" customHeight="1">
      <c r="A669" s="516"/>
      <c r="B669" s="516"/>
      <c r="C669" s="517"/>
      <c r="D669" s="517"/>
      <c r="E669" s="517"/>
      <c r="F669" s="516"/>
      <c r="G669" s="516"/>
      <c r="H669" s="516"/>
      <c r="I669" s="516"/>
      <c r="J669" s="516"/>
      <c r="K669" s="516"/>
      <c r="L669" s="516"/>
      <c r="M669" s="516"/>
      <c r="N669" s="516"/>
      <c r="O669" s="516"/>
      <c r="P669" s="516"/>
      <c r="Q669" s="516"/>
      <c r="R669" s="516"/>
      <c r="S669" s="516"/>
      <c r="T669" s="516"/>
      <c r="U669" s="516"/>
      <c r="V669" s="516"/>
      <c r="W669" s="516"/>
      <c r="X669" s="516"/>
      <c r="Y669" s="516"/>
      <c r="Z669" s="516"/>
    </row>
    <row r="670" ht="14.25" customHeight="1">
      <c r="A670" s="516"/>
      <c r="B670" s="516"/>
      <c r="C670" s="517"/>
      <c r="D670" s="517"/>
      <c r="E670" s="517"/>
      <c r="F670" s="516"/>
      <c r="G670" s="516"/>
      <c r="H670" s="516"/>
      <c r="I670" s="516"/>
      <c r="J670" s="516"/>
      <c r="K670" s="516"/>
      <c r="L670" s="516"/>
      <c r="M670" s="516"/>
      <c r="N670" s="516"/>
      <c r="O670" s="516"/>
      <c r="P670" s="516"/>
      <c r="Q670" s="516"/>
      <c r="R670" s="516"/>
      <c r="S670" s="516"/>
      <c r="T670" s="516"/>
      <c r="U670" s="516"/>
      <c r="V670" s="516"/>
      <c r="W670" s="516"/>
      <c r="X670" s="516"/>
      <c r="Y670" s="516"/>
      <c r="Z670" s="516"/>
    </row>
    <row r="671" ht="14.25" customHeight="1">
      <c r="A671" s="516"/>
      <c r="B671" s="516"/>
      <c r="C671" s="517"/>
      <c r="D671" s="517"/>
      <c r="E671" s="517"/>
      <c r="F671" s="516"/>
      <c r="G671" s="516"/>
      <c r="H671" s="516"/>
      <c r="I671" s="516"/>
      <c r="J671" s="516"/>
      <c r="K671" s="516"/>
      <c r="L671" s="516"/>
      <c r="M671" s="516"/>
      <c r="N671" s="516"/>
      <c r="O671" s="516"/>
      <c r="P671" s="516"/>
      <c r="Q671" s="516"/>
      <c r="R671" s="516"/>
      <c r="S671" s="516"/>
      <c r="T671" s="516"/>
      <c r="U671" s="516"/>
      <c r="V671" s="516"/>
      <c r="W671" s="516"/>
      <c r="X671" s="516"/>
      <c r="Y671" s="516"/>
      <c r="Z671" s="516"/>
    </row>
    <row r="672" ht="14.25" customHeight="1">
      <c r="A672" s="516"/>
      <c r="B672" s="516"/>
      <c r="C672" s="517"/>
      <c r="D672" s="517"/>
      <c r="E672" s="517"/>
      <c r="F672" s="516"/>
      <c r="G672" s="516"/>
      <c r="H672" s="516"/>
      <c r="I672" s="516"/>
      <c r="J672" s="516"/>
      <c r="K672" s="516"/>
      <c r="L672" s="516"/>
      <c r="M672" s="516"/>
      <c r="N672" s="516"/>
      <c r="O672" s="516"/>
      <c r="P672" s="516"/>
      <c r="Q672" s="516"/>
      <c r="R672" s="516"/>
      <c r="S672" s="516"/>
      <c r="T672" s="516"/>
      <c r="U672" s="516"/>
      <c r="V672" s="516"/>
      <c r="W672" s="516"/>
      <c r="X672" s="516"/>
      <c r="Y672" s="516"/>
      <c r="Z672" s="516"/>
    </row>
    <row r="673" ht="14.25" customHeight="1">
      <c r="A673" s="516"/>
      <c r="B673" s="516"/>
      <c r="C673" s="517"/>
      <c r="D673" s="517"/>
      <c r="E673" s="517"/>
      <c r="F673" s="516"/>
      <c r="G673" s="516"/>
      <c r="H673" s="516"/>
      <c r="I673" s="516"/>
      <c r="J673" s="516"/>
      <c r="K673" s="516"/>
      <c r="L673" s="516"/>
      <c r="M673" s="516"/>
      <c r="N673" s="516"/>
      <c r="O673" s="516"/>
      <c r="P673" s="516"/>
      <c r="Q673" s="516"/>
      <c r="R673" s="516"/>
      <c r="S673" s="516"/>
      <c r="T673" s="516"/>
      <c r="U673" s="516"/>
      <c r="V673" s="516"/>
      <c r="W673" s="516"/>
      <c r="X673" s="516"/>
      <c r="Y673" s="516"/>
      <c r="Z673" s="516"/>
    </row>
    <row r="674" ht="14.25" customHeight="1">
      <c r="A674" s="516"/>
      <c r="B674" s="516"/>
      <c r="C674" s="517"/>
      <c r="D674" s="517"/>
      <c r="E674" s="517"/>
      <c r="F674" s="516"/>
      <c r="G674" s="516"/>
      <c r="H674" s="516"/>
      <c r="I674" s="516"/>
      <c r="J674" s="516"/>
      <c r="K674" s="516"/>
      <c r="L674" s="516"/>
      <c r="M674" s="516"/>
      <c r="N674" s="516"/>
      <c r="O674" s="516"/>
      <c r="P674" s="516"/>
      <c r="Q674" s="516"/>
      <c r="R674" s="516"/>
      <c r="S674" s="516"/>
      <c r="T674" s="516"/>
      <c r="U674" s="516"/>
      <c r="V674" s="516"/>
      <c r="W674" s="516"/>
      <c r="X674" s="516"/>
      <c r="Y674" s="516"/>
      <c r="Z674" s="516"/>
    </row>
    <row r="675" ht="14.25" customHeight="1">
      <c r="A675" s="516"/>
      <c r="B675" s="516"/>
      <c r="C675" s="517"/>
      <c r="D675" s="517"/>
      <c r="E675" s="517"/>
      <c r="F675" s="516"/>
      <c r="G675" s="516"/>
      <c r="H675" s="516"/>
      <c r="I675" s="516"/>
      <c r="J675" s="516"/>
      <c r="K675" s="516"/>
      <c r="L675" s="516"/>
      <c r="M675" s="516"/>
      <c r="N675" s="516"/>
      <c r="O675" s="516"/>
      <c r="P675" s="516"/>
      <c r="Q675" s="516"/>
      <c r="R675" s="516"/>
      <c r="S675" s="516"/>
      <c r="T675" s="516"/>
      <c r="U675" s="516"/>
      <c r="V675" s="516"/>
      <c r="W675" s="516"/>
      <c r="X675" s="516"/>
      <c r="Y675" s="516"/>
      <c r="Z675" s="516"/>
    </row>
    <row r="676" ht="14.25" customHeight="1">
      <c r="A676" s="516"/>
      <c r="B676" s="516"/>
      <c r="C676" s="517"/>
      <c r="D676" s="517"/>
      <c r="E676" s="517"/>
      <c r="F676" s="516"/>
      <c r="G676" s="516"/>
      <c r="H676" s="516"/>
      <c r="I676" s="516"/>
      <c r="J676" s="516"/>
      <c r="K676" s="516"/>
      <c r="L676" s="516"/>
      <c r="M676" s="516"/>
      <c r="N676" s="516"/>
      <c r="O676" s="516"/>
      <c r="P676" s="516"/>
      <c r="Q676" s="516"/>
      <c r="R676" s="516"/>
      <c r="S676" s="516"/>
      <c r="T676" s="516"/>
      <c r="U676" s="516"/>
      <c r="V676" s="516"/>
      <c r="W676" s="516"/>
      <c r="X676" s="516"/>
      <c r="Y676" s="516"/>
      <c r="Z676" s="516"/>
    </row>
    <row r="677" ht="14.25" customHeight="1">
      <c r="A677" s="516"/>
      <c r="B677" s="516"/>
      <c r="C677" s="517"/>
      <c r="D677" s="517"/>
      <c r="E677" s="517"/>
      <c r="F677" s="516"/>
      <c r="G677" s="516"/>
      <c r="H677" s="516"/>
      <c r="I677" s="516"/>
      <c r="J677" s="516"/>
      <c r="K677" s="516"/>
      <c r="L677" s="516"/>
      <c r="M677" s="516"/>
      <c r="N677" s="516"/>
      <c r="O677" s="516"/>
      <c r="P677" s="516"/>
      <c r="Q677" s="516"/>
      <c r="R677" s="516"/>
      <c r="S677" s="516"/>
      <c r="T677" s="516"/>
      <c r="U677" s="516"/>
      <c r="V677" s="516"/>
      <c r="W677" s="516"/>
      <c r="X677" s="516"/>
      <c r="Y677" s="516"/>
      <c r="Z677" s="516"/>
    </row>
    <row r="678" ht="14.25" customHeight="1">
      <c r="A678" s="516"/>
      <c r="B678" s="516"/>
      <c r="C678" s="517"/>
      <c r="D678" s="517"/>
      <c r="E678" s="517"/>
      <c r="F678" s="516"/>
      <c r="G678" s="516"/>
      <c r="H678" s="516"/>
      <c r="I678" s="516"/>
      <c r="J678" s="516"/>
      <c r="K678" s="516"/>
      <c r="L678" s="516"/>
      <c r="M678" s="516"/>
      <c r="N678" s="516"/>
      <c r="O678" s="516"/>
      <c r="P678" s="516"/>
      <c r="Q678" s="516"/>
      <c r="R678" s="516"/>
      <c r="S678" s="516"/>
      <c r="T678" s="516"/>
      <c r="U678" s="516"/>
      <c r="V678" s="516"/>
      <c r="W678" s="516"/>
      <c r="X678" s="516"/>
      <c r="Y678" s="516"/>
      <c r="Z678" s="516"/>
    </row>
    <row r="679" ht="14.25" customHeight="1">
      <c r="A679" s="516"/>
      <c r="B679" s="516"/>
      <c r="C679" s="517"/>
      <c r="D679" s="517"/>
      <c r="E679" s="517"/>
      <c r="F679" s="516"/>
      <c r="G679" s="516"/>
      <c r="H679" s="516"/>
      <c r="I679" s="516"/>
      <c r="J679" s="516"/>
      <c r="K679" s="516"/>
      <c r="L679" s="516"/>
      <c r="M679" s="516"/>
      <c r="N679" s="516"/>
      <c r="O679" s="516"/>
      <c r="P679" s="516"/>
      <c r="Q679" s="516"/>
      <c r="R679" s="516"/>
      <c r="S679" s="516"/>
      <c r="T679" s="516"/>
      <c r="U679" s="516"/>
      <c r="V679" s="516"/>
      <c r="W679" s="516"/>
      <c r="X679" s="516"/>
      <c r="Y679" s="516"/>
      <c r="Z679" s="516"/>
    </row>
    <row r="680" ht="14.25" customHeight="1">
      <c r="A680" s="516"/>
      <c r="B680" s="516"/>
      <c r="C680" s="517"/>
      <c r="D680" s="517"/>
      <c r="E680" s="517"/>
      <c r="F680" s="516"/>
      <c r="G680" s="516"/>
      <c r="H680" s="516"/>
      <c r="I680" s="516"/>
      <c r="J680" s="516"/>
      <c r="K680" s="516"/>
      <c r="L680" s="516"/>
      <c r="M680" s="516"/>
      <c r="N680" s="516"/>
      <c r="O680" s="516"/>
      <c r="P680" s="516"/>
      <c r="Q680" s="516"/>
      <c r="R680" s="516"/>
      <c r="S680" s="516"/>
      <c r="T680" s="516"/>
      <c r="U680" s="516"/>
      <c r="V680" s="516"/>
      <c r="W680" s="516"/>
      <c r="X680" s="516"/>
      <c r="Y680" s="516"/>
      <c r="Z680" s="516"/>
    </row>
    <row r="681" ht="14.25" customHeight="1">
      <c r="A681" s="516"/>
      <c r="B681" s="516"/>
      <c r="C681" s="517"/>
      <c r="D681" s="517"/>
      <c r="E681" s="517"/>
      <c r="F681" s="516"/>
      <c r="G681" s="516"/>
      <c r="H681" s="516"/>
      <c r="I681" s="516"/>
      <c r="J681" s="516"/>
      <c r="K681" s="516"/>
      <c r="L681" s="516"/>
      <c r="M681" s="516"/>
      <c r="N681" s="516"/>
      <c r="O681" s="516"/>
      <c r="P681" s="516"/>
      <c r="Q681" s="516"/>
      <c r="R681" s="516"/>
      <c r="S681" s="516"/>
      <c r="T681" s="516"/>
      <c r="U681" s="516"/>
      <c r="V681" s="516"/>
      <c r="W681" s="516"/>
      <c r="X681" s="516"/>
      <c r="Y681" s="516"/>
      <c r="Z681" s="516"/>
    </row>
    <row r="682" ht="14.25" customHeight="1">
      <c r="A682" s="516"/>
      <c r="B682" s="516"/>
      <c r="C682" s="517"/>
      <c r="D682" s="517"/>
      <c r="E682" s="517"/>
      <c r="F682" s="516"/>
      <c r="G682" s="516"/>
      <c r="H682" s="516"/>
      <c r="I682" s="516"/>
      <c r="J682" s="516"/>
      <c r="K682" s="516"/>
      <c r="L682" s="516"/>
      <c r="M682" s="516"/>
      <c r="N682" s="516"/>
      <c r="O682" s="516"/>
      <c r="P682" s="516"/>
      <c r="Q682" s="516"/>
      <c r="R682" s="516"/>
      <c r="S682" s="516"/>
      <c r="T682" s="516"/>
      <c r="U682" s="516"/>
      <c r="V682" s="516"/>
      <c r="W682" s="516"/>
      <c r="X682" s="516"/>
      <c r="Y682" s="516"/>
      <c r="Z682" s="516"/>
    </row>
    <row r="683" ht="14.25" customHeight="1">
      <c r="A683" s="516"/>
      <c r="B683" s="516"/>
      <c r="C683" s="517"/>
      <c r="D683" s="517"/>
      <c r="E683" s="517"/>
      <c r="F683" s="516"/>
      <c r="G683" s="516"/>
      <c r="H683" s="516"/>
      <c r="I683" s="516"/>
      <c r="J683" s="516"/>
      <c r="K683" s="516"/>
      <c r="L683" s="516"/>
      <c r="M683" s="516"/>
      <c r="N683" s="516"/>
      <c r="O683" s="516"/>
      <c r="P683" s="516"/>
      <c r="Q683" s="516"/>
      <c r="R683" s="516"/>
      <c r="S683" s="516"/>
      <c r="T683" s="516"/>
      <c r="U683" s="516"/>
      <c r="V683" s="516"/>
      <c r="W683" s="516"/>
      <c r="X683" s="516"/>
      <c r="Y683" s="516"/>
      <c r="Z683" s="516"/>
    </row>
    <row r="684" ht="14.25" customHeight="1">
      <c r="A684" s="516"/>
      <c r="B684" s="516"/>
      <c r="C684" s="517"/>
      <c r="D684" s="517"/>
      <c r="E684" s="517"/>
      <c r="F684" s="516"/>
      <c r="G684" s="516"/>
      <c r="H684" s="516"/>
      <c r="I684" s="516"/>
      <c r="J684" s="516"/>
      <c r="K684" s="516"/>
      <c r="L684" s="516"/>
      <c r="M684" s="516"/>
      <c r="N684" s="516"/>
      <c r="O684" s="516"/>
      <c r="P684" s="516"/>
      <c r="Q684" s="516"/>
      <c r="R684" s="516"/>
      <c r="S684" s="516"/>
      <c r="T684" s="516"/>
      <c r="U684" s="516"/>
      <c r="V684" s="516"/>
      <c r="W684" s="516"/>
      <c r="X684" s="516"/>
      <c r="Y684" s="516"/>
      <c r="Z684" s="516"/>
    </row>
    <row r="685" ht="14.25" customHeight="1">
      <c r="A685" s="516"/>
      <c r="B685" s="516"/>
      <c r="C685" s="517"/>
      <c r="D685" s="517"/>
      <c r="E685" s="517"/>
      <c r="F685" s="516"/>
      <c r="G685" s="516"/>
      <c r="H685" s="516"/>
      <c r="I685" s="516"/>
      <c r="J685" s="516"/>
      <c r="K685" s="516"/>
      <c r="L685" s="516"/>
      <c r="M685" s="516"/>
      <c r="N685" s="516"/>
      <c r="O685" s="516"/>
      <c r="P685" s="516"/>
      <c r="Q685" s="516"/>
      <c r="R685" s="516"/>
      <c r="S685" s="516"/>
      <c r="T685" s="516"/>
      <c r="U685" s="516"/>
      <c r="V685" s="516"/>
      <c r="W685" s="516"/>
      <c r="X685" s="516"/>
      <c r="Y685" s="516"/>
      <c r="Z685" s="516"/>
    </row>
    <row r="686" ht="14.25" customHeight="1">
      <c r="A686" s="516"/>
      <c r="B686" s="516"/>
      <c r="C686" s="517"/>
      <c r="D686" s="517"/>
      <c r="E686" s="517"/>
      <c r="F686" s="516"/>
      <c r="G686" s="516"/>
      <c r="H686" s="516"/>
      <c r="I686" s="516"/>
      <c r="J686" s="516"/>
      <c r="K686" s="516"/>
      <c r="L686" s="516"/>
      <c r="M686" s="516"/>
      <c r="N686" s="516"/>
      <c r="O686" s="516"/>
      <c r="P686" s="516"/>
      <c r="Q686" s="516"/>
      <c r="R686" s="516"/>
      <c r="S686" s="516"/>
      <c r="T686" s="516"/>
      <c r="U686" s="516"/>
      <c r="V686" s="516"/>
      <c r="W686" s="516"/>
      <c r="X686" s="516"/>
      <c r="Y686" s="516"/>
      <c r="Z686" s="516"/>
    </row>
    <row r="687" ht="14.25" customHeight="1">
      <c r="A687" s="516"/>
      <c r="B687" s="516"/>
      <c r="C687" s="517"/>
      <c r="D687" s="517"/>
      <c r="E687" s="517"/>
      <c r="F687" s="516"/>
      <c r="G687" s="516"/>
      <c r="H687" s="516"/>
      <c r="I687" s="516"/>
      <c r="J687" s="516"/>
      <c r="K687" s="516"/>
      <c r="L687" s="516"/>
      <c r="M687" s="516"/>
      <c r="N687" s="516"/>
      <c r="O687" s="516"/>
      <c r="P687" s="516"/>
      <c r="Q687" s="516"/>
      <c r="R687" s="516"/>
      <c r="S687" s="516"/>
      <c r="T687" s="516"/>
      <c r="U687" s="516"/>
      <c r="V687" s="516"/>
      <c r="W687" s="516"/>
      <c r="X687" s="516"/>
      <c r="Y687" s="516"/>
      <c r="Z687" s="516"/>
    </row>
    <row r="688" ht="14.25" customHeight="1">
      <c r="A688" s="516"/>
      <c r="B688" s="516"/>
      <c r="C688" s="517"/>
      <c r="D688" s="517"/>
      <c r="E688" s="517"/>
      <c r="F688" s="516"/>
      <c r="G688" s="516"/>
      <c r="H688" s="516"/>
      <c r="I688" s="516"/>
      <c r="J688" s="516"/>
      <c r="K688" s="516"/>
      <c r="L688" s="516"/>
      <c r="M688" s="516"/>
      <c r="N688" s="516"/>
      <c r="O688" s="516"/>
      <c r="P688" s="516"/>
      <c r="Q688" s="516"/>
      <c r="R688" s="516"/>
      <c r="S688" s="516"/>
      <c r="T688" s="516"/>
      <c r="U688" s="516"/>
      <c r="V688" s="516"/>
      <c r="W688" s="516"/>
      <c r="X688" s="516"/>
      <c r="Y688" s="516"/>
      <c r="Z688" s="516"/>
    </row>
    <row r="689" ht="14.25" customHeight="1">
      <c r="A689" s="516"/>
      <c r="B689" s="516"/>
      <c r="C689" s="517"/>
      <c r="D689" s="517"/>
      <c r="E689" s="517"/>
      <c r="F689" s="516"/>
      <c r="G689" s="516"/>
      <c r="H689" s="516"/>
      <c r="I689" s="516"/>
      <c r="J689" s="516"/>
      <c r="K689" s="516"/>
      <c r="L689" s="516"/>
      <c r="M689" s="516"/>
      <c r="N689" s="516"/>
      <c r="O689" s="516"/>
      <c r="P689" s="516"/>
      <c r="Q689" s="516"/>
      <c r="R689" s="516"/>
      <c r="S689" s="516"/>
      <c r="T689" s="516"/>
      <c r="U689" s="516"/>
      <c r="V689" s="516"/>
      <c r="W689" s="516"/>
      <c r="X689" s="516"/>
      <c r="Y689" s="516"/>
      <c r="Z689" s="516"/>
    </row>
    <row r="690" ht="14.25" customHeight="1">
      <c r="A690" s="516"/>
      <c r="B690" s="516"/>
      <c r="C690" s="517"/>
      <c r="D690" s="517"/>
      <c r="E690" s="517"/>
      <c r="F690" s="516"/>
      <c r="G690" s="516"/>
      <c r="H690" s="516"/>
      <c r="I690" s="516"/>
      <c r="J690" s="516"/>
      <c r="K690" s="516"/>
      <c r="L690" s="516"/>
      <c r="M690" s="516"/>
      <c r="N690" s="516"/>
      <c r="O690" s="516"/>
      <c r="P690" s="516"/>
      <c r="Q690" s="516"/>
      <c r="R690" s="516"/>
      <c r="S690" s="516"/>
      <c r="T690" s="516"/>
      <c r="U690" s="516"/>
      <c r="V690" s="516"/>
      <c r="W690" s="516"/>
      <c r="X690" s="516"/>
      <c r="Y690" s="516"/>
      <c r="Z690" s="516"/>
    </row>
    <row r="691" ht="14.25" customHeight="1">
      <c r="A691" s="516"/>
      <c r="B691" s="516"/>
      <c r="C691" s="517"/>
      <c r="D691" s="517"/>
      <c r="E691" s="517"/>
      <c r="F691" s="516"/>
      <c r="G691" s="516"/>
      <c r="H691" s="516"/>
      <c r="I691" s="516"/>
      <c r="J691" s="516"/>
      <c r="K691" s="516"/>
      <c r="L691" s="516"/>
      <c r="M691" s="516"/>
      <c r="N691" s="516"/>
      <c r="O691" s="516"/>
      <c r="P691" s="516"/>
      <c r="Q691" s="516"/>
      <c r="R691" s="516"/>
      <c r="S691" s="516"/>
      <c r="T691" s="516"/>
      <c r="U691" s="516"/>
      <c r="V691" s="516"/>
      <c r="W691" s="516"/>
      <c r="X691" s="516"/>
      <c r="Y691" s="516"/>
      <c r="Z691" s="516"/>
    </row>
    <row r="692" ht="14.25" customHeight="1">
      <c r="A692" s="516"/>
      <c r="B692" s="516"/>
      <c r="C692" s="517"/>
      <c r="D692" s="517"/>
      <c r="E692" s="517"/>
      <c r="F692" s="516"/>
      <c r="G692" s="516"/>
      <c r="H692" s="516"/>
      <c r="I692" s="516"/>
      <c r="J692" s="516"/>
      <c r="K692" s="516"/>
      <c r="L692" s="516"/>
      <c r="M692" s="516"/>
      <c r="N692" s="516"/>
      <c r="O692" s="516"/>
      <c r="P692" s="516"/>
      <c r="Q692" s="516"/>
      <c r="R692" s="516"/>
      <c r="S692" s="516"/>
      <c r="T692" s="516"/>
      <c r="U692" s="516"/>
      <c r="V692" s="516"/>
      <c r="W692" s="516"/>
      <c r="X692" s="516"/>
      <c r="Y692" s="516"/>
      <c r="Z692" s="516"/>
    </row>
    <row r="693" ht="14.25" customHeight="1">
      <c r="A693" s="516"/>
      <c r="B693" s="516"/>
      <c r="C693" s="517"/>
      <c r="D693" s="517"/>
      <c r="E693" s="517"/>
      <c r="F693" s="516"/>
      <c r="G693" s="516"/>
      <c r="H693" s="516"/>
      <c r="I693" s="516"/>
      <c r="J693" s="516"/>
      <c r="K693" s="516"/>
      <c r="L693" s="516"/>
      <c r="M693" s="516"/>
      <c r="N693" s="516"/>
      <c r="O693" s="516"/>
      <c r="P693" s="516"/>
      <c r="Q693" s="516"/>
      <c r="R693" s="516"/>
      <c r="S693" s="516"/>
      <c r="T693" s="516"/>
      <c r="U693" s="516"/>
      <c r="V693" s="516"/>
      <c r="W693" s="516"/>
      <c r="X693" s="516"/>
      <c r="Y693" s="516"/>
      <c r="Z693" s="516"/>
    </row>
    <row r="694" ht="14.25" customHeight="1">
      <c r="A694" s="516"/>
      <c r="B694" s="516"/>
      <c r="C694" s="517"/>
      <c r="D694" s="517"/>
      <c r="E694" s="517"/>
      <c r="F694" s="516"/>
      <c r="G694" s="516"/>
      <c r="H694" s="516"/>
      <c r="I694" s="516"/>
      <c r="J694" s="516"/>
      <c r="K694" s="516"/>
      <c r="L694" s="516"/>
      <c r="M694" s="516"/>
      <c r="N694" s="516"/>
      <c r="O694" s="516"/>
      <c r="P694" s="516"/>
      <c r="Q694" s="516"/>
      <c r="R694" s="516"/>
      <c r="S694" s="516"/>
      <c r="T694" s="516"/>
      <c r="U694" s="516"/>
      <c r="V694" s="516"/>
      <c r="W694" s="516"/>
      <c r="X694" s="516"/>
      <c r="Y694" s="516"/>
      <c r="Z694" s="516"/>
    </row>
    <row r="695" ht="14.25" customHeight="1">
      <c r="A695" s="516"/>
      <c r="B695" s="516"/>
      <c r="C695" s="517"/>
      <c r="D695" s="517"/>
      <c r="E695" s="517"/>
      <c r="F695" s="516"/>
      <c r="G695" s="516"/>
      <c r="H695" s="516"/>
      <c r="I695" s="516"/>
      <c r="J695" s="516"/>
      <c r="K695" s="516"/>
      <c r="L695" s="516"/>
      <c r="M695" s="516"/>
      <c r="N695" s="516"/>
      <c r="O695" s="516"/>
      <c r="P695" s="516"/>
      <c r="Q695" s="516"/>
      <c r="R695" s="516"/>
      <c r="S695" s="516"/>
      <c r="T695" s="516"/>
      <c r="U695" s="516"/>
      <c r="V695" s="516"/>
      <c r="W695" s="516"/>
      <c r="X695" s="516"/>
      <c r="Y695" s="516"/>
      <c r="Z695" s="516"/>
    </row>
    <row r="696" ht="14.25" customHeight="1">
      <c r="A696" s="516"/>
      <c r="B696" s="516"/>
      <c r="C696" s="517"/>
      <c r="D696" s="517"/>
      <c r="E696" s="517"/>
      <c r="F696" s="516"/>
      <c r="G696" s="516"/>
      <c r="H696" s="516"/>
      <c r="I696" s="516"/>
      <c r="J696" s="516"/>
      <c r="K696" s="516"/>
      <c r="L696" s="516"/>
      <c r="M696" s="516"/>
      <c r="N696" s="516"/>
      <c r="O696" s="516"/>
      <c r="P696" s="516"/>
      <c r="Q696" s="516"/>
      <c r="R696" s="516"/>
      <c r="S696" s="516"/>
      <c r="T696" s="516"/>
      <c r="U696" s="516"/>
      <c r="V696" s="516"/>
      <c r="W696" s="516"/>
      <c r="X696" s="516"/>
      <c r="Y696" s="516"/>
      <c r="Z696" s="516"/>
    </row>
    <row r="697" ht="14.25" customHeight="1">
      <c r="A697" s="516"/>
      <c r="B697" s="516"/>
      <c r="C697" s="517"/>
      <c r="D697" s="517"/>
      <c r="E697" s="517"/>
      <c r="F697" s="516"/>
      <c r="G697" s="516"/>
      <c r="H697" s="516"/>
      <c r="I697" s="516"/>
      <c r="J697" s="516"/>
      <c r="K697" s="516"/>
      <c r="L697" s="516"/>
      <c r="M697" s="516"/>
      <c r="N697" s="516"/>
      <c r="O697" s="516"/>
      <c r="P697" s="516"/>
      <c r="Q697" s="516"/>
      <c r="R697" s="516"/>
      <c r="S697" s="516"/>
      <c r="T697" s="516"/>
      <c r="U697" s="516"/>
      <c r="V697" s="516"/>
      <c r="W697" s="516"/>
      <c r="X697" s="516"/>
      <c r="Y697" s="516"/>
      <c r="Z697" s="516"/>
    </row>
    <row r="698" ht="14.25" customHeight="1">
      <c r="A698" s="516"/>
      <c r="B698" s="516"/>
      <c r="C698" s="517"/>
      <c r="D698" s="517"/>
      <c r="E698" s="517"/>
      <c r="F698" s="516"/>
      <c r="G698" s="516"/>
      <c r="H698" s="516"/>
      <c r="I698" s="516"/>
      <c r="J698" s="516"/>
      <c r="K698" s="516"/>
      <c r="L698" s="516"/>
      <c r="M698" s="516"/>
      <c r="N698" s="516"/>
      <c r="O698" s="516"/>
      <c r="P698" s="516"/>
      <c r="Q698" s="516"/>
      <c r="R698" s="516"/>
      <c r="S698" s="516"/>
      <c r="T698" s="516"/>
      <c r="U698" s="516"/>
      <c r="V698" s="516"/>
      <c r="W698" s="516"/>
      <c r="X698" s="516"/>
      <c r="Y698" s="516"/>
      <c r="Z698" s="516"/>
    </row>
    <row r="699" ht="14.25" customHeight="1">
      <c r="A699" s="516"/>
      <c r="B699" s="516"/>
      <c r="C699" s="517"/>
      <c r="D699" s="517"/>
      <c r="E699" s="517"/>
      <c r="F699" s="516"/>
      <c r="G699" s="516"/>
      <c r="H699" s="516"/>
      <c r="I699" s="516"/>
      <c r="J699" s="516"/>
      <c r="K699" s="516"/>
      <c r="L699" s="516"/>
      <c r="M699" s="516"/>
      <c r="N699" s="516"/>
      <c r="O699" s="516"/>
      <c r="P699" s="516"/>
      <c r="Q699" s="516"/>
      <c r="R699" s="516"/>
      <c r="S699" s="516"/>
      <c r="T699" s="516"/>
      <c r="U699" s="516"/>
      <c r="V699" s="516"/>
      <c r="W699" s="516"/>
      <c r="X699" s="516"/>
      <c r="Y699" s="516"/>
      <c r="Z699" s="516"/>
    </row>
    <row r="700" ht="14.25" customHeight="1">
      <c r="A700" s="516"/>
      <c r="B700" s="516"/>
      <c r="C700" s="517"/>
      <c r="D700" s="517"/>
      <c r="E700" s="517"/>
      <c r="F700" s="516"/>
      <c r="G700" s="516"/>
      <c r="H700" s="516"/>
      <c r="I700" s="516"/>
      <c r="J700" s="516"/>
      <c r="K700" s="516"/>
      <c r="L700" s="516"/>
      <c r="M700" s="516"/>
      <c r="N700" s="516"/>
      <c r="O700" s="516"/>
      <c r="P700" s="516"/>
      <c r="Q700" s="516"/>
      <c r="R700" s="516"/>
      <c r="S700" s="516"/>
      <c r="T700" s="516"/>
      <c r="U700" s="516"/>
      <c r="V700" s="516"/>
      <c r="W700" s="516"/>
      <c r="X700" s="516"/>
      <c r="Y700" s="516"/>
      <c r="Z700" s="516"/>
    </row>
    <row r="701" ht="14.25" customHeight="1">
      <c r="A701" s="516"/>
      <c r="B701" s="516"/>
      <c r="C701" s="517"/>
      <c r="D701" s="517"/>
      <c r="E701" s="517"/>
      <c r="F701" s="516"/>
      <c r="G701" s="516"/>
      <c r="H701" s="516"/>
      <c r="I701" s="516"/>
      <c r="J701" s="516"/>
      <c r="K701" s="516"/>
      <c r="L701" s="516"/>
      <c r="M701" s="516"/>
      <c r="N701" s="516"/>
      <c r="O701" s="516"/>
      <c r="P701" s="516"/>
      <c r="Q701" s="516"/>
      <c r="R701" s="516"/>
      <c r="S701" s="516"/>
      <c r="T701" s="516"/>
      <c r="U701" s="516"/>
      <c r="V701" s="516"/>
      <c r="W701" s="516"/>
      <c r="X701" s="516"/>
      <c r="Y701" s="516"/>
      <c r="Z701" s="516"/>
    </row>
    <row r="702" ht="14.25" customHeight="1">
      <c r="A702" s="516"/>
      <c r="B702" s="516"/>
      <c r="C702" s="517"/>
      <c r="D702" s="517"/>
      <c r="E702" s="517"/>
      <c r="F702" s="516"/>
      <c r="G702" s="516"/>
      <c r="H702" s="516"/>
      <c r="I702" s="516"/>
      <c r="J702" s="516"/>
      <c r="K702" s="516"/>
      <c r="L702" s="516"/>
      <c r="M702" s="516"/>
      <c r="N702" s="516"/>
      <c r="O702" s="516"/>
      <c r="P702" s="516"/>
      <c r="Q702" s="516"/>
      <c r="R702" s="516"/>
      <c r="S702" s="516"/>
      <c r="T702" s="516"/>
      <c r="U702" s="516"/>
      <c r="V702" s="516"/>
      <c r="W702" s="516"/>
      <c r="X702" s="516"/>
      <c r="Y702" s="516"/>
      <c r="Z702" s="516"/>
    </row>
    <row r="703" ht="14.25" customHeight="1">
      <c r="A703" s="516"/>
      <c r="B703" s="516"/>
      <c r="C703" s="517"/>
      <c r="D703" s="517"/>
      <c r="E703" s="517"/>
      <c r="F703" s="516"/>
      <c r="G703" s="516"/>
      <c r="H703" s="516"/>
      <c r="I703" s="516"/>
      <c r="J703" s="516"/>
      <c r="K703" s="516"/>
      <c r="L703" s="516"/>
      <c r="M703" s="516"/>
      <c r="N703" s="516"/>
      <c r="O703" s="516"/>
      <c r="P703" s="516"/>
      <c r="Q703" s="516"/>
      <c r="R703" s="516"/>
      <c r="S703" s="516"/>
      <c r="T703" s="516"/>
      <c r="U703" s="516"/>
      <c r="V703" s="516"/>
      <c r="W703" s="516"/>
      <c r="X703" s="516"/>
      <c r="Y703" s="516"/>
      <c r="Z703" s="516"/>
    </row>
    <row r="704" ht="14.25" customHeight="1">
      <c r="A704" s="516"/>
      <c r="B704" s="516"/>
      <c r="C704" s="517"/>
      <c r="D704" s="517"/>
      <c r="E704" s="517"/>
      <c r="F704" s="516"/>
      <c r="G704" s="516"/>
      <c r="H704" s="516"/>
      <c r="I704" s="516"/>
      <c r="J704" s="516"/>
      <c r="K704" s="516"/>
      <c r="L704" s="516"/>
      <c r="M704" s="516"/>
      <c r="N704" s="516"/>
      <c r="O704" s="516"/>
      <c r="P704" s="516"/>
      <c r="Q704" s="516"/>
      <c r="R704" s="516"/>
      <c r="S704" s="516"/>
      <c r="T704" s="516"/>
      <c r="U704" s="516"/>
      <c r="V704" s="516"/>
      <c r="W704" s="516"/>
      <c r="X704" s="516"/>
      <c r="Y704" s="516"/>
      <c r="Z704" s="516"/>
    </row>
    <row r="705" ht="14.25" customHeight="1">
      <c r="A705" s="516"/>
      <c r="B705" s="516"/>
      <c r="C705" s="517"/>
      <c r="D705" s="517"/>
      <c r="E705" s="517"/>
      <c r="F705" s="516"/>
      <c r="G705" s="516"/>
      <c r="H705" s="516"/>
      <c r="I705" s="516"/>
      <c r="J705" s="516"/>
      <c r="K705" s="516"/>
      <c r="L705" s="516"/>
      <c r="M705" s="516"/>
      <c r="N705" s="516"/>
      <c r="O705" s="516"/>
      <c r="P705" s="516"/>
      <c r="Q705" s="516"/>
      <c r="R705" s="516"/>
      <c r="S705" s="516"/>
      <c r="T705" s="516"/>
      <c r="U705" s="516"/>
      <c r="V705" s="516"/>
      <c r="W705" s="516"/>
      <c r="X705" s="516"/>
      <c r="Y705" s="516"/>
      <c r="Z705" s="516"/>
    </row>
    <row r="706" ht="14.25" customHeight="1">
      <c r="A706" s="516"/>
      <c r="B706" s="516"/>
      <c r="C706" s="517"/>
      <c r="D706" s="517"/>
      <c r="E706" s="517"/>
      <c r="F706" s="516"/>
      <c r="G706" s="516"/>
      <c r="H706" s="516"/>
      <c r="I706" s="516"/>
      <c r="J706" s="516"/>
      <c r="K706" s="516"/>
      <c r="L706" s="516"/>
      <c r="M706" s="516"/>
      <c r="N706" s="516"/>
      <c r="O706" s="516"/>
      <c r="P706" s="516"/>
      <c r="Q706" s="516"/>
      <c r="R706" s="516"/>
      <c r="S706" s="516"/>
      <c r="T706" s="516"/>
      <c r="U706" s="516"/>
      <c r="V706" s="516"/>
      <c r="W706" s="516"/>
      <c r="X706" s="516"/>
      <c r="Y706" s="516"/>
      <c r="Z706" s="516"/>
    </row>
    <row r="707" ht="14.25" customHeight="1">
      <c r="A707" s="516"/>
      <c r="B707" s="516"/>
      <c r="C707" s="517"/>
      <c r="D707" s="517"/>
      <c r="E707" s="517"/>
      <c r="F707" s="516"/>
      <c r="G707" s="516"/>
      <c r="H707" s="516"/>
      <c r="I707" s="516"/>
      <c r="J707" s="516"/>
      <c r="K707" s="516"/>
      <c r="L707" s="516"/>
      <c r="M707" s="516"/>
      <c r="N707" s="516"/>
      <c r="O707" s="516"/>
      <c r="P707" s="516"/>
      <c r="Q707" s="516"/>
      <c r="R707" s="516"/>
      <c r="S707" s="516"/>
      <c r="T707" s="516"/>
      <c r="U707" s="516"/>
      <c r="V707" s="516"/>
      <c r="W707" s="516"/>
      <c r="X707" s="516"/>
      <c r="Y707" s="516"/>
      <c r="Z707" s="516"/>
    </row>
    <row r="708" ht="14.25" customHeight="1">
      <c r="A708" s="516"/>
      <c r="B708" s="516"/>
      <c r="C708" s="517"/>
      <c r="D708" s="517"/>
      <c r="E708" s="517"/>
      <c r="F708" s="516"/>
      <c r="G708" s="516"/>
      <c r="H708" s="516"/>
      <c r="I708" s="516"/>
      <c r="J708" s="516"/>
      <c r="K708" s="516"/>
      <c r="L708" s="516"/>
      <c r="M708" s="516"/>
      <c r="N708" s="516"/>
      <c r="O708" s="516"/>
      <c r="P708" s="516"/>
      <c r="Q708" s="516"/>
      <c r="R708" s="516"/>
      <c r="S708" s="516"/>
      <c r="T708" s="516"/>
      <c r="U708" s="516"/>
      <c r="V708" s="516"/>
      <c r="W708" s="516"/>
      <c r="X708" s="516"/>
      <c r="Y708" s="516"/>
      <c r="Z708" s="516"/>
    </row>
    <row r="709" ht="14.25" customHeight="1">
      <c r="A709" s="516"/>
      <c r="B709" s="516"/>
      <c r="C709" s="517"/>
      <c r="D709" s="517"/>
      <c r="E709" s="517"/>
      <c r="F709" s="516"/>
      <c r="G709" s="516"/>
      <c r="H709" s="516"/>
      <c r="I709" s="516"/>
      <c r="J709" s="516"/>
      <c r="K709" s="516"/>
      <c r="L709" s="516"/>
      <c r="M709" s="516"/>
      <c r="N709" s="516"/>
      <c r="O709" s="516"/>
      <c r="P709" s="516"/>
      <c r="Q709" s="516"/>
      <c r="R709" s="516"/>
      <c r="S709" s="516"/>
      <c r="T709" s="516"/>
      <c r="U709" s="516"/>
      <c r="V709" s="516"/>
      <c r="W709" s="516"/>
      <c r="X709" s="516"/>
      <c r="Y709" s="516"/>
      <c r="Z709" s="516"/>
    </row>
    <row r="710" ht="14.25" customHeight="1">
      <c r="A710" s="516"/>
      <c r="B710" s="516"/>
      <c r="C710" s="517"/>
      <c r="D710" s="517"/>
      <c r="E710" s="517"/>
      <c r="F710" s="516"/>
      <c r="G710" s="516"/>
      <c r="H710" s="516"/>
      <c r="I710" s="516"/>
      <c r="J710" s="516"/>
      <c r="K710" s="516"/>
      <c r="L710" s="516"/>
      <c r="M710" s="516"/>
      <c r="N710" s="516"/>
      <c r="O710" s="516"/>
      <c r="P710" s="516"/>
      <c r="Q710" s="516"/>
      <c r="R710" s="516"/>
      <c r="S710" s="516"/>
      <c r="T710" s="516"/>
      <c r="U710" s="516"/>
      <c r="V710" s="516"/>
      <c r="W710" s="516"/>
      <c r="X710" s="516"/>
      <c r="Y710" s="516"/>
      <c r="Z710" s="516"/>
    </row>
    <row r="711" ht="14.25" customHeight="1">
      <c r="A711" s="516"/>
      <c r="B711" s="516"/>
      <c r="C711" s="517"/>
      <c r="D711" s="517"/>
      <c r="E711" s="517"/>
      <c r="F711" s="516"/>
      <c r="G711" s="516"/>
      <c r="H711" s="516"/>
      <c r="I711" s="516"/>
      <c r="J711" s="516"/>
      <c r="K711" s="516"/>
      <c r="L711" s="516"/>
      <c r="M711" s="516"/>
      <c r="N711" s="516"/>
      <c r="O711" s="516"/>
      <c r="P711" s="516"/>
      <c r="Q711" s="516"/>
      <c r="R711" s="516"/>
      <c r="S711" s="516"/>
      <c r="T711" s="516"/>
      <c r="U711" s="516"/>
      <c r="V711" s="516"/>
      <c r="W711" s="516"/>
      <c r="X711" s="516"/>
      <c r="Y711" s="516"/>
      <c r="Z711" s="516"/>
    </row>
    <row r="712" ht="14.25" customHeight="1">
      <c r="A712" s="516"/>
      <c r="B712" s="516"/>
      <c r="C712" s="517"/>
      <c r="D712" s="517"/>
      <c r="E712" s="517"/>
      <c r="F712" s="516"/>
      <c r="G712" s="516"/>
      <c r="H712" s="516"/>
      <c r="I712" s="516"/>
      <c r="J712" s="516"/>
      <c r="K712" s="516"/>
      <c r="L712" s="516"/>
      <c r="M712" s="516"/>
      <c r="N712" s="516"/>
      <c r="O712" s="516"/>
      <c r="P712" s="516"/>
      <c r="Q712" s="516"/>
      <c r="R712" s="516"/>
      <c r="S712" s="516"/>
      <c r="T712" s="516"/>
      <c r="U712" s="516"/>
      <c r="V712" s="516"/>
      <c r="W712" s="516"/>
      <c r="X712" s="516"/>
      <c r="Y712" s="516"/>
      <c r="Z712" s="516"/>
    </row>
    <row r="713" ht="14.25" customHeight="1">
      <c r="A713" s="516"/>
      <c r="B713" s="516"/>
      <c r="C713" s="517"/>
      <c r="D713" s="517"/>
      <c r="E713" s="517"/>
      <c r="F713" s="516"/>
      <c r="G713" s="516"/>
      <c r="H713" s="516"/>
      <c r="I713" s="516"/>
      <c r="J713" s="516"/>
      <c r="K713" s="516"/>
      <c r="L713" s="516"/>
      <c r="M713" s="516"/>
      <c r="N713" s="516"/>
      <c r="O713" s="516"/>
      <c r="P713" s="516"/>
      <c r="Q713" s="516"/>
      <c r="R713" s="516"/>
      <c r="S713" s="516"/>
      <c r="T713" s="516"/>
      <c r="U713" s="516"/>
      <c r="V713" s="516"/>
      <c r="W713" s="516"/>
      <c r="X713" s="516"/>
      <c r="Y713" s="516"/>
      <c r="Z713" s="516"/>
    </row>
    <row r="714" ht="14.25" customHeight="1">
      <c r="A714" s="516"/>
      <c r="B714" s="516"/>
      <c r="C714" s="517"/>
      <c r="D714" s="517"/>
      <c r="E714" s="517"/>
      <c r="F714" s="516"/>
      <c r="G714" s="516"/>
      <c r="H714" s="516"/>
      <c r="I714" s="516"/>
      <c r="J714" s="516"/>
      <c r="K714" s="516"/>
      <c r="L714" s="516"/>
      <c r="M714" s="516"/>
      <c r="N714" s="516"/>
      <c r="O714" s="516"/>
      <c r="P714" s="516"/>
      <c r="Q714" s="516"/>
      <c r="R714" s="516"/>
      <c r="S714" s="516"/>
      <c r="T714" s="516"/>
      <c r="U714" s="516"/>
      <c r="V714" s="516"/>
      <c r="W714" s="516"/>
      <c r="X714" s="516"/>
      <c r="Y714" s="516"/>
      <c r="Z714" s="516"/>
    </row>
    <row r="715" ht="14.25" customHeight="1">
      <c r="A715" s="516"/>
      <c r="B715" s="516"/>
      <c r="C715" s="517"/>
      <c r="D715" s="517"/>
      <c r="E715" s="517"/>
      <c r="F715" s="516"/>
      <c r="G715" s="516"/>
      <c r="H715" s="516"/>
      <c r="I715" s="516"/>
      <c r="J715" s="516"/>
      <c r="K715" s="516"/>
      <c r="L715" s="516"/>
      <c r="M715" s="516"/>
      <c r="N715" s="516"/>
      <c r="O715" s="516"/>
      <c r="P715" s="516"/>
      <c r="Q715" s="516"/>
      <c r="R715" s="516"/>
      <c r="S715" s="516"/>
      <c r="T715" s="516"/>
      <c r="U715" s="516"/>
      <c r="V715" s="516"/>
      <c r="W715" s="516"/>
      <c r="X715" s="516"/>
      <c r="Y715" s="516"/>
      <c r="Z715" s="516"/>
    </row>
    <row r="716" ht="14.25" customHeight="1">
      <c r="A716" s="516"/>
      <c r="B716" s="516"/>
      <c r="C716" s="517"/>
      <c r="D716" s="517"/>
      <c r="E716" s="517"/>
      <c r="F716" s="516"/>
      <c r="G716" s="516"/>
      <c r="H716" s="516"/>
      <c r="I716" s="516"/>
      <c r="J716" s="516"/>
      <c r="K716" s="516"/>
      <c r="L716" s="516"/>
      <c r="M716" s="516"/>
      <c r="N716" s="516"/>
      <c r="O716" s="516"/>
      <c r="P716" s="516"/>
      <c r="Q716" s="516"/>
      <c r="R716" s="516"/>
      <c r="S716" s="516"/>
      <c r="T716" s="516"/>
      <c r="U716" s="516"/>
      <c r="V716" s="516"/>
      <c r="W716" s="516"/>
      <c r="X716" s="516"/>
      <c r="Y716" s="516"/>
      <c r="Z716" s="516"/>
    </row>
    <row r="717" ht="14.25" customHeight="1">
      <c r="A717" s="516"/>
      <c r="B717" s="516"/>
      <c r="C717" s="517"/>
      <c r="D717" s="517"/>
      <c r="E717" s="517"/>
      <c r="F717" s="516"/>
      <c r="G717" s="516"/>
      <c r="H717" s="516"/>
      <c r="I717" s="516"/>
      <c r="J717" s="516"/>
      <c r="K717" s="516"/>
      <c r="L717" s="516"/>
      <c r="M717" s="516"/>
      <c r="N717" s="516"/>
      <c r="O717" s="516"/>
      <c r="P717" s="516"/>
      <c r="Q717" s="516"/>
      <c r="R717" s="516"/>
      <c r="S717" s="516"/>
      <c r="T717" s="516"/>
      <c r="U717" s="516"/>
      <c r="V717" s="516"/>
      <c r="W717" s="516"/>
      <c r="X717" s="516"/>
      <c r="Y717" s="516"/>
      <c r="Z717" s="516"/>
    </row>
    <row r="718" ht="14.25" customHeight="1">
      <c r="A718" s="516"/>
      <c r="B718" s="516"/>
      <c r="C718" s="517"/>
      <c r="D718" s="517"/>
      <c r="E718" s="517"/>
      <c r="F718" s="516"/>
      <c r="G718" s="516"/>
      <c r="H718" s="516"/>
      <c r="I718" s="516"/>
      <c r="J718" s="516"/>
      <c r="K718" s="516"/>
      <c r="L718" s="516"/>
      <c r="M718" s="516"/>
      <c r="N718" s="516"/>
      <c r="O718" s="516"/>
      <c r="P718" s="516"/>
      <c r="Q718" s="516"/>
      <c r="R718" s="516"/>
      <c r="S718" s="516"/>
      <c r="T718" s="516"/>
      <c r="U718" s="516"/>
      <c r="V718" s="516"/>
      <c r="W718" s="516"/>
      <c r="X718" s="516"/>
      <c r="Y718" s="516"/>
      <c r="Z718" s="516"/>
    </row>
    <row r="719" ht="14.25" customHeight="1">
      <c r="A719" s="516"/>
      <c r="B719" s="516"/>
      <c r="C719" s="517"/>
      <c r="D719" s="517"/>
      <c r="E719" s="517"/>
      <c r="F719" s="516"/>
      <c r="G719" s="516"/>
      <c r="H719" s="516"/>
      <c r="I719" s="516"/>
      <c r="J719" s="516"/>
      <c r="K719" s="516"/>
      <c r="L719" s="516"/>
      <c r="M719" s="516"/>
      <c r="N719" s="516"/>
      <c r="O719" s="516"/>
      <c r="P719" s="516"/>
      <c r="Q719" s="516"/>
      <c r="R719" s="516"/>
      <c r="S719" s="516"/>
      <c r="T719" s="516"/>
      <c r="U719" s="516"/>
      <c r="V719" s="516"/>
      <c r="W719" s="516"/>
      <c r="X719" s="516"/>
      <c r="Y719" s="516"/>
      <c r="Z719" s="516"/>
    </row>
    <row r="720" ht="14.25" customHeight="1">
      <c r="A720" s="516"/>
      <c r="B720" s="516"/>
      <c r="C720" s="517"/>
      <c r="D720" s="517"/>
      <c r="E720" s="517"/>
      <c r="F720" s="516"/>
      <c r="G720" s="516"/>
      <c r="H720" s="516"/>
      <c r="I720" s="516"/>
      <c r="J720" s="516"/>
      <c r="K720" s="516"/>
      <c r="L720" s="516"/>
      <c r="M720" s="516"/>
      <c r="N720" s="516"/>
      <c r="O720" s="516"/>
      <c r="P720" s="516"/>
      <c r="Q720" s="516"/>
      <c r="R720" s="516"/>
      <c r="S720" s="516"/>
      <c r="T720" s="516"/>
      <c r="U720" s="516"/>
      <c r="V720" s="516"/>
      <c r="W720" s="516"/>
      <c r="X720" s="516"/>
      <c r="Y720" s="516"/>
      <c r="Z720" s="516"/>
    </row>
    <row r="721" ht="14.25" customHeight="1">
      <c r="A721" s="516"/>
      <c r="B721" s="516"/>
      <c r="C721" s="517"/>
      <c r="D721" s="517"/>
      <c r="E721" s="517"/>
      <c r="F721" s="516"/>
      <c r="G721" s="516"/>
      <c r="H721" s="516"/>
      <c r="I721" s="516"/>
      <c r="J721" s="516"/>
      <c r="K721" s="516"/>
      <c r="L721" s="516"/>
      <c r="M721" s="516"/>
      <c r="N721" s="516"/>
      <c r="O721" s="516"/>
      <c r="P721" s="516"/>
      <c r="Q721" s="516"/>
      <c r="R721" s="516"/>
      <c r="S721" s="516"/>
      <c r="T721" s="516"/>
      <c r="U721" s="516"/>
      <c r="V721" s="516"/>
      <c r="W721" s="516"/>
      <c r="X721" s="516"/>
      <c r="Y721" s="516"/>
      <c r="Z721" s="516"/>
    </row>
    <row r="722" ht="14.25" customHeight="1">
      <c r="A722" s="516"/>
      <c r="B722" s="516"/>
      <c r="C722" s="517"/>
      <c r="D722" s="517"/>
      <c r="E722" s="517"/>
      <c r="F722" s="516"/>
      <c r="G722" s="516"/>
      <c r="H722" s="516"/>
      <c r="I722" s="516"/>
      <c r="J722" s="516"/>
      <c r="K722" s="516"/>
      <c r="L722" s="516"/>
      <c r="M722" s="516"/>
      <c r="N722" s="516"/>
      <c r="O722" s="516"/>
      <c r="P722" s="516"/>
      <c r="Q722" s="516"/>
      <c r="R722" s="516"/>
      <c r="S722" s="516"/>
      <c r="T722" s="516"/>
      <c r="U722" s="516"/>
      <c r="V722" s="516"/>
      <c r="W722" s="516"/>
      <c r="X722" s="516"/>
      <c r="Y722" s="516"/>
      <c r="Z722" s="516"/>
    </row>
    <row r="723" ht="14.25" customHeight="1">
      <c r="A723" s="516"/>
      <c r="B723" s="516"/>
      <c r="C723" s="517"/>
      <c r="D723" s="517"/>
      <c r="E723" s="517"/>
      <c r="F723" s="516"/>
      <c r="G723" s="516"/>
      <c r="H723" s="516"/>
      <c r="I723" s="516"/>
      <c r="J723" s="516"/>
      <c r="K723" s="516"/>
      <c r="L723" s="516"/>
      <c r="M723" s="516"/>
      <c r="N723" s="516"/>
      <c r="O723" s="516"/>
      <c r="P723" s="516"/>
      <c r="Q723" s="516"/>
      <c r="R723" s="516"/>
      <c r="S723" s="516"/>
      <c r="T723" s="516"/>
      <c r="U723" s="516"/>
      <c r="V723" s="516"/>
      <c r="W723" s="516"/>
      <c r="X723" s="516"/>
      <c r="Y723" s="516"/>
      <c r="Z723" s="516"/>
    </row>
    <row r="724" ht="14.25" customHeight="1">
      <c r="A724" s="516"/>
      <c r="B724" s="516"/>
      <c r="C724" s="517"/>
      <c r="D724" s="517"/>
      <c r="E724" s="517"/>
      <c r="F724" s="516"/>
      <c r="G724" s="516"/>
      <c r="H724" s="516"/>
      <c r="I724" s="516"/>
      <c r="J724" s="516"/>
      <c r="K724" s="516"/>
      <c r="L724" s="516"/>
      <c r="M724" s="516"/>
      <c r="N724" s="516"/>
      <c r="O724" s="516"/>
      <c r="P724" s="516"/>
      <c r="Q724" s="516"/>
      <c r="R724" s="516"/>
      <c r="S724" s="516"/>
      <c r="T724" s="516"/>
      <c r="U724" s="516"/>
      <c r="V724" s="516"/>
      <c r="W724" s="516"/>
      <c r="X724" s="516"/>
      <c r="Y724" s="516"/>
      <c r="Z724" s="516"/>
    </row>
    <row r="725" ht="14.25" customHeight="1">
      <c r="A725" s="516"/>
      <c r="B725" s="516"/>
      <c r="C725" s="517"/>
      <c r="D725" s="517"/>
      <c r="E725" s="517"/>
      <c r="F725" s="516"/>
      <c r="G725" s="516"/>
      <c r="H725" s="516"/>
      <c r="I725" s="516"/>
      <c r="J725" s="516"/>
      <c r="K725" s="516"/>
      <c r="L725" s="516"/>
      <c r="M725" s="516"/>
      <c r="N725" s="516"/>
      <c r="O725" s="516"/>
      <c r="P725" s="516"/>
      <c r="Q725" s="516"/>
      <c r="R725" s="516"/>
      <c r="S725" s="516"/>
      <c r="T725" s="516"/>
      <c r="U725" s="516"/>
      <c r="V725" s="516"/>
      <c r="W725" s="516"/>
      <c r="X725" s="516"/>
      <c r="Y725" s="516"/>
      <c r="Z725" s="516"/>
    </row>
    <row r="726" ht="14.25" customHeight="1">
      <c r="A726" s="516"/>
      <c r="B726" s="516"/>
      <c r="C726" s="517"/>
      <c r="D726" s="517"/>
      <c r="E726" s="517"/>
      <c r="F726" s="516"/>
      <c r="G726" s="516"/>
      <c r="H726" s="516"/>
      <c r="I726" s="516"/>
      <c r="J726" s="516"/>
      <c r="K726" s="516"/>
      <c r="L726" s="516"/>
      <c r="M726" s="516"/>
      <c r="N726" s="516"/>
      <c r="O726" s="516"/>
      <c r="P726" s="516"/>
      <c r="Q726" s="516"/>
      <c r="R726" s="516"/>
      <c r="S726" s="516"/>
      <c r="T726" s="516"/>
      <c r="U726" s="516"/>
      <c r="V726" s="516"/>
      <c r="W726" s="516"/>
      <c r="X726" s="516"/>
      <c r="Y726" s="516"/>
      <c r="Z726" s="516"/>
    </row>
    <row r="727" ht="14.25" customHeight="1">
      <c r="A727" s="516"/>
      <c r="B727" s="516"/>
      <c r="C727" s="517"/>
      <c r="D727" s="517"/>
      <c r="E727" s="517"/>
      <c r="F727" s="516"/>
      <c r="G727" s="516"/>
      <c r="H727" s="516"/>
      <c r="I727" s="516"/>
      <c r="J727" s="516"/>
      <c r="K727" s="516"/>
      <c r="L727" s="516"/>
      <c r="M727" s="516"/>
      <c r="N727" s="516"/>
      <c r="O727" s="516"/>
      <c r="P727" s="516"/>
      <c r="Q727" s="516"/>
      <c r="R727" s="516"/>
      <c r="S727" s="516"/>
      <c r="T727" s="516"/>
      <c r="U727" s="516"/>
      <c r="V727" s="516"/>
      <c r="W727" s="516"/>
      <c r="X727" s="516"/>
      <c r="Y727" s="516"/>
      <c r="Z727" s="516"/>
    </row>
    <row r="728" ht="14.25" customHeight="1">
      <c r="A728" s="516"/>
      <c r="B728" s="516"/>
      <c r="C728" s="517"/>
      <c r="D728" s="517"/>
      <c r="E728" s="517"/>
      <c r="F728" s="516"/>
      <c r="G728" s="516"/>
      <c r="H728" s="516"/>
      <c r="I728" s="516"/>
      <c r="J728" s="516"/>
      <c r="K728" s="516"/>
      <c r="L728" s="516"/>
      <c r="M728" s="516"/>
      <c r="N728" s="516"/>
      <c r="O728" s="516"/>
      <c r="P728" s="516"/>
      <c r="Q728" s="516"/>
      <c r="R728" s="516"/>
      <c r="S728" s="516"/>
      <c r="T728" s="516"/>
      <c r="U728" s="516"/>
      <c r="V728" s="516"/>
      <c r="W728" s="516"/>
      <c r="X728" s="516"/>
      <c r="Y728" s="516"/>
      <c r="Z728" s="516"/>
    </row>
    <row r="729" ht="14.25" customHeight="1">
      <c r="A729" s="516"/>
      <c r="B729" s="516"/>
      <c r="C729" s="517"/>
      <c r="D729" s="517"/>
      <c r="E729" s="517"/>
      <c r="F729" s="516"/>
      <c r="G729" s="516"/>
      <c r="H729" s="516"/>
      <c r="I729" s="516"/>
      <c r="J729" s="516"/>
      <c r="K729" s="516"/>
      <c r="L729" s="516"/>
      <c r="M729" s="516"/>
      <c r="N729" s="516"/>
      <c r="O729" s="516"/>
      <c r="P729" s="516"/>
      <c r="Q729" s="516"/>
      <c r="R729" s="516"/>
      <c r="S729" s="516"/>
      <c r="T729" s="516"/>
      <c r="U729" s="516"/>
      <c r="V729" s="516"/>
      <c r="W729" s="516"/>
      <c r="X729" s="516"/>
      <c r="Y729" s="516"/>
      <c r="Z729" s="516"/>
    </row>
    <row r="730" ht="14.25" customHeight="1">
      <c r="A730" s="516"/>
      <c r="B730" s="516"/>
      <c r="C730" s="517"/>
      <c r="D730" s="517"/>
      <c r="E730" s="517"/>
      <c r="F730" s="516"/>
      <c r="G730" s="516"/>
      <c r="H730" s="516"/>
      <c r="I730" s="516"/>
      <c r="J730" s="516"/>
      <c r="K730" s="516"/>
      <c r="L730" s="516"/>
      <c r="M730" s="516"/>
      <c r="N730" s="516"/>
      <c r="O730" s="516"/>
      <c r="P730" s="516"/>
      <c r="Q730" s="516"/>
      <c r="R730" s="516"/>
      <c r="S730" s="516"/>
      <c r="T730" s="516"/>
      <c r="U730" s="516"/>
      <c r="V730" s="516"/>
      <c r="W730" s="516"/>
      <c r="X730" s="516"/>
      <c r="Y730" s="516"/>
      <c r="Z730" s="516"/>
    </row>
    <row r="731" ht="14.25" customHeight="1">
      <c r="A731" s="516"/>
      <c r="B731" s="516"/>
      <c r="C731" s="517"/>
      <c r="D731" s="517"/>
      <c r="E731" s="517"/>
      <c r="F731" s="516"/>
      <c r="G731" s="516"/>
      <c r="H731" s="516"/>
      <c r="I731" s="516"/>
      <c r="J731" s="516"/>
      <c r="K731" s="516"/>
      <c r="L731" s="516"/>
      <c r="M731" s="516"/>
      <c r="N731" s="516"/>
      <c r="O731" s="516"/>
      <c r="P731" s="516"/>
      <c r="Q731" s="516"/>
      <c r="R731" s="516"/>
      <c r="S731" s="516"/>
      <c r="T731" s="516"/>
      <c r="U731" s="516"/>
      <c r="V731" s="516"/>
      <c r="W731" s="516"/>
      <c r="X731" s="516"/>
      <c r="Y731" s="516"/>
      <c r="Z731" s="516"/>
    </row>
    <row r="732" ht="14.25" customHeight="1">
      <c r="A732" s="516"/>
      <c r="B732" s="516"/>
      <c r="C732" s="517"/>
      <c r="D732" s="517"/>
      <c r="E732" s="517"/>
      <c r="F732" s="516"/>
      <c r="G732" s="516"/>
      <c r="H732" s="516"/>
      <c r="I732" s="516"/>
      <c r="J732" s="516"/>
      <c r="K732" s="516"/>
      <c r="L732" s="516"/>
      <c r="M732" s="516"/>
      <c r="N732" s="516"/>
      <c r="O732" s="516"/>
      <c r="P732" s="516"/>
      <c r="Q732" s="516"/>
      <c r="R732" s="516"/>
      <c r="S732" s="516"/>
      <c r="T732" s="516"/>
      <c r="U732" s="516"/>
      <c r="V732" s="516"/>
      <c r="W732" s="516"/>
      <c r="X732" s="516"/>
      <c r="Y732" s="516"/>
      <c r="Z732" s="516"/>
    </row>
    <row r="733" ht="14.25" customHeight="1">
      <c r="A733" s="516"/>
      <c r="B733" s="516"/>
      <c r="C733" s="517"/>
      <c r="D733" s="517"/>
      <c r="E733" s="517"/>
      <c r="F733" s="516"/>
      <c r="G733" s="516"/>
      <c r="H733" s="516"/>
      <c r="I733" s="516"/>
      <c r="J733" s="516"/>
      <c r="K733" s="516"/>
      <c r="L733" s="516"/>
      <c r="M733" s="516"/>
      <c r="N733" s="516"/>
      <c r="O733" s="516"/>
      <c r="P733" s="516"/>
      <c r="Q733" s="516"/>
      <c r="R733" s="516"/>
      <c r="S733" s="516"/>
      <c r="T733" s="516"/>
      <c r="U733" s="516"/>
      <c r="V733" s="516"/>
      <c r="W733" s="516"/>
      <c r="X733" s="516"/>
      <c r="Y733" s="516"/>
      <c r="Z733" s="516"/>
    </row>
    <row r="734" ht="14.25" customHeight="1">
      <c r="A734" s="516"/>
      <c r="B734" s="516"/>
      <c r="C734" s="517"/>
      <c r="D734" s="517"/>
      <c r="E734" s="517"/>
      <c r="F734" s="516"/>
      <c r="G734" s="516"/>
      <c r="H734" s="516"/>
      <c r="I734" s="516"/>
      <c r="J734" s="516"/>
      <c r="K734" s="516"/>
      <c r="L734" s="516"/>
      <c r="M734" s="516"/>
      <c r="N734" s="516"/>
      <c r="O734" s="516"/>
      <c r="P734" s="516"/>
      <c r="Q734" s="516"/>
      <c r="R734" s="516"/>
      <c r="S734" s="516"/>
      <c r="T734" s="516"/>
      <c r="U734" s="516"/>
      <c r="V734" s="516"/>
      <c r="W734" s="516"/>
      <c r="X734" s="516"/>
      <c r="Y734" s="516"/>
      <c r="Z734" s="516"/>
    </row>
    <row r="735" ht="14.25" customHeight="1">
      <c r="A735" s="516"/>
      <c r="B735" s="516"/>
      <c r="C735" s="517"/>
      <c r="D735" s="517"/>
      <c r="E735" s="517"/>
      <c r="F735" s="516"/>
      <c r="G735" s="516"/>
      <c r="H735" s="516"/>
      <c r="I735" s="516"/>
      <c r="J735" s="516"/>
      <c r="K735" s="516"/>
      <c r="L735" s="516"/>
      <c r="M735" s="516"/>
      <c r="N735" s="516"/>
      <c r="O735" s="516"/>
      <c r="P735" s="516"/>
      <c r="Q735" s="516"/>
      <c r="R735" s="516"/>
      <c r="S735" s="516"/>
      <c r="T735" s="516"/>
      <c r="U735" s="516"/>
      <c r="V735" s="516"/>
      <c r="W735" s="516"/>
      <c r="X735" s="516"/>
      <c r="Y735" s="516"/>
      <c r="Z735" s="516"/>
    </row>
    <row r="736" ht="14.25" customHeight="1">
      <c r="A736" s="516"/>
      <c r="B736" s="516"/>
      <c r="C736" s="517"/>
      <c r="D736" s="517"/>
      <c r="E736" s="517"/>
      <c r="F736" s="516"/>
      <c r="G736" s="516"/>
      <c r="H736" s="516"/>
      <c r="I736" s="516"/>
      <c r="J736" s="516"/>
      <c r="K736" s="516"/>
      <c r="L736" s="516"/>
      <c r="M736" s="516"/>
      <c r="N736" s="516"/>
      <c r="O736" s="516"/>
      <c r="P736" s="516"/>
      <c r="Q736" s="516"/>
      <c r="R736" s="516"/>
      <c r="S736" s="516"/>
      <c r="T736" s="516"/>
      <c r="U736" s="516"/>
      <c r="V736" s="516"/>
      <c r="W736" s="516"/>
      <c r="X736" s="516"/>
      <c r="Y736" s="516"/>
      <c r="Z736" s="516"/>
    </row>
    <row r="737" ht="14.25" customHeight="1">
      <c r="A737" s="516"/>
      <c r="B737" s="516"/>
      <c r="C737" s="517"/>
      <c r="D737" s="517"/>
      <c r="E737" s="517"/>
      <c r="F737" s="516"/>
      <c r="G737" s="516"/>
      <c r="H737" s="516"/>
      <c r="I737" s="516"/>
      <c r="J737" s="516"/>
      <c r="K737" s="516"/>
      <c r="L737" s="516"/>
      <c r="M737" s="516"/>
      <c r="N737" s="516"/>
      <c r="O737" s="516"/>
      <c r="P737" s="516"/>
      <c r="Q737" s="516"/>
      <c r="R737" s="516"/>
      <c r="S737" s="516"/>
      <c r="T737" s="516"/>
      <c r="U737" s="516"/>
      <c r="V737" s="516"/>
      <c r="W737" s="516"/>
      <c r="X737" s="516"/>
      <c r="Y737" s="516"/>
      <c r="Z737" s="516"/>
    </row>
    <row r="738" ht="14.25" customHeight="1">
      <c r="A738" s="516"/>
      <c r="B738" s="516"/>
      <c r="C738" s="517"/>
      <c r="D738" s="517"/>
      <c r="E738" s="517"/>
      <c r="F738" s="516"/>
      <c r="G738" s="516"/>
      <c r="H738" s="516"/>
      <c r="I738" s="516"/>
      <c r="J738" s="516"/>
      <c r="K738" s="516"/>
      <c r="L738" s="516"/>
      <c r="M738" s="516"/>
      <c r="N738" s="516"/>
      <c r="O738" s="516"/>
      <c r="P738" s="516"/>
      <c r="Q738" s="516"/>
      <c r="R738" s="516"/>
      <c r="S738" s="516"/>
      <c r="T738" s="516"/>
      <c r="U738" s="516"/>
      <c r="V738" s="516"/>
      <c r="W738" s="516"/>
      <c r="X738" s="516"/>
      <c r="Y738" s="516"/>
      <c r="Z738" s="516"/>
    </row>
    <row r="739" ht="14.25" customHeight="1">
      <c r="A739" s="516"/>
      <c r="B739" s="516"/>
      <c r="C739" s="517"/>
      <c r="D739" s="517"/>
      <c r="E739" s="517"/>
      <c r="F739" s="516"/>
      <c r="G739" s="516"/>
      <c r="H739" s="516"/>
      <c r="I739" s="516"/>
      <c r="J739" s="516"/>
      <c r="K739" s="516"/>
      <c r="L739" s="516"/>
      <c r="M739" s="516"/>
      <c r="N739" s="516"/>
      <c r="O739" s="516"/>
      <c r="P739" s="516"/>
      <c r="Q739" s="516"/>
      <c r="R739" s="516"/>
      <c r="S739" s="516"/>
      <c r="T739" s="516"/>
      <c r="U739" s="516"/>
      <c r="V739" s="516"/>
      <c r="W739" s="516"/>
      <c r="X739" s="516"/>
      <c r="Y739" s="516"/>
      <c r="Z739" s="516"/>
    </row>
    <row r="740" ht="14.25" customHeight="1">
      <c r="A740" s="516"/>
      <c r="B740" s="516"/>
      <c r="C740" s="517"/>
      <c r="D740" s="517"/>
      <c r="E740" s="517"/>
      <c r="F740" s="516"/>
      <c r="G740" s="516"/>
      <c r="H740" s="516"/>
      <c r="I740" s="516"/>
      <c r="J740" s="516"/>
      <c r="K740" s="516"/>
      <c r="L740" s="516"/>
      <c r="M740" s="516"/>
      <c r="N740" s="516"/>
      <c r="O740" s="516"/>
      <c r="P740" s="516"/>
      <c r="Q740" s="516"/>
      <c r="R740" s="516"/>
      <c r="S740" s="516"/>
      <c r="T740" s="516"/>
      <c r="U740" s="516"/>
      <c r="V740" s="516"/>
      <c r="W740" s="516"/>
      <c r="X740" s="516"/>
      <c r="Y740" s="516"/>
      <c r="Z740" s="516"/>
    </row>
    <row r="741" ht="14.25" customHeight="1">
      <c r="A741" s="516"/>
      <c r="B741" s="516"/>
      <c r="C741" s="517"/>
      <c r="D741" s="517"/>
      <c r="E741" s="517"/>
      <c r="F741" s="516"/>
      <c r="G741" s="516"/>
      <c r="H741" s="516"/>
      <c r="I741" s="516"/>
      <c r="J741" s="516"/>
      <c r="K741" s="516"/>
      <c r="L741" s="516"/>
      <c r="M741" s="516"/>
      <c r="N741" s="516"/>
      <c r="O741" s="516"/>
      <c r="P741" s="516"/>
      <c r="Q741" s="516"/>
      <c r="R741" s="516"/>
      <c r="S741" s="516"/>
      <c r="T741" s="516"/>
      <c r="U741" s="516"/>
      <c r="V741" s="516"/>
      <c r="W741" s="516"/>
      <c r="X741" s="516"/>
      <c r="Y741" s="516"/>
      <c r="Z741" s="516"/>
    </row>
    <row r="742" ht="14.25" customHeight="1">
      <c r="A742" s="516"/>
      <c r="B742" s="516"/>
      <c r="C742" s="517"/>
      <c r="D742" s="517"/>
      <c r="E742" s="517"/>
      <c r="F742" s="516"/>
      <c r="G742" s="516"/>
      <c r="H742" s="516"/>
      <c r="I742" s="516"/>
      <c r="J742" s="516"/>
      <c r="K742" s="516"/>
      <c r="L742" s="516"/>
      <c r="M742" s="516"/>
      <c r="N742" s="516"/>
      <c r="O742" s="516"/>
      <c r="P742" s="516"/>
      <c r="Q742" s="516"/>
      <c r="R742" s="516"/>
      <c r="S742" s="516"/>
      <c r="T742" s="516"/>
      <c r="U742" s="516"/>
      <c r="V742" s="516"/>
      <c r="W742" s="516"/>
      <c r="X742" s="516"/>
      <c r="Y742" s="516"/>
      <c r="Z742" s="516"/>
    </row>
    <row r="743" ht="14.25" customHeight="1">
      <c r="A743" s="516"/>
      <c r="B743" s="516"/>
      <c r="C743" s="517"/>
      <c r="D743" s="517"/>
      <c r="E743" s="517"/>
      <c r="F743" s="516"/>
      <c r="G743" s="516"/>
      <c r="H743" s="516"/>
      <c r="I743" s="516"/>
      <c r="J743" s="516"/>
      <c r="K743" s="516"/>
      <c r="L743" s="516"/>
      <c r="M743" s="516"/>
      <c r="N743" s="516"/>
      <c r="O743" s="516"/>
      <c r="P743" s="516"/>
      <c r="Q743" s="516"/>
      <c r="R743" s="516"/>
      <c r="S743" s="516"/>
      <c r="T743" s="516"/>
      <c r="U743" s="516"/>
      <c r="V743" s="516"/>
      <c r="W743" s="516"/>
      <c r="X743" s="516"/>
      <c r="Y743" s="516"/>
      <c r="Z743" s="516"/>
    </row>
    <row r="744" ht="14.25" customHeight="1">
      <c r="A744" s="516"/>
      <c r="B744" s="516"/>
      <c r="C744" s="517"/>
      <c r="D744" s="517"/>
      <c r="E744" s="517"/>
      <c r="F744" s="516"/>
      <c r="G744" s="516"/>
      <c r="H744" s="516"/>
      <c r="I744" s="516"/>
      <c r="J744" s="516"/>
      <c r="K744" s="516"/>
      <c r="L744" s="516"/>
      <c r="M744" s="516"/>
      <c r="N744" s="516"/>
      <c r="O744" s="516"/>
      <c r="P744" s="516"/>
      <c r="Q744" s="516"/>
      <c r="R744" s="516"/>
      <c r="S744" s="516"/>
      <c r="T744" s="516"/>
      <c r="U744" s="516"/>
      <c r="V744" s="516"/>
      <c r="W744" s="516"/>
      <c r="X744" s="516"/>
      <c r="Y744" s="516"/>
      <c r="Z744" s="516"/>
    </row>
    <row r="745" ht="14.25" customHeight="1">
      <c r="A745" s="516"/>
      <c r="B745" s="516"/>
      <c r="C745" s="517"/>
      <c r="D745" s="517"/>
      <c r="E745" s="517"/>
      <c r="F745" s="516"/>
      <c r="G745" s="516"/>
      <c r="H745" s="516"/>
      <c r="I745" s="516"/>
      <c r="J745" s="516"/>
      <c r="K745" s="516"/>
      <c r="L745" s="516"/>
      <c r="M745" s="516"/>
      <c r="N745" s="516"/>
      <c r="O745" s="516"/>
      <c r="P745" s="516"/>
      <c r="Q745" s="516"/>
      <c r="R745" s="516"/>
      <c r="S745" s="516"/>
      <c r="T745" s="516"/>
      <c r="U745" s="516"/>
      <c r="V745" s="516"/>
      <c r="W745" s="516"/>
      <c r="X745" s="516"/>
      <c r="Y745" s="516"/>
      <c r="Z745" s="516"/>
    </row>
    <row r="746" ht="14.25" customHeight="1">
      <c r="A746" s="516"/>
      <c r="B746" s="516"/>
      <c r="C746" s="517"/>
      <c r="D746" s="517"/>
      <c r="E746" s="517"/>
      <c r="F746" s="516"/>
      <c r="G746" s="516"/>
      <c r="H746" s="516"/>
      <c r="I746" s="516"/>
      <c r="J746" s="516"/>
      <c r="K746" s="516"/>
      <c r="L746" s="516"/>
      <c r="M746" s="516"/>
      <c r="N746" s="516"/>
      <c r="O746" s="516"/>
      <c r="P746" s="516"/>
      <c r="Q746" s="516"/>
      <c r="R746" s="516"/>
      <c r="S746" s="516"/>
      <c r="T746" s="516"/>
      <c r="U746" s="516"/>
      <c r="V746" s="516"/>
      <c r="W746" s="516"/>
      <c r="X746" s="516"/>
      <c r="Y746" s="516"/>
      <c r="Z746" s="516"/>
    </row>
    <row r="747" ht="14.25" customHeight="1">
      <c r="A747" s="516"/>
      <c r="B747" s="516"/>
      <c r="C747" s="517"/>
      <c r="D747" s="517"/>
      <c r="E747" s="517"/>
      <c r="F747" s="516"/>
      <c r="G747" s="516"/>
      <c r="H747" s="516"/>
      <c r="I747" s="516"/>
      <c r="J747" s="516"/>
      <c r="K747" s="516"/>
      <c r="L747" s="516"/>
      <c r="M747" s="516"/>
      <c r="N747" s="516"/>
      <c r="O747" s="516"/>
      <c r="P747" s="516"/>
      <c r="Q747" s="516"/>
      <c r="R747" s="516"/>
      <c r="S747" s="516"/>
      <c r="T747" s="516"/>
      <c r="U747" s="516"/>
      <c r="V747" s="516"/>
      <c r="W747" s="516"/>
      <c r="X747" s="516"/>
      <c r="Y747" s="516"/>
      <c r="Z747" s="516"/>
    </row>
    <row r="748" ht="14.25" customHeight="1">
      <c r="A748" s="516"/>
      <c r="B748" s="516"/>
      <c r="C748" s="517"/>
      <c r="D748" s="517"/>
      <c r="E748" s="517"/>
      <c r="F748" s="516"/>
      <c r="G748" s="516"/>
      <c r="H748" s="516"/>
      <c r="I748" s="516"/>
      <c r="J748" s="516"/>
      <c r="K748" s="516"/>
      <c r="L748" s="516"/>
      <c r="M748" s="516"/>
      <c r="N748" s="516"/>
      <c r="O748" s="516"/>
      <c r="P748" s="516"/>
      <c r="Q748" s="516"/>
      <c r="R748" s="516"/>
      <c r="S748" s="516"/>
      <c r="T748" s="516"/>
      <c r="U748" s="516"/>
      <c r="V748" s="516"/>
      <c r="W748" s="516"/>
      <c r="X748" s="516"/>
      <c r="Y748" s="516"/>
      <c r="Z748" s="516"/>
    </row>
    <row r="749" ht="14.25" customHeight="1">
      <c r="A749" s="516"/>
      <c r="B749" s="516"/>
      <c r="C749" s="517"/>
      <c r="D749" s="517"/>
      <c r="E749" s="517"/>
      <c r="F749" s="516"/>
      <c r="G749" s="516"/>
      <c r="H749" s="516"/>
      <c r="I749" s="516"/>
      <c r="J749" s="516"/>
      <c r="K749" s="516"/>
      <c r="L749" s="516"/>
      <c r="M749" s="516"/>
      <c r="N749" s="516"/>
      <c r="O749" s="516"/>
      <c r="P749" s="516"/>
      <c r="Q749" s="516"/>
      <c r="R749" s="516"/>
      <c r="S749" s="516"/>
      <c r="T749" s="516"/>
      <c r="U749" s="516"/>
      <c r="V749" s="516"/>
      <c r="W749" s="516"/>
      <c r="X749" s="516"/>
      <c r="Y749" s="516"/>
      <c r="Z749" s="516"/>
    </row>
    <row r="750" ht="14.25" customHeight="1">
      <c r="A750" s="516"/>
      <c r="B750" s="516"/>
      <c r="C750" s="517"/>
      <c r="D750" s="517"/>
      <c r="E750" s="517"/>
      <c r="F750" s="516"/>
      <c r="G750" s="516"/>
      <c r="H750" s="516"/>
      <c r="I750" s="516"/>
      <c r="J750" s="516"/>
      <c r="K750" s="516"/>
      <c r="L750" s="516"/>
      <c r="M750" s="516"/>
      <c r="N750" s="516"/>
      <c r="O750" s="516"/>
      <c r="P750" s="516"/>
      <c r="Q750" s="516"/>
      <c r="R750" s="516"/>
      <c r="S750" s="516"/>
      <c r="T750" s="516"/>
      <c r="U750" s="516"/>
      <c r="V750" s="516"/>
      <c r="W750" s="516"/>
      <c r="X750" s="516"/>
      <c r="Y750" s="516"/>
      <c r="Z750" s="516"/>
    </row>
    <row r="751" ht="14.25" customHeight="1">
      <c r="A751" s="516"/>
      <c r="B751" s="516"/>
      <c r="C751" s="517"/>
      <c r="D751" s="517"/>
      <c r="E751" s="517"/>
      <c r="F751" s="516"/>
      <c r="G751" s="516"/>
      <c r="H751" s="516"/>
      <c r="I751" s="516"/>
      <c r="J751" s="516"/>
      <c r="K751" s="516"/>
      <c r="L751" s="516"/>
      <c r="M751" s="516"/>
      <c r="N751" s="516"/>
      <c r="O751" s="516"/>
      <c r="P751" s="516"/>
      <c r="Q751" s="516"/>
      <c r="R751" s="516"/>
      <c r="S751" s="516"/>
      <c r="T751" s="516"/>
      <c r="U751" s="516"/>
      <c r="V751" s="516"/>
      <c r="W751" s="516"/>
      <c r="X751" s="516"/>
      <c r="Y751" s="516"/>
      <c r="Z751" s="516"/>
    </row>
    <row r="752" ht="14.25" customHeight="1">
      <c r="A752" s="516"/>
      <c r="B752" s="516"/>
      <c r="C752" s="517"/>
      <c r="D752" s="517"/>
      <c r="E752" s="517"/>
      <c r="F752" s="516"/>
      <c r="G752" s="516"/>
      <c r="H752" s="516"/>
      <c r="I752" s="516"/>
      <c r="J752" s="516"/>
      <c r="K752" s="516"/>
      <c r="L752" s="516"/>
      <c r="M752" s="516"/>
      <c r="N752" s="516"/>
      <c r="O752" s="516"/>
      <c r="P752" s="516"/>
      <c r="Q752" s="516"/>
      <c r="R752" s="516"/>
      <c r="S752" s="516"/>
      <c r="T752" s="516"/>
      <c r="U752" s="516"/>
      <c r="V752" s="516"/>
      <c r="W752" s="516"/>
      <c r="X752" s="516"/>
      <c r="Y752" s="516"/>
      <c r="Z752" s="516"/>
    </row>
    <row r="753" ht="14.25" customHeight="1">
      <c r="A753" s="516"/>
      <c r="B753" s="516"/>
      <c r="C753" s="517"/>
      <c r="D753" s="517"/>
      <c r="E753" s="517"/>
      <c r="F753" s="516"/>
      <c r="G753" s="516"/>
      <c r="H753" s="516"/>
      <c r="I753" s="516"/>
      <c r="J753" s="516"/>
      <c r="K753" s="516"/>
      <c r="L753" s="516"/>
      <c r="M753" s="516"/>
      <c r="N753" s="516"/>
      <c r="O753" s="516"/>
      <c r="P753" s="516"/>
      <c r="Q753" s="516"/>
      <c r="R753" s="516"/>
      <c r="S753" s="516"/>
      <c r="T753" s="516"/>
      <c r="U753" s="516"/>
      <c r="V753" s="516"/>
      <c r="W753" s="516"/>
      <c r="X753" s="516"/>
      <c r="Y753" s="516"/>
      <c r="Z753" s="516"/>
    </row>
    <row r="754" ht="14.25" customHeight="1">
      <c r="A754" s="516"/>
      <c r="B754" s="516"/>
      <c r="C754" s="517"/>
      <c r="D754" s="517"/>
      <c r="E754" s="517"/>
      <c r="F754" s="516"/>
      <c r="G754" s="516"/>
      <c r="H754" s="516"/>
      <c r="I754" s="516"/>
      <c r="J754" s="516"/>
      <c r="K754" s="516"/>
      <c r="L754" s="516"/>
      <c r="M754" s="516"/>
      <c r="N754" s="516"/>
      <c r="O754" s="516"/>
      <c r="P754" s="516"/>
      <c r="Q754" s="516"/>
      <c r="R754" s="516"/>
      <c r="S754" s="516"/>
      <c r="T754" s="516"/>
      <c r="U754" s="516"/>
      <c r="V754" s="516"/>
      <c r="W754" s="516"/>
      <c r="X754" s="516"/>
      <c r="Y754" s="516"/>
      <c r="Z754" s="516"/>
    </row>
    <row r="755" ht="14.25" customHeight="1">
      <c r="A755" s="516"/>
      <c r="B755" s="516"/>
      <c r="C755" s="517"/>
      <c r="D755" s="517"/>
      <c r="E755" s="517"/>
      <c r="F755" s="516"/>
      <c r="G755" s="516"/>
      <c r="H755" s="516"/>
      <c r="I755" s="516"/>
      <c r="J755" s="516"/>
      <c r="K755" s="516"/>
      <c r="L755" s="516"/>
      <c r="M755" s="516"/>
      <c r="N755" s="516"/>
      <c r="O755" s="516"/>
      <c r="P755" s="516"/>
      <c r="Q755" s="516"/>
      <c r="R755" s="516"/>
      <c r="S755" s="516"/>
      <c r="T755" s="516"/>
      <c r="U755" s="516"/>
      <c r="V755" s="516"/>
      <c r="W755" s="516"/>
      <c r="X755" s="516"/>
      <c r="Y755" s="516"/>
      <c r="Z755" s="516"/>
    </row>
    <row r="756" ht="14.25" customHeight="1">
      <c r="A756" s="516"/>
      <c r="B756" s="516"/>
      <c r="C756" s="517"/>
      <c r="D756" s="517"/>
      <c r="E756" s="517"/>
      <c r="F756" s="516"/>
      <c r="G756" s="516"/>
      <c r="H756" s="516"/>
      <c r="I756" s="516"/>
      <c r="J756" s="516"/>
      <c r="K756" s="516"/>
      <c r="L756" s="516"/>
      <c r="M756" s="516"/>
      <c r="N756" s="516"/>
      <c r="O756" s="516"/>
      <c r="P756" s="516"/>
      <c r="Q756" s="516"/>
      <c r="R756" s="516"/>
      <c r="S756" s="516"/>
      <c r="T756" s="516"/>
      <c r="U756" s="516"/>
      <c r="V756" s="516"/>
      <c r="W756" s="516"/>
      <c r="X756" s="516"/>
      <c r="Y756" s="516"/>
      <c r="Z756" s="516"/>
    </row>
    <row r="757" ht="14.25" customHeight="1">
      <c r="A757" s="516"/>
      <c r="B757" s="516"/>
      <c r="C757" s="517"/>
      <c r="D757" s="517"/>
      <c r="E757" s="517"/>
      <c r="F757" s="516"/>
      <c r="G757" s="516"/>
      <c r="H757" s="516"/>
      <c r="I757" s="516"/>
      <c r="J757" s="516"/>
      <c r="K757" s="516"/>
      <c r="L757" s="516"/>
      <c r="M757" s="516"/>
      <c r="N757" s="516"/>
      <c r="O757" s="516"/>
      <c r="P757" s="516"/>
      <c r="Q757" s="516"/>
      <c r="R757" s="516"/>
      <c r="S757" s="516"/>
      <c r="T757" s="516"/>
      <c r="U757" s="516"/>
      <c r="V757" s="516"/>
      <c r="W757" s="516"/>
      <c r="X757" s="516"/>
      <c r="Y757" s="516"/>
      <c r="Z757" s="516"/>
    </row>
    <row r="758" ht="14.25" customHeight="1">
      <c r="A758" s="516"/>
      <c r="B758" s="516"/>
      <c r="C758" s="517"/>
      <c r="D758" s="517"/>
      <c r="E758" s="517"/>
      <c r="F758" s="516"/>
      <c r="G758" s="516"/>
      <c r="H758" s="516"/>
      <c r="I758" s="516"/>
      <c r="J758" s="516"/>
      <c r="K758" s="516"/>
      <c r="L758" s="516"/>
      <c r="M758" s="516"/>
      <c r="N758" s="516"/>
      <c r="O758" s="516"/>
      <c r="P758" s="516"/>
      <c r="Q758" s="516"/>
      <c r="R758" s="516"/>
      <c r="S758" s="516"/>
      <c r="T758" s="516"/>
      <c r="U758" s="516"/>
      <c r="V758" s="516"/>
      <c r="W758" s="516"/>
      <c r="X758" s="516"/>
      <c r="Y758" s="516"/>
      <c r="Z758" s="516"/>
    </row>
    <row r="759" ht="14.25" customHeight="1">
      <c r="A759" s="516"/>
      <c r="B759" s="516"/>
      <c r="C759" s="517"/>
      <c r="D759" s="517"/>
      <c r="E759" s="517"/>
      <c r="F759" s="516"/>
      <c r="G759" s="516"/>
      <c r="H759" s="516"/>
      <c r="I759" s="516"/>
      <c r="J759" s="516"/>
      <c r="K759" s="516"/>
      <c r="L759" s="516"/>
      <c r="M759" s="516"/>
      <c r="N759" s="516"/>
      <c r="O759" s="516"/>
      <c r="P759" s="516"/>
      <c r="Q759" s="516"/>
      <c r="R759" s="516"/>
      <c r="S759" s="516"/>
      <c r="T759" s="516"/>
      <c r="U759" s="516"/>
      <c r="V759" s="516"/>
      <c r="W759" s="516"/>
      <c r="X759" s="516"/>
      <c r="Y759" s="516"/>
      <c r="Z759" s="516"/>
    </row>
    <row r="760" ht="14.25" customHeight="1">
      <c r="A760" s="516"/>
      <c r="B760" s="516"/>
      <c r="C760" s="517"/>
      <c r="D760" s="517"/>
      <c r="E760" s="517"/>
      <c r="F760" s="516"/>
      <c r="G760" s="516"/>
      <c r="H760" s="516"/>
      <c r="I760" s="516"/>
      <c r="J760" s="516"/>
      <c r="K760" s="516"/>
      <c r="L760" s="516"/>
      <c r="M760" s="516"/>
      <c r="N760" s="516"/>
      <c r="O760" s="516"/>
      <c r="P760" s="516"/>
      <c r="Q760" s="516"/>
      <c r="R760" s="516"/>
      <c r="S760" s="516"/>
      <c r="T760" s="516"/>
      <c r="U760" s="516"/>
      <c r="V760" s="516"/>
      <c r="W760" s="516"/>
      <c r="X760" s="516"/>
      <c r="Y760" s="516"/>
      <c r="Z760" s="516"/>
    </row>
    <row r="761" ht="14.25" customHeight="1">
      <c r="A761" s="516"/>
      <c r="B761" s="516"/>
      <c r="C761" s="517"/>
      <c r="D761" s="517"/>
      <c r="E761" s="517"/>
      <c r="F761" s="516"/>
      <c r="G761" s="516"/>
      <c r="H761" s="516"/>
      <c r="I761" s="516"/>
      <c r="J761" s="516"/>
      <c r="K761" s="516"/>
      <c r="L761" s="516"/>
      <c r="M761" s="516"/>
      <c r="N761" s="516"/>
      <c r="O761" s="516"/>
      <c r="P761" s="516"/>
      <c r="Q761" s="516"/>
      <c r="R761" s="516"/>
      <c r="S761" s="516"/>
      <c r="T761" s="516"/>
      <c r="U761" s="516"/>
      <c r="V761" s="516"/>
      <c r="W761" s="516"/>
      <c r="X761" s="516"/>
      <c r="Y761" s="516"/>
      <c r="Z761" s="516"/>
    </row>
    <row r="762" ht="14.25" customHeight="1">
      <c r="A762" s="516"/>
      <c r="B762" s="516"/>
      <c r="C762" s="517"/>
      <c r="D762" s="517"/>
      <c r="E762" s="517"/>
      <c r="F762" s="516"/>
      <c r="G762" s="516"/>
      <c r="H762" s="516"/>
      <c r="I762" s="516"/>
      <c r="J762" s="516"/>
      <c r="K762" s="516"/>
      <c r="L762" s="516"/>
      <c r="M762" s="516"/>
      <c r="N762" s="516"/>
      <c r="O762" s="516"/>
      <c r="P762" s="516"/>
      <c r="Q762" s="516"/>
      <c r="R762" s="516"/>
      <c r="S762" s="516"/>
      <c r="T762" s="516"/>
      <c r="U762" s="516"/>
      <c r="V762" s="516"/>
      <c r="W762" s="516"/>
      <c r="X762" s="516"/>
      <c r="Y762" s="516"/>
      <c r="Z762" s="516"/>
    </row>
    <row r="763" ht="14.25" customHeight="1">
      <c r="A763" s="516"/>
      <c r="B763" s="516"/>
      <c r="C763" s="517"/>
      <c r="D763" s="517"/>
      <c r="E763" s="517"/>
      <c r="F763" s="516"/>
      <c r="G763" s="516"/>
      <c r="H763" s="516"/>
      <c r="I763" s="516"/>
      <c r="J763" s="516"/>
      <c r="K763" s="516"/>
      <c r="L763" s="516"/>
      <c r="M763" s="516"/>
      <c r="N763" s="516"/>
      <c r="O763" s="516"/>
      <c r="P763" s="516"/>
      <c r="Q763" s="516"/>
      <c r="R763" s="516"/>
      <c r="S763" s="516"/>
      <c r="T763" s="516"/>
      <c r="U763" s="516"/>
      <c r="V763" s="516"/>
      <c r="W763" s="516"/>
      <c r="X763" s="516"/>
      <c r="Y763" s="516"/>
      <c r="Z763" s="516"/>
    </row>
    <row r="764" ht="14.25" customHeight="1">
      <c r="A764" s="516"/>
      <c r="B764" s="516"/>
      <c r="C764" s="517"/>
      <c r="D764" s="517"/>
      <c r="E764" s="517"/>
      <c r="F764" s="516"/>
      <c r="G764" s="516"/>
      <c r="H764" s="516"/>
      <c r="I764" s="516"/>
      <c r="J764" s="516"/>
      <c r="K764" s="516"/>
      <c r="L764" s="516"/>
      <c r="M764" s="516"/>
      <c r="N764" s="516"/>
      <c r="O764" s="516"/>
      <c r="P764" s="516"/>
      <c r="Q764" s="516"/>
      <c r="R764" s="516"/>
      <c r="S764" s="516"/>
      <c r="T764" s="516"/>
      <c r="U764" s="516"/>
      <c r="V764" s="516"/>
      <c r="W764" s="516"/>
      <c r="X764" s="516"/>
      <c r="Y764" s="516"/>
      <c r="Z764" s="516"/>
    </row>
    <row r="765" ht="14.25" customHeight="1">
      <c r="A765" s="516"/>
      <c r="B765" s="516"/>
      <c r="C765" s="517"/>
      <c r="D765" s="517"/>
      <c r="E765" s="517"/>
      <c r="F765" s="516"/>
      <c r="G765" s="516"/>
      <c r="H765" s="516"/>
      <c r="I765" s="516"/>
      <c r="J765" s="516"/>
      <c r="K765" s="516"/>
      <c r="L765" s="516"/>
      <c r="M765" s="516"/>
      <c r="N765" s="516"/>
      <c r="O765" s="516"/>
      <c r="P765" s="516"/>
      <c r="Q765" s="516"/>
      <c r="R765" s="516"/>
      <c r="S765" s="516"/>
      <c r="T765" s="516"/>
      <c r="U765" s="516"/>
      <c r="V765" s="516"/>
      <c r="W765" s="516"/>
      <c r="X765" s="516"/>
      <c r="Y765" s="516"/>
      <c r="Z765" s="516"/>
    </row>
    <row r="766" ht="14.25" customHeight="1">
      <c r="A766" s="516"/>
      <c r="B766" s="516"/>
      <c r="C766" s="517"/>
      <c r="D766" s="517"/>
      <c r="E766" s="517"/>
      <c r="F766" s="516"/>
      <c r="G766" s="516"/>
      <c r="H766" s="516"/>
      <c r="I766" s="516"/>
      <c r="J766" s="516"/>
      <c r="K766" s="516"/>
      <c r="L766" s="516"/>
      <c r="M766" s="516"/>
      <c r="N766" s="516"/>
      <c r="O766" s="516"/>
      <c r="P766" s="516"/>
      <c r="Q766" s="516"/>
      <c r="R766" s="516"/>
      <c r="S766" s="516"/>
      <c r="T766" s="516"/>
      <c r="U766" s="516"/>
      <c r="V766" s="516"/>
      <c r="W766" s="516"/>
      <c r="X766" s="516"/>
      <c r="Y766" s="516"/>
      <c r="Z766" s="516"/>
    </row>
    <row r="767" ht="14.25" customHeight="1">
      <c r="A767" s="516"/>
      <c r="B767" s="516"/>
      <c r="C767" s="517"/>
      <c r="D767" s="517"/>
      <c r="E767" s="517"/>
      <c r="F767" s="516"/>
      <c r="G767" s="516"/>
      <c r="H767" s="516"/>
      <c r="I767" s="516"/>
      <c r="J767" s="516"/>
      <c r="K767" s="516"/>
      <c r="L767" s="516"/>
      <c r="M767" s="516"/>
      <c r="N767" s="516"/>
      <c r="O767" s="516"/>
      <c r="P767" s="516"/>
      <c r="Q767" s="516"/>
      <c r="R767" s="516"/>
      <c r="S767" s="516"/>
      <c r="T767" s="516"/>
      <c r="U767" s="516"/>
      <c r="V767" s="516"/>
      <c r="W767" s="516"/>
      <c r="X767" s="516"/>
      <c r="Y767" s="516"/>
      <c r="Z767" s="516"/>
    </row>
    <row r="768" ht="14.25" customHeight="1">
      <c r="A768" s="516"/>
      <c r="B768" s="516"/>
      <c r="C768" s="517"/>
      <c r="D768" s="517"/>
      <c r="E768" s="517"/>
      <c r="F768" s="516"/>
      <c r="G768" s="516"/>
      <c r="H768" s="516"/>
      <c r="I768" s="516"/>
      <c r="J768" s="516"/>
      <c r="K768" s="516"/>
      <c r="L768" s="516"/>
      <c r="M768" s="516"/>
      <c r="N768" s="516"/>
      <c r="O768" s="516"/>
      <c r="P768" s="516"/>
      <c r="Q768" s="516"/>
      <c r="R768" s="516"/>
      <c r="S768" s="516"/>
      <c r="T768" s="516"/>
      <c r="U768" s="516"/>
      <c r="V768" s="516"/>
      <c r="W768" s="516"/>
      <c r="X768" s="516"/>
      <c r="Y768" s="516"/>
      <c r="Z768" s="516"/>
    </row>
    <row r="769" ht="14.25" customHeight="1">
      <c r="A769" s="516"/>
      <c r="B769" s="516"/>
      <c r="C769" s="517"/>
      <c r="D769" s="517"/>
      <c r="E769" s="517"/>
      <c r="F769" s="516"/>
      <c r="G769" s="516"/>
      <c r="H769" s="516"/>
      <c r="I769" s="516"/>
      <c r="J769" s="516"/>
      <c r="K769" s="516"/>
      <c r="L769" s="516"/>
      <c r="M769" s="516"/>
      <c r="N769" s="516"/>
      <c r="O769" s="516"/>
      <c r="P769" s="516"/>
      <c r="Q769" s="516"/>
      <c r="R769" s="516"/>
      <c r="S769" s="516"/>
      <c r="T769" s="516"/>
      <c r="U769" s="516"/>
      <c r="V769" s="516"/>
      <c r="W769" s="516"/>
      <c r="X769" s="516"/>
      <c r="Y769" s="516"/>
      <c r="Z769" s="516"/>
    </row>
    <row r="770" ht="14.25" customHeight="1">
      <c r="A770" s="516"/>
      <c r="B770" s="516"/>
      <c r="C770" s="517"/>
      <c r="D770" s="517"/>
      <c r="E770" s="517"/>
      <c r="F770" s="516"/>
      <c r="G770" s="516"/>
      <c r="H770" s="516"/>
      <c r="I770" s="516"/>
      <c r="J770" s="516"/>
      <c r="K770" s="516"/>
      <c r="L770" s="516"/>
      <c r="M770" s="516"/>
      <c r="N770" s="516"/>
      <c r="O770" s="516"/>
      <c r="P770" s="516"/>
      <c r="Q770" s="516"/>
      <c r="R770" s="516"/>
      <c r="S770" s="516"/>
      <c r="T770" s="516"/>
      <c r="U770" s="516"/>
      <c r="V770" s="516"/>
      <c r="W770" s="516"/>
      <c r="X770" s="516"/>
      <c r="Y770" s="516"/>
      <c r="Z770" s="516"/>
    </row>
    <row r="771" ht="14.25" customHeight="1">
      <c r="A771" s="516"/>
      <c r="B771" s="516"/>
      <c r="C771" s="517"/>
      <c r="D771" s="517"/>
      <c r="E771" s="517"/>
      <c r="F771" s="516"/>
      <c r="G771" s="516"/>
      <c r="H771" s="516"/>
      <c r="I771" s="516"/>
      <c r="J771" s="516"/>
      <c r="K771" s="516"/>
      <c r="L771" s="516"/>
      <c r="M771" s="516"/>
      <c r="N771" s="516"/>
      <c r="O771" s="516"/>
      <c r="P771" s="516"/>
      <c r="Q771" s="516"/>
      <c r="R771" s="516"/>
      <c r="S771" s="516"/>
      <c r="T771" s="516"/>
      <c r="U771" s="516"/>
      <c r="V771" s="516"/>
      <c r="W771" s="516"/>
      <c r="X771" s="516"/>
      <c r="Y771" s="516"/>
      <c r="Z771" s="516"/>
    </row>
    <row r="772" ht="14.25" customHeight="1">
      <c r="A772" s="516"/>
      <c r="B772" s="516"/>
      <c r="C772" s="517"/>
      <c r="D772" s="517"/>
      <c r="E772" s="517"/>
      <c r="F772" s="516"/>
      <c r="G772" s="516"/>
      <c r="H772" s="516"/>
      <c r="I772" s="516"/>
      <c r="J772" s="516"/>
      <c r="K772" s="516"/>
      <c r="L772" s="516"/>
      <c r="M772" s="516"/>
      <c r="N772" s="516"/>
      <c r="O772" s="516"/>
      <c r="P772" s="516"/>
      <c r="Q772" s="516"/>
      <c r="R772" s="516"/>
      <c r="S772" s="516"/>
      <c r="T772" s="516"/>
      <c r="U772" s="516"/>
      <c r="V772" s="516"/>
      <c r="W772" s="516"/>
      <c r="X772" s="516"/>
      <c r="Y772" s="516"/>
      <c r="Z772" s="516"/>
    </row>
    <row r="773" ht="14.25" customHeight="1">
      <c r="A773" s="516"/>
      <c r="B773" s="516"/>
      <c r="C773" s="517"/>
      <c r="D773" s="517"/>
      <c r="E773" s="517"/>
      <c r="F773" s="516"/>
      <c r="G773" s="516"/>
      <c r="H773" s="516"/>
      <c r="I773" s="516"/>
      <c r="J773" s="516"/>
      <c r="K773" s="516"/>
      <c r="L773" s="516"/>
      <c r="M773" s="516"/>
      <c r="N773" s="516"/>
      <c r="O773" s="516"/>
      <c r="P773" s="516"/>
      <c r="Q773" s="516"/>
      <c r="R773" s="516"/>
      <c r="S773" s="516"/>
      <c r="T773" s="516"/>
      <c r="U773" s="516"/>
      <c r="V773" s="516"/>
      <c r="W773" s="516"/>
      <c r="X773" s="516"/>
      <c r="Y773" s="516"/>
      <c r="Z773" s="516"/>
    </row>
    <row r="774" ht="14.25" customHeight="1">
      <c r="A774" s="516"/>
      <c r="B774" s="516"/>
      <c r="C774" s="517"/>
      <c r="D774" s="517"/>
      <c r="E774" s="517"/>
      <c r="F774" s="516"/>
      <c r="G774" s="516"/>
      <c r="H774" s="516"/>
      <c r="I774" s="516"/>
      <c r="J774" s="516"/>
      <c r="K774" s="516"/>
      <c r="L774" s="516"/>
      <c r="M774" s="516"/>
      <c r="N774" s="516"/>
      <c r="O774" s="516"/>
      <c r="P774" s="516"/>
      <c r="Q774" s="516"/>
      <c r="R774" s="516"/>
      <c r="S774" s="516"/>
      <c r="T774" s="516"/>
      <c r="U774" s="516"/>
      <c r="V774" s="516"/>
      <c r="W774" s="516"/>
      <c r="X774" s="516"/>
      <c r="Y774" s="516"/>
      <c r="Z774" s="516"/>
    </row>
    <row r="775" ht="14.25" customHeight="1">
      <c r="A775" s="516"/>
      <c r="B775" s="516"/>
      <c r="C775" s="517"/>
      <c r="D775" s="517"/>
      <c r="E775" s="517"/>
      <c r="F775" s="516"/>
      <c r="G775" s="516"/>
      <c r="H775" s="516"/>
      <c r="I775" s="516"/>
      <c r="J775" s="516"/>
      <c r="K775" s="516"/>
      <c r="L775" s="516"/>
      <c r="M775" s="516"/>
      <c r="N775" s="516"/>
      <c r="O775" s="516"/>
      <c r="P775" s="516"/>
      <c r="Q775" s="516"/>
      <c r="R775" s="516"/>
      <c r="S775" s="516"/>
      <c r="T775" s="516"/>
      <c r="U775" s="516"/>
      <c r="V775" s="516"/>
      <c r="W775" s="516"/>
      <c r="X775" s="516"/>
      <c r="Y775" s="516"/>
      <c r="Z775" s="516"/>
    </row>
    <row r="776" ht="14.25" customHeight="1">
      <c r="A776" s="516"/>
      <c r="B776" s="516"/>
      <c r="C776" s="517"/>
      <c r="D776" s="517"/>
      <c r="E776" s="517"/>
      <c r="F776" s="516"/>
      <c r="G776" s="516"/>
      <c r="H776" s="516"/>
      <c r="I776" s="516"/>
      <c r="J776" s="516"/>
      <c r="K776" s="516"/>
      <c r="L776" s="516"/>
      <c r="M776" s="516"/>
      <c r="N776" s="516"/>
      <c r="O776" s="516"/>
      <c r="P776" s="516"/>
      <c r="Q776" s="516"/>
      <c r="R776" s="516"/>
      <c r="S776" s="516"/>
      <c r="T776" s="516"/>
      <c r="U776" s="516"/>
      <c r="V776" s="516"/>
      <c r="W776" s="516"/>
      <c r="X776" s="516"/>
      <c r="Y776" s="516"/>
      <c r="Z776" s="516"/>
    </row>
    <row r="777" ht="14.25" customHeight="1">
      <c r="A777" s="516"/>
      <c r="B777" s="516"/>
      <c r="C777" s="517"/>
      <c r="D777" s="517"/>
      <c r="E777" s="517"/>
      <c r="F777" s="516"/>
      <c r="G777" s="516"/>
      <c r="H777" s="516"/>
      <c r="I777" s="516"/>
      <c r="J777" s="516"/>
      <c r="K777" s="516"/>
      <c r="L777" s="516"/>
      <c r="M777" s="516"/>
      <c r="N777" s="516"/>
      <c r="O777" s="516"/>
      <c r="P777" s="516"/>
      <c r="Q777" s="516"/>
      <c r="R777" s="516"/>
      <c r="S777" s="516"/>
      <c r="T777" s="516"/>
      <c r="U777" s="516"/>
      <c r="V777" s="516"/>
      <c r="W777" s="516"/>
      <c r="X777" s="516"/>
      <c r="Y777" s="516"/>
      <c r="Z777" s="516"/>
    </row>
    <row r="778" ht="14.25" customHeight="1">
      <c r="A778" s="516"/>
      <c r="B778" s="516"/>
      <c r="C778" s="517"/>
      <c r="D778" s="517"/>
      <c r="E778" s="517"/>
      <c r="F778" s="516"/>
      <c r="G778" s="516"/>
      <c r="H778" s="516"/>
      <c r="I778" s="516"/>
      <c r="J778" s="516"/>
      <c r="K778" s="516"/>
      <c r="L778" s="516"/>
      <c r="M778" s="516"/>
      <c r="N778" s="516"/>
      <c r="O778" s="516"/>
      <c r="P778" s="516"/>
      <c r="Q778" s="516"/>
      <c r="R778" s="516"/>
      <c r="S778" s="516"/>
      <c r="T778" s="516"/>
      <c r="U778" s="516"/>
      <c r="V778" s="516"/>
      <c r="W778" s="516"/>
      <c r="X778" s="516"/>
      <c r="Y778" s="516"/>
      <c r="Z778" s="516"/>
    </row>
    <row r="779" ht="14.25" customHeight="1">
      <c r="A779" s="516"/>
      <c r="B779" s="516"/>
      <c r="C779" s="517"/>
      <c r="D779" s="517"/>
      <c r="E779" s="517"/>
      <c r="F779" s="516"/>
      <c r="G779" s="516"/>
      <c r="H779" s="516"/>
      <c r="I779" s="516"/>
      <c r="J779" s="516"/>
      <c r="K779" s="516"/>
      <c r="L779" s="516"/>
      <c r="M779" s="516"/>
      <c r="N779" s="516"/>
      <c r="O779" s="516"/>
      <c r="P779" s="516"/>
      <c r="Q779" s="516"/>
      <c r="R779" s="516"/>
      <c r="S779" s="516"/>
      <c r="T779" s="516"/>
      <c r="U779" s="516"/>
      <c r="V779" s="516"/>
      <c r="W779" s="516"/>
      <c r="X779" s="516"/>
      <c r="Y779" s="516"/>
      <c r="Z779" s="516"/>
    </row>
    <row r="780" ht="14.25" customHeight="1">
      <c r="A780" s="516"/>
      <c r="B780" s="516"/>
      <c r="C780" s="517"/>
      <c r="D780" s="517"/>
      <c r="E780" s="517"/>
      <c r="F780" s="516"/>
      <c r="G780" s="516"/>
      <c r="H780" s="516"/>
      <c r="I780" s="516"/>
      <c r="J780" s="516"/>
      <c r="K780" s="516"/>
      <c r="L780" s="516"/>
      <c r="M780" s="516"/>
      <c r="N780" s="516"/>
      <c r="O780" s="516"/>
      <c r="P780" s="516"/>
      <c r="Q780" s="516"/>
      <c r="R780" s="516"/>
      <c r="S780" s="516"/>
      <c r="T780" s="516"/>
      <c r="U780" s="516"/>
      <c r="V780" s="516"/>
      <c r="W780" s="516"/>
      <c r="X780" s="516"/>
      <c r="Y780" s="516"/>
      <c r="Z780" s="516"/>
    </row>
    <row r="781" ht="14.25" customHeight="1">
      <c r="A781" s="516"/>
      <c r="B781" s="516"/>
      <c r="C781" s="517"/>
      <c r="D781" s="517"/>
      <c r="E781" s="517"/>
      <c r="F781" s="516"/>
      <c r="G781" s="516"/>
      <c r="H781" s="516"/>
      <c r="I781" s="516"/>
      <c r="J781" s="516"/>
      <c r="K781" s="516"/>
      <c r="L781" s="516"/>
      <c r="M781" s="516"/>
      <c r="N781" s="516"/>
      <c r="O781" s="516"/>
      <c r="P781" s="516"/>
      <c r="Q781" s="516"/>
      <c r="R781" s="516"/>
      <c r="S781" s="516"/>
      <c r="T781" s="516"/>
      <c r="U781" s="516"/>
      <c r="V781" s="516"/>
      <c r="W781" s="516"/>
      <c r="X781" s="516"/>
      <c r="Y781" s="516"/>
      <c r="Z781" s="516"/>
    </row>
    <row r="782" ht="14.25" customHeight="1">
      <c r="A782" s="516"/>
      <c r="B782" s="516"/>
      <c r="C782" s="517"/>
      <c r="D782" s="517"/>
      <c r="E782" s="517"/>
      <c r="F782" s="516"/>
      <c r="G782" s="516"/>
      <c r="H782" s="516"/>
      <c r="I782" s="516"/>
      <c r="J782" s="516"/>
      <c r="K782" s="516"/>
      <c r="L782" s="516"/>
      <c r="M782" s="516"/>
      <c r="N782" s="516"/>
      <c r="O782" s="516"/>
      <c r="P782" s="516"/>
      <c r="Q782" s="516"/>
      <c r="R782" s="516"/>
      <c r="S782" s="516"/>
      <c r="T782" s="516"/>
      <c r="U782" s="516"/>
      <c r="V782" s="516"/>
      <c r="W782" s="516"/>
      <c r="X782" s="516"/>
      <c r="Y782" s="516"/>
      <c r="Z782" s="516"/>
    </row>
    <row r="783" ht="14.25" customHeight="1">
      <c r="A783" s="516"/>
      <c r="B783" s="516"/>
      <c r="C783" s="517"/>
      <c r="D783" s="517"/>
      <c r="E783" s="517"/>
      <c r="F783" s="516"/>
      <c r="G783" s="516"/>
      <c r="H783" s="516"/>
      <c r="I783" s="516"/>
      <c r="J783" s="516"/>
      <c r="K783" s="516"/>
      <c r="L783" s="516"/>
      <c r="M783" s="516"/>
      <c r="N783" s="516"/>
      <c r="O783" s="516"/>
      <c r="P783" s="516"/>
      <c r="Q783" s="516"/>
      <c r="R783" s="516"/>
      <c r="S783" s="516"/>
      <c r="T783" s="516"/>
      <c r="U783" s="516"/>
      <c r="V783" s="516"/>
      <c r="W783" s="516"/>
      <c r="X783" s="516"/>
      <c r="Y783" s="516"/>
      <c r="Z783" s="516"/>
    </row>
    <row r="784" ht="14.25" customHeight="1">
      <c r="A784" s="516"/>
      <c r="B784" s="516"/>
      <c r="C784" s="517"/>
      <c r="D784" s="517"/>
      <c r="E784" s="517"/>
      <c r="F784" s="516"/>
      <c r="G784" s="516"/>
      <c r="H784" s="516"/>
      <c r="I784" s="516"/>
      <c r="J784" s="516"/>
      <c r="K784" s="516"/>
      <c r="L784" s="516"/>
      <c r="M784" s="516"/>
      <c r="N784" s="516"/>
      <c r="O784" s="516"/>
      <c r="P784" s="516"/>
      <c r="Q784" s="516"/>
      <c r="R784" s="516"/>
      <c r="S784" s="516"/>
      <c r="T784" s="516"/>
      <c r="U784" s="516"/>
      <c r="V784" s="516"/>
      <c r="W784" s="516"/>
      <c r="X784" s="516"/>
      <c r="Y784" s="516"/>
      <c r="Z784" s="516"/>
    </row>
    <row r="785" ht="14.25" customHeight="1">
      <c r="A785" s="516"/>
      <c r="B785" s="516"/>
      <c r="C785" s="517"/>
      <c r="D785" s="517"/>
      <c r="E785" s="517"/>
      <c r="F785" s="516"/>
      <c r="G785" s="516"/>
      <c r="H785" s="516"/>
      <c r="I785" s="516"/>
      <c r="J785" s="516"/>
      <c r="K785" s="516"/>
      <c r="L785" s="516"/>
      <c r="M785" s="516"/>
      <c r="N785" s="516"/>
      <c r="O785" s="516"/>
      <c r="P785" s="516"/>
      <c r="Q785" s="516"/>
      <c r="R785" s="516"/>
      <c r="S785" s="516"/>
      <c r="T785" s="516"/>
      <c r="U785" s="516"/>
      <c r="V785" s="516"/>
      <c r="W785" s="516"/>
      <c r="X785" s="516"/>
      <c r="Y785" s="516"/>
      <c r="Z785" s="516"/>
    </row>
    <row r="786" ht="14.25" customHeight="1">
      <c r="A786" s="516"/>
      <c r="B786" s="516"/>
      <c r="C786" s="517"/>
      <c r="D786" s="517"/>
      <c r="E786" s="517"/>
      <c r="F786" s="516"/>
      <c r="G786" s="516"/>
      <c r="H786" s="516"/>
      <c r="I786" s="516"/>
      <c r="J786" s="516"/>
      <c r="K786" s="516"/>
      <c r="L786" s="516"/>
      <c r="M786" s="516"/>
      <c r="N786" s="516"/>
      <c r="O786" s="516"/>
      <c r="P786" s="516"/>
      <c r="Q786" s="516"/>
      <c r="R786" s="516"/>
      <c r="S786" s="516"/>
      <c r="T786" s="516"/>
      <c r="U786" s="516"/>
      <c r="V786" s="516"/>
      <c r="W786" s="516"/>
      <c r="X786" s="516"/>
      <c r="Y786" s="516"/>
      <c r="Z786" s="516"/>
    </row>
    <row r="787" ht="14.25" customHeight="1">
      <c r="A787" s="516"/>
      <c r="B787" s="516"/>
      <c r="C787" s="517"/>
      <c r="D787" s="517"/>
      <c r="E787" s="517"/>
      <c r="F787" s="516"/>
      <c r="G787" s="516"/>
      <c r="H787" s="516"/>
      <c r="I787" s="516"/>
      <c r="J787" s="516"/>
      <c r="K787" s="516"/>
      <c r="L787" s="516"/>
      <c r="M787" s="516"/>
      <c r="N787" s="516"/>
      <c r="O787" s="516"/>
      <c r="P787" s="516"/>
      <c r="Q787" s="516"/>
      <c r="R787" s="516"/>
      <c r="S787" s="516"/>
      <c r="T787" s="516"/>
      <c r="U787" s="516"/>
      <c r="V787" s="516"/>
      <c r="W787" s="516"/>
      <c r="X787" s="516"/>
      <c r="Y787" s="516"/>
      <c r="Z787" s="516"/>
    </row>
    <row r="788" ht="14.25" customHeight="1">
      <c r="A788" s="516"/>
      <c r="B788" s="516"/>
      <c r="C788" s="517"/>
      <c r="D788" s="517"/>
      <c r="E788" s="517"/>
      <c r="F788" s="516"/>
      <c r="G788" s="516"/>
      <c r="H788" s="516"/>
      <c r="I788" s="516"/>
      <c r="J788" s="516"/>
      <c r="K788" s="516"/>
      <c r="L788" s="516"/>
      <c r="M788" s="516"/>
      <c r="N788" s="516"/>
      <c r="O788" s="516"/>
      <c r="P788" s="516"/>
      <c r="Q788" s="516"/>
      <c r="R788" s="516"/>
      <c r="S788" s="516"/>
      <c r="T788" s="516"/>
      <c r="U788" s="516"/>
      <c r="V788" s="516"/>
      <c r="W788" s="516"/>
      <c r="X788" s="516"/>
      <c r="Y788" s="516"/>
      <c r="Z788" s="516"/>
    </row>
    <row r="789" ht="14.25" customHeight="1">
      <c r="A789" s="516"/>
      <c r="B789" s="516"/>
      <c r="C789" s="517"/>
      <c r="D789" s="517"/>
      <c r="E789" s="517"/>
      <c r="F789" s="516"/>
      <c r="G789" s="516"/>
      <c r="H789" s="516"/>
      <c r="I789" s="516"/>
      <c r="J789" s="516"/>
      <c r="K789" s="516"/>
      <c r="L789" s="516"/>
      <c r="M789" s="516"/>
      <c r="N789" s="516"/>
      <c r="O789" s="516"/>
      <c r="P789" s="516"/>
      <c r="Q789" s="516"/>
      <c r="R789" s="516"/>
      <c r="S789" s="516"/>
      <c r="T789" s="516"/>
      <c r="U789" s="516"/>
      <c r="V789" s="516"/>
      <c r="W789" s="516"/>
      <c r="X789" s="516"/>
      <c r="Y789" s="516"/>
      <c r="Z789" s="516"/>
    </row>
    <row r="790" ht="14.25" customHeight="1">
      <c r="A790" s="516"/>
      <c r="B790" s="516"/>
      <c r="C790" s="517"/>
      <c r="D790" s="517"/>
      <c r="E790" s="517"/>
      <c r="F790" s="516"/>
      <c r="G790" s="516"/>
      <c r="H790" s="516"/>
      <c r="I790" s="516"/>
      <c r="J790" s="516"/>
      <c r="K790" s="516"/>
      <c r="L790" s="516"/>
      <c r="M790" s="516"/>
      <c r="N790" s="516"/>
      <c r="O790" s="516"/>
      <c r="P790" s="516"/>
      <c r="Q790" s="516"/>
      <c r="R790" s="516"/>
      <c r="S790" s="516"/>
      <c r="T790" s="516"/>
      <c r="U790" s="516"/>
      <c r="V790" s="516"/>
      <c r="W790" s="516"/>
      <c r="X790" s="516"/>
      <c r="Y790" s="516"/>
      <c r="Z790" s="516"/>
    </row>
    <row r="791" ht="14.25" customHeight="1">
      <c r="A791" s="516"/>
      <c r="B791" s="516"/>
      <c r="C791" s="517"/>
      <c r="D791" s="517"/>
      <c r="E791" s="517"/>
      <c r="F791" s="516"/>
      <c r="G791" s="516"/>
      <c r="H791" s="516"/>
      <c r="I791" s="516"/>
      <c r="J791" s="516"/>
      <c r="K791" s="516"/>
      <c r="L791" s="516"/>
      <c r="M791" s="516"/>
      <c r="N791" s="516"/>
      <c r="O791" s="516"/>
      <c r="P791" s="516"/>
      <c r="Q791" s="516"/>
      <c r="R791" s="516"/>
      <c r="S791" s="516"/>
      <c r="T791" s="516"/>
      <c r="U791" s="516"/>
      <c r="V791" s="516"/>
      <c r="W791" s="516"/>
      <c r="X791" s="516"/>
      <c r="Y791" s="516"/>
      <c r="Z791" s="516"/>
    </row>
    <row r="792" ht="14.25" customHeight="1">
      <c r="A792" s="516"/>
      <c r="B792" s="516"/>
      <c r="C792" s="517"/>
      <c r="D792" s="517"/>
      <c r="E792" s="517"/>
      <c r="F792" s="516"/>
      <c r="G792" s="516"/>
      <c r="H792" s="516"/>
      <c r="I792" s="516"/>
      <c r="J792" s="516"/>
      <c r="K792" s="516"/>
      <c r="L792" s="516"/>
      <c r="M792" s="516"/>
      <c r="N792" s="516"/>
      <c r="O792" s="516"/>
      <c r="P792" s="516"/>
      <c r="Q792" s="516"/>
      <c r="R792" s="516"/>
      <c r="S792" s="516"/>
      <c r="T792" s="516"/>
      <c r="U792" s="516"/>
      <c r="V792" s="516"/>
      <c r="W792" s="516"/>
      <c r="X792" s="516"/>
      <c r="Y792" s="516"/>
      <c r="Z792" s="516"/>
    </row>
    <row r="793" ht="14.25" customHeight="1">
      <c r="A793" s="516"/>
      <c r="B793" s="516"/>
      <c r="C793" s="517"/>
      <c r="D793" s="517"/>
      <c r="E793" s="517"/>
      <c r="F793" s="516"/>
      <c r="G793" s="516"/>
      <c r="H793" s="516"/>
      <c r="I793" s="516"/>
      <c r="J793" s="516"/>
      <c r="K793" s="516"/>
      <c r="L793" s="516"/>
      <c r="M793" s="516"/>
      <c r="N793" s="516"/>
      <c r="O793" s="516"/>
      <c r="P793" s="516"/>
      <c r="Q793" s="516"/>
      <c r="R793" s="516"/>
      <c r="S793" s="516"/>
      <c r="T793" s="516"/>
      <c r="U793" s="516"/>
      <c r="V793" s="516"/>
      <c r="W793" s="516"/>
      <c r="X793" s="516"/>
      <c r="Y793" s="516"/>
      <c r="Z793" s="516"/>
    </row>
    <row r="794" ht="14.25" customHeight="1">
      <c r="A794" s="516"/>
      <c r="B794" s="516"/>
      <c r="C794" s="517"/>
      <c r="D794" s="517"/>
      <c r="E794" s="517"/>
      <c r="F794" s="516"/>
      <c r="G794" s="516"/>
      <c r="H794" s="516"/>
      <c r="I794" s="516"/>
      <c r="J794" s="516"/>
      <c r="K794" s="516"/>
      <c r="L794" s="516"/>
      <c r="M794" s="516"/>
      <c r="N794" s="516"/>
      <c r="O794" s="516"/>
      <c r="P794" s="516"/>
      <c r="Q794" s="516"/>
      <c r="R794" s="516"/>
      <c r="S794" s="516"/>
      <c r="T794" s="516"/>
      <c r="U794" s="516"/>
      <c r="V794" s="516"/>
      <c r="W794" s="516"/>
      <c r="X794" s="516"/>
      <c r="Y794" s="516"/>
      <c r="Z794" s="516"/>
    </row>
    <row r="795" ht="14.25" customHeight="1">
      <c r="A795" s="516"/>
      <c r="B795" s="516"/>
      <c r="C795" s="517"/>
      <c r="D795" s="517"/>
      <c r="E795" s="517"/>
      <c r="F795" s="516"/>
      <c r="G795" s="516"/>
      <c r="H795" s="516"/>
      <c r="I795" s="516"/>
      <c r="J795" s="516"/>
      <c r="K795" s="516"/>
      <c r="L795" s="516"/>
      <c r="M795" s="516"/>
      <c r="N795" s="516"/>
      <c r="O795" s="516"/>
      <c r="P795" s="516"/>
      <c r="Q795" s="516"/>
      <c r="R795" s="516"/>
      <c r="S795" s="516"/>
      <c r="T795" s="516"/>
      <c r="U795" s="516"/>
      <c r="V795" s="516"/>
      <c r="W795" s="516"/>
      <c r="X795" s="516"/>
      <c r="Y795" s="516"/>
      <c r="Z795" s="516"/>
    </row>
    <row r="796" ht="14.25" customHeight="1">
      <c r="A796" s="516"/>
      <c r="B796" s="516"/>
      <c r="C796" s="517"/>
      <c r="D796" s="517"/>
      <c r="E796" s="517"/>
      <c r="F796" s="516"/>
      <c r="G796" s="516"/>
      <c r="H796" s="516"/>
      <c r="I796" s="516"/>
      <c r="J796" s="516"/>
      <c r="K796" s="516"/>
      <c r="L796" s="516"/>
      <c r="M796" s="516"/>
      <c r="N796" s="516"/>
      <c r="O796" s="516"/>
      <c r="P796" s="516"/>
      <c r="Q796" s="516"/>
      <c r="R796" s="516"/>
      <c r="S796" s="516"/>
      <c r="T796" s="516"/>
      <c r="U796" s="516"/>
      <c r="V796" s="516"/>
      <c r="W796" s="516"/>
      <c r="X796" s="516"/>
      <c r="Y796" s="516"/>
      <c r="Z796" s="516"/>
    </row>
    <row r="797" ht="14.25" customHeight="1">
      <c r="A797" s="516"/>
      <c r="B797" s="516"/>
      <c r="C797" s="517"/>
      <c r="D797" s="517"/>
      <c r="E797" s="517"/>
      <c r="F797" s="516"/>
      <c r="G797" s="516"/>
      <c r="H797" s="516"/>
      <c r="I797" s="516"/>
      <c r="J797" s="516"/>
      <c r="K797" s="516"/>
      <c r="L797" s="516"/>
      <c r="M797" s="516"/>
      <c r="N797" s="516"/>
      <c r="O797" s="516"/>
      <c r="P797" s="516"/>
      <c r="Q797" s="516"/>
      <c r="R797" s="516"/>
      <c r="S797" s="516"/>
      <c r="T797" s="516"/>
      <c r="U797" s="516"/>
      <c r="V797" s="516"/>
      <c r="W797" s="516"/>
      <c r="X797" s="516"/>
      <c r="Y797" s="516"/>
      <c r="Z797" s="516"/>
    </row>
    <row r="798" ht="14.25" customHeight="1">
      <c r="A798" s="516"/>
      <c r="B798" s="516"/>
      <c r="C798" s="517"/>
      <c r="D798" s="517"/>
      <c r="E798" s="517"/>
      <c r="F798" s="516"/>
      <c r="G798" s="516"/>
      <c r="H798" s="516"/>
      <c r="I798" s="516"/>
      <c r="J798" s="516"/>
      <c r="K798" s="516"/>
      <c r="L798" s="516"/>
      <c r="M798" s="516"/>
      <c r="N798" s="516"/>
      <c r="O798" s="516"/>
      <c r="P798" s="516"/>
      <c r="Q798" s="516"/>
      <c r="R798" s="516"/>
      <c r="S798" s="516"/>
      <c r="T798" s="516"/>
      <c r="U798" s="516"/>
      <c r="V798" s="516"/>
      <c r="W798" s="516"/>
      <c r="X798" s="516"/>
      <c r="Y798" s="516"/>
      <c r="Z798" s="516"/>
    </row>
    <row r="799" ht="14.25" customHeight="1">
      <c r="A799" s="516"/>
      <c r="B799" s="516"/>
      <c r="C799" s="517"/>
      <c r="D799" s="517"/>
      <c r="E799" s="517"/>
      <c r="F799" s="516"/>
      <c r="G799" s="516"/>
      <c r="H799" s="516"/>
      <c r="I799" s="516"/>
      <c r="J799" s="516"/>
      <c r="K799" s="516"/>
      <c r="L799" s="516"/>
      <c r="M799" s="516"/>
      <c r="N799" s="516"/>
      <c r="O799" s="516"/>
      <c r="P799" s="516"/>
      <c r="Q799" s="516"/>
      <c r="R799" s="516"/>
      <c r="S799" s="516"/>
      <c r="T799" s="516"/>
      <c r="U799" s="516"/>
      <c r="V799" s="516"/>
      <c r="W799" s="516"/>
      <c r="X799" s="516"/>
      <c r="Y799" s="516"/>
      <c r="Z799" s="516"/>
    </row>
    <row r="800" ht="14.25" customHeight="1">
      <c r="A800" s="516"/>
      <c r="B800" s="516"/>
      <c r="C800" s="517"/>
      <c r="D800" s="517"/>
      <c r="E800" s="517"/>
      <c r="F800" s="516"/>
      <c r="G800" s="516"/>
      <c r="H800" s="516"/>
      <c r="I800" s="516"/>
      <c r="J800" s="516"/>
      <c r="K800" s="516"/>
      <c r="L800" s="516"/>
      <c r="M800" s="516"/>
      <c r="N800" s="516"/>
      <c r="O800" s="516"/>
      <c r="P800" s="516"/>
      <c r="Q800" s="516"/>
      <c r="R800" s="516"/>
      <c r="S800" s="516"/>
      <c r="T800" s="516"/>
      <c r="U800" s="516"/>
      <c r="V800" s="516"/>
      <c r="W800" s="516"/>
      <c r="X800" s="516"/>
      <c r="Y800" s="516"/>
      <c r="Z800" s="516"/>
    </row>
    <row r="801" ht="14.25" customHeight="1">
      <c r="A801" s="516"/>
      <c r="B801" s="516"/>
      <c r="C801" s="517"/>
      <c r="D801" s="517"/>
      <c r="E801" s="517"/>
      <c r="F801" s="516"/>
      <c r="G801" s="516"/>
      <c r="H801" s="516"/>
      <c r="I801" s="516"/>
      <c r="J801" s="516"/>
      <c r="K801" s="516"/>
      <c r="L801" s="516"/>
      <c r="M801" s="516"/>
      <c r="N801" s="516"/>
      <c r="O801" s="516"/>
      <c r="P801" s="516"/>
      <c r="Q801" s="516"/>
      <c r="R801" s="516"/>
      <c r="S801" s="516"/>
      <c r="T801" s="516"/>
      <c r="U801" s="516"/>
      <c r="V801" s="516"/>
      <c r="W801" s="516"/>
      <c r="X801" s="516"/>
      <c r="Y801" s="516"/>
      <c r="Z801" s="516"/>
    </row>
    <row r="802" ht="14.25" customHeight="1">
      <c r="A802" s="516"/>
      <c r="B802" s="516"/>
      <c r="C802" s="517"/>
      <c r="D802" s="517"/>
      <c r="E802" s="517"/>
      <c r="F802" s="516"/>
      <c r="G802" s="516"/>
      <c r="H802" s="516"/>
      <c r="I802" s="516"/>
      <c r="J802" s="516"/>
      <c r="K802" s="516"/>
      <c r="L802" s="516"/>
      <c r="M802" s="516"/>
      <c r="N802" s="516"/>
      <c r="O802" s="516"/>
      <c r="P802" s="516"/>
      <c r="Q802" s="516"/>
      <c r="R802" s="516"/>
      <c r="S802" s="516"/>
      <c r="T802" s="516"/>
      <c r="U802" s="516"/>
      <c r="V802" s="516"/>
      <c r="W802" s="516"/>
      <c r="X802" s="516"/>
      <c r="Y802" s="516"/>
      <c r="Z802" s="516"/>
    </row>
    <row r="803" ht="14.25" customHeight="1">
      <c r="A803" s="516"/>
      <c r="B803" s="516"/>
      <c r="C803" s="517"/>
      <c r="D803" s="517"/>
      <c r="E803" s="517"/>
      <c r="F803" s="516"/>
      <c r="G803" s="516"/>
      <c r="H803" s="516"/>
      <c r="I803" s="516"/>
      <c r="J803" s="516"/>
      <c r="K803" s="516"/>
      <c r="L803" s="516"/>
      <c r="M803" s="516"/>
      <c r="N803" s="516"/>
      <c r="O803" s="516"/>
      <c r="P803" s="516"/>
      <c r="Q803" s="516"/>
      <c r="R803" s="516"/>
      <c r="S803" s="516"/>
      <c r="T803" s="516"/>
      <c r="U803" s="516"/>
      <c r="V803" s="516"/>
      <c r="W803" s="516"/>
      <c r="X803" s="516"/>
      <c r="Y803" s="516"/>
      <c r="Z803" s="516"/>
    </row>
    <row r="804" ht="14.25" customHeight="1">
      <c r="A804" s="516"/>
      <c r="B804" s="516"/>
      <c r="C804" s="517"/>
      <c r="D804" s="517"/>
      <c r="E804" s="517"/>
      <c r="F804" s="516"/>
      <c r="G804" s="516"/>
      <c r="H804" s="516"/>
      <c r="I804" s="516"/>
      <c r="J804" s="516"/>
      <c r="K804" s="516"/>
      <c r="L804" s="516"/>
      <c r="M804" s="516"/>
      <c r="N804" s="516"/>
      <c r="O804" s="516"/>
      <c r="P804" s="516"/>
      <c r="Q804" s="516"/>
      <c r="R804" s="516"/>
      <c r="S804" s="516"/>
      <c r="T804" s="516"/>
      <c r="U804" s="516"/>
      <c r="V804" s="516"/>
      <c r="W804" s="516"/>
      <c r="X804" s="516"/>
      <c r="Y804" s="516"/>
      <c r="Z804" s="516"/>
    </row>
    <row r="805" ht="14.25" customHeight="1">
      <c r="A805" s="516"/>
      <c r="B805" s="516"/>
      <c r="C805" s="517"/>
      <c r="D805" s="517"/>
      <c r="E805" s="517"/>
      <c r="F805" s="516"/>
      <c r="G805" s="516"/>
      <c r="H805" s="516"/>
      <c r="I805" s="516"/>
      <c r="J805" s="516"/>
      <c r="K805" s="516"/>
      <c r="L805" s="516"/>
      <c r="M805" s="516"/>
      <c r="N805" s="516"/>
      <c r="O805" s="516"/>
      <c r="P805" s="516"/>
      <c r="Q805" s="516"/>
      <c r="R805" s="516"/>
      <c r="S805" s="516"/>
      <c r="T805" s="516"/>
      <c r="U805" s="516"/>
      <c r="V805" s="516"/>
      <c r="W805" s="516"/>
      <c r="X805" s="516"/>
      <c r="Y805" s="516"/>
      <c r="Z805" s="516"/>
    </row>
    <row r="806" ht="14.25" customHeight="1">
      <c r="A806" s="516"/>
      <c r="B806" s="516"/>
      <c r="C806" s="517"/>
      <c r="D806" s="517"/>
      <c r="E806" s="517"/>
      <c r="F806" s="516"/>
      <c r="G806" s="516"/>
      <c r="H806" s="516"/>
      <c r="I806" s="516"/>
      <c r="J806" s="516"/>
      <c r="K806" s="516"/>
      <c r="L806" s="516"/>
      <c r="M806" s="516"/>
      <c r="N806" s="516"/>
      <c r="O806" s="516"/>
      <c r="P806" s="516"/>
      <c r="Q806" s="516"/>
      <c r="R806" s="516"/>
      <c r="S806" s="516"/>
      <c r="T806" s="516"/>
      <c r="U806" s="516"/>
      <c r="V806" s="516"/>
      <c r="W806" s="516"/>
      <c r="X806" s="516"/>
      <c r="Y806" s="516"/>
      <c r="Z806" s="516"/>
    </row>
    <row r="807" ht="14.25" customHeight="1">
      <c r="A807" s="516"/>
      <c r="B807" s="516"/>
      <c r="C807" s="517"/>
      <c r="D807" s="517"/>
      <c r="E807" s="517"/>
      <c r="F807" s="516"/>
      <c r="G807" s="516"/>
      <c r="H807" s="516"/>
      <c r="I807" s="516"/>
      <c r="J807" s="516"/>
      <c r="K807" s="516"/>
      <c r="L807" s="516"/>
      <c r="M807" s="516"/>
      <c r="N807" s="516"/>
      <c r="O807" s="516"/>
      <c r="P807" s="516"/>
      <c r="Q807" s="516"/>
      <c r="R807" s="516"/>
      <c r="S807" s="516"/>
      <c r="T807" s="516"/>
      <c r="U807" s="516"/>
      <c r="V807" s="516"/>
      <c r="W807" s="516"/>
      <c r="X807" s="516"/>
      <c r="Y807" s="516"/>
      <c r="Z807" s="516"/>
    </row>
    <row r="808" ht="14.25" customHeight="1">
      <c r="A808" s="516"/>
      <c r="B808" s="516"/>
      <c r="C808" s="517"/>
      <c r="D808" s="517"/>
      <c r="E808" s="517"/>
      <c r="F808" s="516"/>
      <c r="G808" s="516"/>
      <c r="H808" s="516"/>
      <c r="I808" s="516"/>
      <c r="J808" s="516"/>
      <c r="K808" s="516"/>
      <c r="L808" s="516"/>
      <c r="M808" s="516"/>
      <c r="N808" s="516"/>
      <c r="O808" s="516"/>
      <c r="P808" s="516"/>
      <c r="Q808" s="516"/>
      <c r="R808" s="516"/>
      <c r="S808" s="516"/>
      <c r="T808" s="516"/>
      <c r="U808" s="516"/>
      <c r="V808" s="516"/>
      <c r="W808" s="516"/>
      <c r="X808" s="516"/>
      <c r="Y808" s="516"/>
      <c r="Z808" s="516"/>
    </row>
    <row r="809" ht="14.25" customHeight="1">
      <c r="A809" s="516"/>
      <c r="B809" s="516"/>
      <c r="C809" s="517"/>
      <c r="D809" s="517"/>
      <c r="E809" s="517"/>
      <c r="F809" s="516"/>
      <c r="G809" s="516"/>
      <c r="H809" s="516"/>
      <c r="I809" s="516"/>
      <c r="J809" s="516"/>
      <c r="K809" s="516"/>
      <c r="L809" s="516"/>
      <c r="M809" s="516"/>
      <c r="N809" s="516"/>
      <c r="O809" s="516"/>
      <c r="P809" s="516"/>
      <c r="Q809" s="516"/>
      <c r="R809" s="516"/>
      <c r="S809" s="516"/>
      <c r="T809" s="516"/>
      <c r="U809" s="516"/>
      <c r="V809" s="516"/>
      <c r="W809" s="516"/>
      <c r="X809" s="516"/>
      <c r="Y809" s="516"/>
      <c r="Z809" s="516"/>
    </row>
    <row r="810" ht="14.25" customHeight="1">
      <c r="A810" s="516"/>
      <c r="B810" s="516"/>
      <c r="C810" s="517"/>
      <c r="D810" s="517"/>
      <c r="E810" s="517"/>
      <c r="F810" s="516"/>
      <c r="G810" s="516"/>
      <c r="H810" s="516"/>
      <c r="I810" s="516"/>
      <c r="J810" s="516"/>
      <c r="K810" s="516"/>
      <c r="L810" s="516"/>
      <c r="M810" s="516"/>
      <c r="N810" s="516"/>
      <c r="O810" s="516"/>
      <c r="P810" s="516"/>
      <c r="Q810" s="516"/>
      <c r="R810" s="516"/>
      <c r="S810" s="516"/>
      <c r="T810" s="516"/>
      <c r="U810" s="516"/>
      <c r="V810" s="516"/>
      <c r="W810" s="516"/>
      <c r="X810" s="516"/>
      <c r="Y810" s="516"/>
      <c r="Z810" s="516"/>
    </row>
    <row r="811" ht="14.25" customHeight="1">
      <c r="A811" s="516"/>
      <c r="B811" s="516"/>
      <c r="C811" s="517"/>
      <c r="D811" s="517"/>
      <c r="E811" s="517"/>
      <c r="F811" s="516"/>
      <c r="G811" s="516"/>
      <c r="H811" s="516"/>
      <c r="I811" s="516"/>
      <c r="J811" s="516"/>
      <c r="K811" s="516"/>
      <c r="L811" s="516"/>
      <c r="M811" s="516"/>
      <c r="N811" s="516"/>
      <c r="O811" s="516"/>
      <c r="P811" s="516"/>
      <c r="Q811" s="516"/>
      <c r="R811" s="516"/>
      <c r="S811" s="516"/>
      <c r="T811" s="516"/>
      <c r="U811" s="516"/>
      <c r="V811" s="516"/>
      <c r="W811" s="516"/>
      <c r="X811" s="516"/>
      <c r="Y811" s="516"/>
      <c r="Z811" s="516"/>
    </row>
    <row r="812" ht="14.25" customHeight="1">
      <c r="A812" s="516"/>
      <c r="B812" s="516"/>
      <c r="C812" s="517"/>
      <c r="D812" s="517"/>
      <c r="E812" s="517"/>
      <c r="F812" s="516"/>
      <c r="G812" s="516"/>
      <c r="H812" s="516"/>
      <c r="I812" s="516"/>
      <c r="J812" s="516"/>
      <c r="K812" s="516"/>
      <c r="L812" s="516"/>
      <c r="M812" s="516"/>
      <c r="N812" s="516"/>
      <c r="O812" s="516"/>
      <c r="P812" s="516"/>
      <c r="Q812" s="516"/>
      <c r="R812" s="516"/>
      <c r="S812" s="516"/>
      <c r="T812" s="516"/>
      <c r="U812" s="516"/>
      <c r="V812" s="516"/>
      <c r="W812" s="516"/>
      <c r="X812" s="516"/>
      <c r="Y812" s="516"/>
      <c r="Z812" s="516"/>
    </row>
    <row r="813" ht="14.25" customHeight="1">
      <c r="A813" s="516"/>
      <c r="B813" s="516"/>
      <c r="C813" s="517"/>
      <c r="D813" s="517"/>
      <c r="E813" s="517"/>
      <c r="F813" s="516"/>
      <c r="G813" s="516"/>
      <c r="H813" s="516"/>
      <c r="I813" s="516"/>
      <c r="J813" s="516"/>
      <c r="K813" s="516"/>
      <c r="L813" s="516"/>
      <c r="M813" s="516"/>
      <c r="N813" s="516"/>
      <c r="O813" s="516"/>
      <c r="P813" s="516"/>
      <c r="Q813" s="516"/>
      <c r="R813" s="516"/>
      <c r="S813" s="516"/>
      <c r="T813" s="516"/>
      <c r="U813" s="516"/>
      <c r="V813" s="516"/>
      <c r="W813" s="516"/>
      <c r="X813" s="516"/>
      <c r="Y813" s="516"/>
      <c r="Z813" s="516"/>
    </row>
    <row r="814" ht="14.25" customHeight="1">
      <c r="A814" s="516"/>
      <c r="B814" s="516"/>
      <c r="C814" s="517"/>
      <c r="D814" s="517"/>
      <c r="E814" s="517"/>
      <c r="F814" s="516"/>
      <c r="G814" s="516"/>
      <c r="H814" s="516"/>
      <c r="I814" s="516"/>
      <c r="J814" s="516"/>
      <c r="K814" s="516"/>
      <c r="L814" s="516"/>
      <c r="M814" s="516"/>
      <c r="N814" s="516"/>
      <c r="O814" s="516"/>
      <c r="P814" s="516"/>
      <c r="Q814" s="516"/>
      <c r="R814" s="516"/>
      <c r="S814" s="516"/>
      <c r="T814" s="516"/>
      <c r="U814" s="516"/>
      <c r="V814" s="516"/>
      <c r="W814" s="516"/>
      <c r="X814" s="516"/>
      <c r="Y814" s="516"/>
      <c r="Z814" s="516"/>
    </row>
    <row r="815" ht="14.25" customHeight="1">
      <c r="A815" s="516"/>
      <c r="B815" s="516"/>
      <c r="C815" s="517"/>
      <c r="D815" s="517"/>
      <c r="E815" s="517"/>
      <c r="F815" s="516"/>
      <c r="G815" s="516"/>
      <c r="H815" s="516"/>
      <c r="I815" s="516"/>
      <c r="J815" s="516"/>
      <c r="K815" s="516"/>
      <c r="L815" s="516"/>
      <c r="M815" s="516"/>
      <c r="N815" s="516"/>
      <c r="O815" s="516"/>
      <c r="P815" s="516"/>
      <c r="Q815" s="516"/>
      <c r="R815" s="516"/>
      <c r="S815" s="516"/>
      <c r="T815" s="516"/>
      <c r="U815" s="516"/>
      <c r="V815" s="516"/>
      <c r="W815" s="516"/>
      <c r="X815" s="516"/>
      <c r="Y815" s="516"/>
      <c r="Z815" s="516"/>
    </row>
    <row r="816" ht="14.25" customHeight="1">
      <c r="A816" s="516"/>
      <c r="B816" s="516"/>
      <c r="C816" s="517"/>
      <c r="D816" s="517"/>
      <c r="E816" s="517"/>
      <c r="F816" s="516"/>
      <c r="G816" s="516"/>
      <c r="H816" s="516"/>
      <c r="I816" s="516"/>
      <c r="J816" s="516"/>
      <c r="K816" s="516"/>
      <c r="L816" s="516"/>
      <c r="M816" s="516"/>
      <c r="N816" s="516"/>
      <c r="O816" s="516"/>
      <c r="P816" s="516"/>
      <c r="Q816" s="516"/>
      <c r="R816" s="516"/>
      <c r="S816" s="516"/>
      <c r="T816" s="516"/>
      <c r="U816" s="516"/>
      <c r="V816" s="516"/>
      <c r="W816" s="516"/>
      <c r="X816" s="516"/>
      <c r="Y816" s="516"/>
      <c r="Z816" s="516"/>
    </row>
    <row r="817" ht="14.25" customHeight="1">
      <c r="A817" s="516"/>
      <c r="B817" s="516"/>
      <c r="C817" s="517"/>
      <c r="D817" s="517"/>
      <c r="E817" s="517"/>
      <c r="F817" s="516"/>
      <c r="G817" s="516"/>
      <c r="H817" s="516"/>
      <c r="I817" s="516"/>
      <c r="J817" s="516"/>
      <c r="K817" s="516"/>
      <c r="L817" s="516"/>
      <c r="M817" s="516"/>
      <c r="N817" s="516"/>
      <c r="O817" s="516"/>
      <c r="P817" s="516"/>
      <c r="Q817" s="516"/>
      <c r="R817" s="516"/>
      <c r="S817" s="516"/>
      <c r="T817" s="516"/>
      <c r="U817" s="516"/>
      <c r="V817" s="516"/>
      <c r="W817" s="516"/>
      <c r="X817" s="516"/>
      <c r="Y817" s="516"/>
      <c r="Z817" s="516"/>
    </row>
    <row r="818" ht="14.25" customHeight="1">
      <c r="A818" s="516"/>
      <c r="B818" s="516"/>
      <c r="C818" s="517"/>
      <c r="D818" s="517"/>
      <c r="E818" s="517"/>
      <c r="F818" s="516"/>
      <c r="G818" s="516"/>
      <c r="H818" s="516"/>
      <c r="I818" s="516"/>
      <c r="J818" s="516"/>
      <c r="K818" s="516"/>
      <c r="L818" s="516"/>
      <c r="M818" s="516"/>
      <c r="N818" s="516"/>
      <c r="O818" s="516"/>
      <c r="P818" s="516"/>
      <c r="Q818" s="516"/>
      <c r="R818" s="516"/>
      <c r="S818" s="516"/>
      <c r="T818" s="516"/>
      <c r="U818" s="516"/>
      <c r="V818" s="516"/>
      <c r="W818" s="516"/>
      <c r="X818" s="516"/>
      <c r="Y818" s="516"/>
      <c r="Z818" s="516"/>
    </row>
    <row r="819" ht="14.25" customHeight="1">
      <c r="A819" s="516"/>
      <c r="B819" s="516"/>
      <c r="C819" s="517"/>
      <c r="D819" s="517"/>
      <c r="E819" s="517"/>
      <c r="F819" s="516"/>
      <c r="G819" s="516"/>
      <c r="H819" s="516"/>
      <c r="I819" s="516"/>
      <c r="J819" s="516"/>
      <c r="K819" s="516"/>
      <c r="L819" s="516"/>
      <c r="M819" s="516"/>
      <c r="N819" s="516"/>
      <c r="O819" s="516"/>
      <c r="P819" s="516"/>
      <c r="Q819" s="516"/>
      <c r="R819" s="516"/>
      <c r="S819" s="516"/>
      <c r="T819" s="516"/>
      <c r="U819" s="516"/>
      <c r="V819" s="516"/>
      <c r="W819" s="516"/>
      <c r="X819" s="516"/>
      <c r="Y819" s="516"/>
      <c r="Z819" s="516"/>
    </row>
    <row r="820" ht="14.25" customHeight="1">
      <c r="A820" s="516"/>
      <c r="B820" s="516"/>
      <c r="C820" s="517"/>
      <c r="D820" s="517"/>
      <c r="E820" s="517"/>
      <c r="F820" s="516"/>
      <c r="G820" s="516"/>
      <c r="H820" s="516"/>
      <c r="I820" s="516"/>
      <c r="J820" s="516"/>
      <c r="K820" s="516"/>
      <c r="L820" s="516"/>
      <c r="M820" s="516"/>
      <c r="N820" s="516"/>
      <c r="O820" s="516"/>
      <c r="P820" s="516"/>
      <c r="Q820" s="516"/>
      <c r="R820" s="516"/>
      <c r="S820" s="516"/>
      <c r="T820" s="516"/>
      <c r="U820" s="516"/>
      <c r="V820" s="516"/>
      <c r="W820" s="516"/>
      <c r="X820" s="516"/>
      <c r="Y820" s="516"/>
      <c r="Z820" s="516"/>
    </row>
    <row r="821" ht="14.25" customHeight="1">
      <c r="A821" s="516"/>
      <c r="B821" s="516"/>
      <c r="C821" s="517"/>
      <c r="D821" s="517"/>
      <c r="E821" s="517"/>
      <c r="F821" s="516"/>
      <c r="G821" s="516"/>
      <c r="H821" s="516"/>
      <c r="I821" s="516"/>
      <c r="J821" s="516"/>
      <c r="K821" s="516"/>
      <c r="L821" s="516"/>
      <c r="M821" s="516"/>
      <c r="N821" s="516"/>
      <c r="O821" s="516"/>
      <c r="P821" s="516"/>
      <c r="Q821" s="516"/>
      <c r="R821" s="516"/>
      <c r="S821" s="516"/>
      <c r="T821" s="516"/>
      <c r="U821" s="516"/>
      <c r="V821" s="516"/>
      <c r="W821" s="516"/>
      <c r="X821" s="516"/>
      <c r="Y821" s="516"/>
      <c r="Z821" s="516"/>
    </row>
    <row r="822" ht="14.25" customHeight="1">
      <c r="A822" s="516"/>
      <c r="B822" s="516"/>
      <c r="C822" s="517"/>
      <c r="D822" s="517"/>
      <c r="E822" s="517"/>
      <c r="F822" s="516"/>
      <c r="G822" s="516"/>
      <c r="H822" s="516"/>
      <c r="I822" s="516"/>
      <c r="J822" s="516"/>
      <c r="K822" s="516"/>
      <c r="L822" s="516"/>
      <c r="M822" s="516"/>
      <c r="N822" s="516"/>
      <c r="O822" s="516"/>
      <c r="P822" s="516"/>
      <c r="Q822" s="516"/>
      <c r="R822" s="516"/>
      <c r="S822" s="516"/>
      <c r="T822" s="516"/>
      <c r="U822" s="516"/>
      <c r="V822" s="516"/>
      <c r="W822" s="516"/>
      <c r="X822" s="516"/>
      <c r="Y822" s="516"/>
      <c r="Z822" s="516"/>
    </row>
    <row r="823" ht="14.25" customHeight="1">
      <c r="A823" s="516"/>
      <c r="B823" s="516"/>
      <c r="C823" s="517"/>
      <c r="D823" s="517"/>
      <c r="E823" s="517"/>
      <c r="F823" s="516"/>
      <c r="G823" s="516"/>
      <c r="H823" s="516"/>
      <c r="I823" s="516"/>
      <c r="J823" s="516"/>
      <c r="K823" s="516"/>
      <c r="L823" s="516"/>
      <c r="M823" s="516"/>
      <c r="N823" s="516"/>
      <c r="O823" s="516"/>
      <c r="P823" s="516"/>
      <c r="Q823" s="516"/>
      <c r="R823" s="516"/>
      <c r="S823" s="516"/>
      <c r="T823" s="516"/>
      <c r="U823" s="516"/>
      <c r="V823" s="516"/>
      <c r="W823" s="516"/>
      <c r="X823" s="516"/>
      <c r="Y823" s="516"/>
      <c r="Z823" s="516"/>
    </row>
    <row r="824" ht="14.25" customHeight="1">
      <c r="A824" s="516"/>
      <c r="B824" s="516"/>
      <c r="C824" s="517"/>
      <c r="D824" s="517"/>
      <c r="E824" s="517"/>
      <c r="F824" s="516"/>
      <c r="G824" s="516"/>
      <c r="H824" s="516"/>
      <c r="I824" s="516"/>
      <c r="J824" s="516"/>
      <c r="K824" s="516"/>
      <c r="L824" s="516"/>
      <c r="M824" s="516"/>
      <c r="N824" s="516"/>
      <c r="O824" s="516"/>
      <c r="P824" s="516"/>
      <c r="Q824" s="516"/>
      <c r="R824" s="516"/>
      <c r="S824" s="516"/>
      <c r="T824" s="516"/>
      <c r="U824" s="516"/>
      <c r="V824" s="516"/>
      <c r="W824" s="516"/>
      <c r="X824" s="516"/>
      <c r="Y824" s="516"/>
      <c r="Z824" s="516"/>
    </row>
    <row r="825" ht="14.25" customHeight="1">
      <c r="A825" s="516"/>
      <c r="B825" s="516"/>
      <c r="C825" s="517"/>
      <c r="D825" s="517"/>
      <c r="E825" s="517"/>
      <c r="F825" s="516"/>
      <c r="G825" s="516"/>
      <c r="H825" s="516"/>
      <c r="I825" s="516"/>
      <c r="J825" s="516"/>
      <c r="K825" s="516"/>
      <c r="L825" s="516"/>
      <c r="M825" s="516"/>
      <c r="N825" s="516"/>
      <c r="O825" s="516"/>
      <c r="P825" s="516"/>
      <c r="Q825" s="516"/>
      <c r="R825" s="516"/>
      <c r="S825" s="516"/>
      <c r="T825" s="516"/>
      <c r="U825" s="516"/>
      <c r="V825" s="516"/>
      <c r="W825" s="516"/>
      <c r="X825" s="516"/>
      <c r="Y825" s="516"/>
      <c r="Z825" s="516"/>
    </row>
    <row r="826" ht="14.25" customHeight="1">
      <c r="A826" s="516"/>
      <c r="B826" s="516"/>
      <c r="C826" s="517"/>
      <c r="D826" s="517"/>
      <c r="E826" s="517"/>
      <c r="F826" s="516"/>
      <c r="G826" s="516"/>
      <c r="H826" s="516"/>
      <c r="I826" s="516"/>
      <c r="J826" s="516"/>
      <c r="K826" s="516"/>
      <c r="L826" s="516"/>
      <c r="M826" s="516"/>
      <c r="N826" s="516"/>
      <c r="O826" s="516"/>
      <c r="P826" s="516"/>
      <c r="Q826" s="516"/>
      <c r="R826" s="516"/>
      <c r="S826" s="516"/>
      <c r="T826" s="516"/>
      <c r="U826" s="516"/>
      <c r="V826" s="516"/>
      <c r="W826" s="516"/>
      <c r="X826" s="516"/>
      <c r="Y826" s="516"/>
      <c r="Z826" s="516"/>
    </row>
    <row r="827" ht="14.25" customHeight="1">
      <c r="A827" s="516"/>
      <c r="B827" s="516"/>
      <c r="C827" s="517"/>
      <c r="D827" s="517"/>
      <c r="E827" s="517"/>
      <c r="F827" s="516"/>
      <c r="G827" s="516"/>
      <c r="H827" s="516"/>
      <c r="I827" s="516"/>
      <c r="J827" s="516"/>
      <c r="K827" s="516"/>
      <c r="L827" s="516"/>
      <c r="M827" s="516"/>
      <c r="N827" s="516"/>
      <c r="O827" s="516"/>
      <c r="P827" s="516"/>
      <c r="Q827" s="516"/>
      <c r="R827" s="516"/>
      <c r="S827" s="516"/>
      <c r="T827" s="516"/>
      <c r="U827" s="516"/>
      <c r="V827" s="516"/>
      <c r="W827" s="516"/>
      <c r="X827" s="516"/>
      <c r="Y827" s="516"/>
      <c r="Z827" s="516"/>
    </row>
    <row r="828" ht="14.25" customHeight="1">
      <c r="A828" s="516"/>
      <c r="B828" s="516"/>
      <c r="C828" s="517"/>
      <c r="D828" s="517"/>
      <c r="E828" s="517"/>
      <c r="F828" s="516"/>
      <c r="G828" s="516"/>
      <c r="H828" s="516"/>
      <c r="I828" s="516"/>
      <c r="J828" s="516"/>
      <c r="K828" s="516"/>
      <c r="L828" s="516"/>
      <c r="M828" s="516"/>
      <c r="N828" s="516"/>
      <c r="O828" s="516"/>
      <c r="P828" s="516"/>
      <c r="Q828" s="516"/>
      <c r="R828" s="516"/>
      <c r="S828" s="516"/>
      <c r="T828" s="516"/>
      <c r="U828" s="516"/>
      <c r="V828" s="516"/>
      <c r="W828" s="516"/>
      <c r="X828" s="516"/>
      <c r="Y828" s="516"/>
      <c r="Z828" s="516"/>
    </row>
    <row r="829" ht="14.25" customHeight="1">
      <c r="A829" s="516"/>
      <c r="B829" s="516"/>
      <c r="C829" s="517"/>
      <c r="D829" s="517"/>
      <c r="E829" s="517"/>
      <c r="F829" s="516"/>
      <c r="G829" s="516"/>
      <c r="H829" s="516"/>
      <c r="I829" s="516"/>
      <c r="J829" s="516"/>
      <c r="K829" s="516"/>
      <c r="L829" s="516"/>
      <c r="M829" s="516"/>
      <c r="N829" s="516"/>
      <c r="O829" s="516"/>
      <c r="P829" s="516"/>
      <c r="Q829" s="516"/>
      <c r="R829" s="516"/>
      <c r="S829" s="516"/>
      <c r="T829" s="516"/>
      <c r="U829" s="516"/>
      <c r="V829" s="516"/>
      <c r="W829" s="516"/>
      <c r="X829" s="516"/>
      <c r="Y829" s="516"/>
      <c r="Z829" s="516"/>
    </row>
    <row r="830" ht="14.25" customHeight="1">
      <c r="A830" s="516"/>
      <c r="B830" s="516"/>
      <c r="C830" s="517"/>
      <c r="D830" s="517"/>
      <c r="E830" s="517"/>
      <c r="F830" s="516"/>
      <c r="G830" s="516"/>
      <c r="H830" s="516"/>
      <c r="I830" s="516"/>
      <c r="J830" s="516"/>
      <c r="K830" s="516"/>
      <c r="L830" s="516"/>
      <c r="M830" s="516"/>
      <c r="N830" s="516"/>
      <c r="O830" s="516"/>
      <c r="P830" s="516"/>
      <c r="Q830" s="516"/>
      <c r="R830" s="516"/>
      <c r="S830" s="516"/>
      <c r="T830" s="516"/>
      <c r="U830" s="516"/>
      <c r="V830" s="516"/>
      <c r="W830" s="516"/>
      <c r="X830" s="516"/>
      <c r="Y830" s="516"/>
      <c r="Z830" s="516"/>
    </row>
    <row r="831" ht="14.25" customHeight="1">
      <c r="A831" s="516"/>
      <c r="B831" s="516"/>
      <c r="C831" s="517"/>
      <c r="D831" s="517"/>
      <c r="E831" s="517"/>
      <c r="F831" s="516"/>
      <c r="G831" s="516"/>
      <c r="H831" s="516"/>
      <c r="I831" s="516"/>
      <c r="J831" s="516"/>
      <c r="K831" s="516"/>
      <c r="L831" s="516"/>
      <c r="M831" s="516"/>
      <c r="N831" s="516"/>
      <c r="O831" s="516"/>
      <c r="P831" s="516"/>
      <c r="Q831" s="516"/>
      <c r="R831" s="516"/>
      <c r="S831" s="516"/>
      <c r="T831" s="516"/>
      <c r="U831" s="516"/>
      <c r="V831" s="516"/>
      <c r="W831" s="516"/>
      <c r="X831" s="516"/>
      <c r="Y831" s="516"/>
      <c r="Z831" s="516"/>
    </row>
    <row r="832" ht="14.25" customHeight="1">
      <c r="A832" s="516"/>
      <c r="B832" s="516"/>
      <c r="C832" s="517"/>
      <c r="D832" s="517"/>
      <c r="E832" s="517"/>
      <c r="F832" s="516"/>
      <c r="G832" s="516"/>
      <c r="H832" s="516"/>
      <c r="I832" s="516"/>
      <c r="J832" s="516"/>
      <c r="K832" s="516"/>
      <c r="L832" s="516"/>
      <c r="M832" s="516"/>
      <c r="N832" s="516"/>
      <c r="O832" s="516"/>
      <c r="P832" s="516"/>
      <c r="Q832" s="516"/>
      <c r="R832" s="516"/>
      <c r="S832" s="516"/>
      <c r="T832" s="516"/>
      <c r="U832" s="516"/>
      <c r="V832" s="516"/>
      <c r="W832" s="516"/>
      <c r="X832" s="516"/>
      <c r="Y832" s="516"/>
      <c r="Z832" s="516"/>
    </row>
    <row r="833" ht="14.25" customHeight="1">
      <c r="A833" s="516"/>
      <c r="B833" s="516"/>
      <c r="C833" s="517"/>
      <c r="D833" s="517"/>
      <c r="E833" s="517"/>
      <c r="F833" s="516"/>
      <c r="G833" s="516"/>
      <c r="H833" s="516"/>
      <c r="I833" s="516"/>
      <c r="J833" s="516"/>
      <c r="K833" s="516"/>
      <c r="L833" s="516"/>
      <c r="M833" s="516"/>
      <c r="N833" s="516"/>
      <c r="O833" s="516"/>
      <c r="P833" s="516"/>
      <c r="Q833" s="516"/>
      <c r="R833" s="516"/>
      <c r="S833" s="516"/>
      <c r="T833" s="516"/>
      <c r="U833" s="516"/>
      <c r="V833" s="516"/>
      <c r="W833" s="516"/>
      <c r="X833" s="516"/>
      <c r="Y833" s="516"/>
      <c r="Z833" s="516"/>
    </row>
    <row r="834" ht="14.25" customHeight="1">
      <c r="A834" s="516"/>
      <c r="B834" s="516"/>
      <c r="C834" s="517"/>
      <c r="D834" s="517"/>
      <c r="E834" s="517"/>
      <c r="F834" s="516"/>
      <c r="G834" s="516"/>
      <c r="H834" s="516"/>
      <c r="I834" s="516"/>
      <c r="J834" s="516"/>
      <c r="K834" s="516"/>
      <c r="L834" s="516"/>
      <c r="M834" s="516"/>
      <c r="N834" s="516"/>
      <c r="O834" s="516"/>
      <c r="P834" s="516"/>
      <c r="Q834" s="516"/>
      <c r="R834" s="516"/>
      <c r="S834" s="516"/>
      <c r="T834" s="516"/>
      <c r="U834" s="516"/>
      <c r="V834" s="516"/>
      <c r="W834" s="516"/>
      <c r="X834" s="516"/>
      <c r="Y834" s="516"/>
      <c r="Z834" s="516"/>
    </row>
    <row r="835" ht="14.25" customHeight="1">
      <c r="A835" s="516"/>
      <c r="B835" s="516"/>
      <c r="C835" s="517"/>
      <c r="D835" s="517"/>
      <c r="E835" s="517"/>
      <c r="F835" s="516"/>
      <c r="G835" s="516"/>
      <c r="H835" s="516"/>
      <c r="I835" s="516"/>
      <c r="J835" s="516"/>
      <c r="K835" s="516"/>
      <c r="L835" s="516"/>
      <c r="M835" s="516"/>
      <c r="N835" s="516"/>
      <c r="O835" s="516"/>
      <c r="P835" s="516"/>
      <c r="Q835" s="516"/>
      <c r="R835" s="516"/>
      <c r="S835" s="516"/>
      <c r="T835" s="516"/>
      <c r="U835" s="516"/>
      <c r="V835" s="516"/>
      <c r="W835" s="516"/>
      <c r="X835" s="516"/>
      <c r="Y835" s="516"/>
      <c r="Z835" s="516"/>
    </row>
    <row r="836" ht="14.25" customHeight="1">
      <c r="A836" s="516"/>
      <c r="B836" s="516"/>
      <c r="C836" s="517"/>
      <c r="D836" s="517"/>
      <c r="E836" s="517"/>
      <c r="F836" s="516"/>
      <c r="G836" s="516"/>
      <c r="H836" s="516"/>
      <c r="I836" s="516"/>
      <c r="J836" s="516"/>
      <c r="K836" s="516"/>
      <c r="L836" s="516"/>
      <c r="M836" s="516"/>
      <c r="N836" s="516"/>
      <c r="O836" s="516"/>
      <c r="P836" s="516"/>
      <c r="Q836" s="516"/>
      <c r="R836" s="516"/>
      <c r="S836" s="516"/>
      <c r="T836" s="516"/>
      <c r="U836" s="516"/>
      <c r="V836" s="516"/>
      <c r="W836" s="516"/>
      <c r="X836" s="516"/>
      <c r="Y836" s="516"/>
      <c r="Z836" s="516"/>
    </row>
    <row r="837" ht="14.25" customHeight="1">
      <c r="A837" s="516"/>
      <c r="B837" s="516"/>
      <c r="C837" s="517"/>
      <c r="D837" s="517"/>
      <c r="E837" s="517"/>
      <c r="F837" s="516"/>
      <c r="G837" s="516"/>
      <c r="H837" s="516"/>
      <c r="I837" s="516"/>
      <c r="J837" s="516"/>
      <c r="K837" s="516"/>
      <c r="L837" s="516"/>
      <c r="M837" s="516"/>
      <c r="N837" s="516"/>
      <c r="O837" s="516"/>
      <c r="P837" s="516"/>
      <c r="Q837" s="516"/>
      <c r="R837" s="516"/>
      <c r="S837" s="516"/>
      <c r="T837" s="516"/>
      <c r="U837" s="516"/>
      <c r="V837" s="516"/>
      <c r="W837" s="516"/>
      <c r="X837" s="516"/>
      <c r="Y837" s="516"/>
      <c r="Z837" s="516"/>
    </row>
    <row r="838" ht="14.25" customHeight="1">
      <c r="A838" s="516"/>
      <c r="B838" s="516"/>
      <c r="C838" s="517"/>
      <c r="D838" s="517"/>
      <c r="E838" s="517"/>
      <c r="F838" s="516"/>
      <c r="G838" s="516"/>
      <c r="H838" s="516"/>
      <c r="I838" s="516"/>
      <c r="J838" s="516"/>
      <c r="K838" s="516"/>
      <c r="L838" s="516"/>
      <c r="M838" s="516"/>
      <c r="N838" s="516"/>
      <c r="O838" s="516"/>
      <c r="P838" s="516"/>
      <c r="Q838" s="516"/>
      <c r="R838" s="516"/>
      <c r="S838" s="516"/>
      <c r="T838" s="516"/>
      <c r="U838" s="516"/>
      <c r="V838" s="516"/>
      <c r="W838" s="516"/>
      <c r="X838" s="516"/>
      <c r="Y838" s="516"/>
      <c r="Z838" s="516"/>
    </row>
    <row r="839" ht="14.25" customHeight="1">
      <c r="A839" s="516"/>
      <c r="B839" s="516"/>
      <c r="C839" s="517"/>
      <c r="D839" s="517"/>
      <c r="E839" s="517"/>
      <c r="F839" s="516"/>
      <c r="G839" s="516"/>
      <c r="H839" s="516"/>
      <c r="I839" s="516"/>
      <c r="J839" s="516"/>
      <c r="K839" s="516"/>
      <c r="L839" s="516"/>
      <c r="M839" s="516"/>
      <c r="N839" s="516"/>
      <c r="O839" s="516"/>
      <c r="P839" s="516"/>
      <c r="Q839" s="516"/>
      <c r="R839" s="516"/>
      <c r="S839" s="516"/>
      <c r="T839" s="516"/>
      <c r="U839" s="516"/>
      <c r="V839" s="516"/>
      <c r="W839" s="516"/>
      <c r="X839" s="516"/>
      <c r="Y839" s="516"/>
      <c r="Z839" s="516"/>
    </row>
    <row r="840" ht="14.25" customHeight="1">
      <c r="A840" s="516"/>
      <c r="B840" s="516"/>
      <c r="C840" s="517"/>
      <c r="D840" s="517"/>
      <c r="E840" s="517"/>
      <c r="F840" s="516"/>
      <c r="G840" s="516"/>
      <c r="H840" s="516"/>
      <c r="I840" s="516"/>
      <c r="J840" s="516"/>
      <c r="K840" s="516"/>
      <c r="L840" s="516"/>
      <c r="M840" s="516"/>
      <c r="N840" s="516"/>
      <c r="O840" s="516"/>
      <c r="P840" s="516"/>
      <c r="Q840" s="516"/>
      <c r="R840" s="516"/>
      <c r="S840" s="516"/>
      <c r="T840" s="516"/>
      <c r="U840" s="516"/>
      <c r="V840" s="516"/>
      <c r="W840" s="516"/>
      <c r="X840" s="516"/>
      <c r="Y840" s="516"/>
      <c r="Z840" s="516"/>
    </row>
    <row r="841" ht="14.25" customHeight="1">
      <c r="A841" s="516"/>
      <c r="B841" s="516"/>
      <c r="C841" s="517"/>
      <c r="D841" s="517"/>
      <c r="E841" s="517"/>
      <c r="F841" s="516"/>
      <c r="G841" s="516"/>
      <c r="H841" s="516"/>
      <c r="I841" s="516"/>
      <c r="J841" s="516"/>
      <c r="K841" s="516"/>
      <c r="L841" s="516"/>
      <c r="M841" s="516"/>
      <c r="N841" s="516"/>
      <c r="O841" s="516"/>
      <c r="P841" s="516"/>
      <c r="Q841" s="516"/>
      <c r="R841" s="516"/>
      <c r="S841" s="516"/>
      <c r="T841" s="516"/>
      <c r="U841" s="516"/>
      <c r="V841" s="516"/>
      <c r="W841" s="516"/>
      <c r="X841" s="516"/>
      <c r="Y841" s="516"/>
      <c r="Z841" s="516"/>
    </row>
    <row r="842" ht="14.25" customHeight="1">
      <c r="A842" s="516"/>
      <c r="B842" s="516"/>
      <c r="C842" s="517"/>
      <c r="D842" s="517"/>
      <c r="E842" s="517"/>
      <c r="F842" s="516"/>
      <c r="G842" s="516"/>
      <c r="H842" s="516"/>
      <c r="I842" s="516"/>
      <c r="J842" s="516"/>
      <c r="K842" s="516"/>
      <c r="L842" s="516"/>
      <c r="M842" s="516"/>
      <c r="N842" s="516"/>
      <c r="O842" s="516"/>
      <c r="P842" s="516"/>
      <c r="Q842" s="516"/>
      <c r="R842" s="516"/>
      <c r="S842" s="516"/>
      <c r="T842" s="516"/>
      <c r="U842" s="516"/>
      <c r="V842" s="516"/>
      <c r="W842" s="516"/>
      <c r="X842" s="516"/>
      <c r="Y842" s="516"/>
      <c r="Z842" s="516"/>
    </row>
    <row r="843" ht="14.25" customHeight="1">
      <c r="A843" s="516"/>
      <c r="B843" s="516"/>
      <c r="C843" s="517"/>
      <c r="D843" s="517"/>
      <c r="E843" s="517"/>
      <c r="F843" s="516"/>
      <c r="G843" s="516"/>
      <c r="H843" s="516"/>
      <c r="I843" s="516"/>
      <c r="J843" s="516"/>
      <c r="K843" s="516"/>
      <c r="L843" s="516"/>
      <c r="M843" s="516"/>
      <c r="N843" s="516"/>
      <c r="O843" s="516"/>
      <c r="P843" s="516"/>
      <c r="Q843" s="516"/>
      <c r="R843" s="516"/>
      <c r="S843" s="516"/>
      <c r="T843" s="516"/>
      <c r="U843" s="516"/>
      <c r="V843" s="516"/>
      <c r="W843" s="516"/>
      <c r="X843" s="516"/>
      <c r="Y843" s="516"/>
      <c r="Z843" s="516"/>
    </row>
    <row r="844" ht="14.25" customHeight="1">
      <c r="A844" s="516"/>
      <c r="B844" s="516"/>
      <c r="C844" s="517"/>
      <c r="D844" s="517"/>
      <c r="E844" s="517"/>
      <c r="F844" s="516"/>
      <c r="G844" s="516"/>
      <c r="H844" s="516"/>
      <c r="I844" s="516"/>
      <c r="J844" s="516"/>
      <c r="K844" s="516"/>
      <c r="L844" s="516"/>
      <c r="M844" s="516"/>
      <c r="N844" s="516"/>
      <c r="O844" s="516"/>
      <c r="P844" s="516"/>
      <c r="Q844" s="516"/>
      <c r="R844" s="516"/>
      <c r="S844" s="516"/>
      <c r="T844" s="516"/>
      <c r="U844" s="516"/>
      <c r="V844" s="516"/>
      <c r="W844" s="516"/>
      <c r="X844" s="516"/>
      <c r="Y844" s="516"/>
      <c r="Z844" s="516"/>
    </row>
    <row r="845" ht="14.25" customHeight="1">
      <c r="A845" s="516"/>
      <c r="B845" s="516"/>
      <c r="C845" s="517"/>
      <c r="D845" s="517"/>
      <c r="E845" s="517"/>
      <c r="F845" s="516"/>
      <c r="G845" s="516"/>
      <c r="H845" s="516"/>
      <c r="I845" s="516"/>
      <c r="J845" s="516"/>
      <c r="K845" s="516"/>
      <c r="L845" s="516"/>
      <c r="M845" s="516"/>
      <c r="N845" s="516"/>
      <c r="O845" s="516"/>
      <c r="P845" s="516"/>
      <c r="Q845" s="516"/>
      <c r="R845" s="516"/>
      <c r="S845" s="516"/>
      <c r="T845" s="516"/>
      <c r="U845" s="516"/>
      <c r="V845" s="516"/>
      <c r="W845" s="516"/>
      <c r="X845" s="516"/>
      <c r="Y845" s="516"/>
      <c r="Z845" s="516"/>
    </row>
    <row r="846" ht="14.25" customHeight="1">
      <c r="A846" s="516"/>
      <c r="B846" s="516"/>
      <c r="C846" s="517"/>
      <c r="D846" s="517"/>
      <c r="E846" s="517"/>
      <c r="F846" s="516"/>
      <c r="G846" s="516"/>
      <c r="H846" s="516"/>
      <c r="I846" s="516"/>
      <c r="J846" s="516"/>
      <c r="K846" s="516"/>
      <c r="L846" s="516"/>
      <c r="M846" s="516"/>
      <c r="N846" s="516"/>
      <c r="O846" s="516"/>
      <c r="P846" s="516"/>
      <c r="Q846" s="516"/>
      <c r="R846" s="516"/>
      <c r="S846" s="516"/>
      <c r="T846" s="516"/>
      <c r="U846" s="516"/>
      <c r="V846" s="516"/>
      <c r="W846" s="516"/>
      <c r="X846" s="516"/>
      <c r="Y846" s="516"/>
      <c r="Z846" s="516"/>
    </row>
    <row r="847" ht="14.25" customHeight="1">
      <c r="A847" s="516"/>
      <c r="B847" s="516"/>
      <c r="C847" s="517"/>
      <c r="D847" s="517"/>
      <c r="E847" s="517"/>
      <c r="F847" s="516"/>
      <c r="G847" s="516"/>
      <c r="H847" s="516"/>
      <c r="I847" s="516"/>
      <c r="J847" s="516"/>
      <c r="K847" s="516"/>
      <c r="L847" s="516"/>
      <c r="M847" s="516"/>
      <c r="N847" s="516"/>
      <c r="O847" s="516"/>
      <c r="P847" s="516"/>
      <c r="Q847" s="516"/>
      <c r="R847" s="516"/>
      <c r="S847" s="516"/>
      <c r="T847" s="516"/>
      <c r="U847" s="516"/>
      <c r="V847" s="516"/>
      <c r="W847" s="516"/>
      <c r="X847" s="516"/>
      <c r="Y847" s="516"/>
      <c r="Z847" s="516"/>
    </row>
    <row r="848" ht="14.25" customHeight="1">
      <c r="A848" s="516"/>
      <c r="B848" s="516"/>
      <c r="C848" s="517"/>
      <c r="D848" s="517"/>
      <c r="E848" s="517"/>
      <c r="F848" s="516"/>
      <c r="G848" s="516"/>
      <c r="H848" s="516"/>
      <c r="I848" s="516"/>
      <c r="J848" s="516"/>
      <c r="K848" s="516"/>
      <c r="L848" s="516"/>
      <c r="M848" s="516"/>
      <c r="N848" s="516"/>
      <c r="O848" s="516"/>
      <c r="P848" s="516"/>
      <c r="Q848" s="516"/>
      <c r="R848" s="516"/>
      <c r="S848" s="516"/>
      <c r="T848" s="516"/>
      <c r="U848" s="516"/>
      <c r="V848" s="516"/>
      <c r="W848" s="516"/>
      <c r="X848" s="516"/>
      <c r="Y848" s="516"/>
      <c r="Z848" s="516"/>
    </row>
    <row r="849" ht="14.25" customHeight="1">
      <c r="A849" s="516"/>
      <c r="B849" s="516"/>
      <c r="C849" s="517"/>
      <c r="D849" s="517"/>
      <c r="E849" s="517"/>
      <c r="F849" s="516"/>
      <c r="G849" s="516"/>
      <c r="H849" s="516"/>
      <c r="I849" s="516"/>
      <c r="J849" s="516"/>
      <c r="K849" s="516"/>
      <c r="L849" s="516"/>
      <c r="M849" s="516"/>
      <c r="N849" s="516"/>
      <c r="O849" s="516"/>
      <c r="P849" s="516"/>
      <c r="Q849" s="516"/>
      <c r="R849" s="516"/>
      <c r="S849" s="516"/>
      <c r="T849" s="516"/>
      <c r="U849" s="516"/>
      <c r="V849" s="516"/>
      <c r="W849" s="516"/>
      <c r="X849" s="516"/>
      <c r="Y849" s="516"/>
      <c r="Z849" s="516"/>
    </row>
    <row r="850" ht="14.25" customHeight="1">
      <c r="A850" s="516"/>
      <c r="B850" s="516"/>
      <c r="C850" s="517"/>
      <c r="D850" s="517"/>
      <c r="E850" s="517"/>
      <c r="F850" s="516"/>
      <c r="G850" s="516"/>
      <c r="H850" s="516"/>
      <c r="I850" s="516"/>
      <c r="J850" s="516"/>
      <c r="K850" s="516"/>
      <c r="L850" s="516"/>
      <c r="M850" s="516"/>
      <c r="N850" s="516"/>
      <c r="O850" s="516"/>
      <c r="P850" s="516"/>
      <c r="Q850" s="516"/>
      <c r="R850" s="516"/>
      <c r="S850" s="516"/>
      <c r="T850" s="516"/>
      <c r="U850" s="516"/>
      <c r="V850" s="516"/>
      <c r="W850" s="516"/>
      <c r="X850" s="516"/>
      <c r="Y850" s="516"/>
      <c r="Z850" s="516"/>
    </row>
    <row r="851" ht="14.25" customHeight="1">
      <c r="A851" s="516"/>
      <c r="B851" s="516"/>
      <c r="C851" s="517"/>
      <c r="D851" s="517"/>
      <c r="E851" s="517"/>
      <c r="F851" s="516"/>
      <c r="G851" s="516"/>
      <c r="H851" s="516"/>
      <c r="I851" s="516"/>
      <c r="J851" s="516"/>
      <c r="K851" s="516"/>
      <c r="L851" s="516"/>
      <c r="M851" s="516"/>
      <c r="N851" s="516"/>
      <c r="O851" s="516"/>
      <c r="P851" s="516"/>
      <c r="Q851" s="516"/>
      <c r="R851" s="516"/>
      <c r="S851" s="516"/>
      <c r="T851" s="516"/>
      <c r="U851" s="516"/>
      <c r="V851" s="516"/>
      <c r="W851" s="516"/>
      <c r="X851" s="516"/>
      <c r="Y851" s="516"/>
      <c r="Z851" s="516"/>
    </row>
    <row r="852" ht="14.25" customHeight="1">
      <c r="A852" s="516"/>
      <c r="B852" s="516"/>
      <c r="C852" s="517"/>
      <c r="D852" s="517"/>
      <c r="E852" s="517"/>
      <c r="F852" s="516"/>
      <c r="G852" s="516"/>
      <c r="H852" s="516"/>
      <c r="I852" s="516"/>
      <c r="J852" s="516"/>
      <c r="K852" s="516"/>
      <c r="L852" s="516"/>
      <c r="M852" s="516"/>
      <c r="N852" s="516"/>
      <c r="O852" s="516"/>
      <c r="P852" s="516"/>
      <c r="Q852" s="516"/>
      <c r="R852" s="516"/>
      <c r="S852" s="516"/>
      <c r="T852" s="516"/>
      <c r="U852" s="516"/>
      <c r="V852" s="516"/>
      <c r="W852" s="516"/>
      <c r="X852" s="516"/>
      <c r="Y852" s="516"/>
      <c r="Z852" s="516"/>
    </row>
    <row r="853" ht="14.25" customHeight="1">
      <c r="A853" s="516"/>
      <c r="B853" s="516"/>
      <c r="C853" s="517"/>
      <c r="D853" s="517"/>
      <c r="E853" s="517"/>
      <c r="F853" s="516"/>
      <c r="G853" s="516"/>
      <c r="H853" s="516"/>
      <c r="I853" s="516"/>
      <c r="J853" s="516"/>
      <c r="K853" s="516"/>
      <c r="L853" s="516"/>
      <c r="M853" s="516"/>
      <c r="N853" s="516"/>
      <c r="O853" s="516"/>
      <c r="P853" s="516"/>
      <c r="Q853" s="516"/>
      <c r="R853" s="516"/>
      <c r="S853" s="516"/>
      <c r="T853" s="516"/>
      <c r="U853" s="516"/>
      <c r="V853" s="516"/>
      <c r="W853" s="516"/>
      <c r="X853" s="516"/>
      <c r="Y853" s="516"/>
      <c r="Z853" s="516"/>
    </row>
    <row r="854" ht="14.25" customHeight="1">
      <c r="A854" s="516"/>
      <c r="B854" s="516"/>
      <c r="C854" s="517"/>
      <c r="D854" s="517"/>
      <c r="E854" s="517"/>
      <c r="F854" s="516"/>
      <c r="G854" s="516"/>
      <c r="H854" s="516"/>
      <c r="I854" s="516"/>
      <c r="J854" s="516"/>
      <c r="K854" s="516"/>
      <c r="L854" s="516"/>
      <c r="M854" s="516"/>
      <c r="N854" s="516"/>
      <c r="O854" s="516"/>
      <c r="P854" s="516"/>
      <c r="Q854" s="516"/>
      <c r="R854" s="516"/>
      <c r="S854" s="516"/>
      <c r="T854" s="516"/>
      <c r="U854" s="516"/>
      <c r="V854" s="516"/>
      <c r="W854" s="516"/>
      <c r="X854" s="516"/>
      <c r="Y854" s="516"/>
      <c r="Z854" s="516"/>
    </row>
    <row r="855" ht="14.25" customHeight="1">
      <c r="A855" s="516"/>
      <c r="B855" s="516"/>
      <c r="C855" s="517"/>
      <c r="D855" s="517"/>
      <c r="E855" s="517"/>
      <c r="F855" s="516"/>
      <c r="G855" s="516"/>
      <c r="H855" s="516"/>
      <c r="I855" s="516"/>
      <c r="J855" s="516"/>
      <c r="K855" s="516"/>
      <c r="L855" s="516"/>
      <c r="M855" s="516"/>
      <c r="N855" s="516"/>
      <c r="O855" s="516"/>
      <c r="P855" s="516"/>
      <c r="Q855" s="516"/>
      <c r="R855" s="516"/>
      <c r="S855" s="516"/>
      <c r="T855" s="516"/>
      <c r="U855" s="516"/>
      <c r="V855" s="516"/>
      <c r="W855" s="516"/>
      <c r="X855" s="516"/>
      <c r="Y855" s="516"/>
      <c r="Z855" s="516"/>
    </row>
    <row r="856" ht="14.25" customHeight="1">
      <c r="A856" s="516"/>
      <c r="B856" s="516"/>
      <c r="C856" s="517"/>
      <c r="D856" s="517"/>
      <c r="E856" s="517"/>
      <c r="F856" s="516"/>
      <c r="G856" s="516"/>
      <c r="H856" s="516"/>
      <c r="I856" s="516"/>
      <c r="J856" s="516"/>
      <c r="K856" s="516"/>
      <c r="L856" s="516"/>
      <c r="M856" s="516"/>
      <c r="N856" s="516"/>
      <c r="O856" s="516"/>
      <c r="P856" s="516"/>
      <c r="Q856" s="516"/>
      <c r="R856" s="516"/>
      <c r="S856" s="516"/>
      <c r="T856" s="516"/>
      <c r="U856" s="516"/>
      <c r="V856" s="516"/>
      <c r="W856" s="516"/>
      <c r="X856" s="516"/>
      <c r="Y856" s="516"/>
      <c r="Z856" s="516"/>
    </row>
    <row r="857" ht="14.25" customHeight="1">
      <c r="A857" s="516"/>
      <c r="B857" s="516"/>
      <c r="C857" s="517"/>
      <c r="D857" s="517"/>
      <c r="E857" s="517"/>
      <c r="F857" s="516"/>
      <c r="G857" s="516"/>
      <c r="H857" s="516"/>
      <c r="I857" s="516"/>
      <c r="J857" s="516"/>
      <c r="K857" s="516"/>
      <c r="L857" s="516"/>
      <c r="M857" s="516"/>
      <c r="N857" s="516"/>
      <c r="O857" s="516"/>
      <c r="P857" s="516"/>
      <c r="Q857" s="516"/>
      <c r="R857" s="516"/>
      <c r="S857" s="516"/>
      <c r="T857" s="516"/>
      <c r="U857" s="516"/>
      <c r="V857" s="516"/>
      <c r="W857" s="516"/>
      <c r="X857" s="516"/>
      <c r="Y857" s="516"/>
      <c r="Z857" s="516"/>
    </row>
    <row r="858" ht="14.25" customHeight="1">
      <c r="A858" s="516"/>
      <c r="B858" s="516"/>
      <c r="C858" s="517"/>
      <c r="D858" s="517"/>
      <c r="E858" s="517"/>
      <c r="F858" s="516"/>
      <c r="G858" s="516"/>
      <c r="H858" s="516"/>
      <c r="I858" s="516"/>
      <c r="J858" s="516"/>
      <c r="K858" s="516"/>
      <c r="L858" s="516"/>
      <c r="M858" s="516"/>
      <c r="N858" s="516"/>
      <c r="O858" s="516"/>
      <c r="P858" s="516"/>
      <c r="Q858" s="516"/>
      <c r="R858" s="516"/>
      <c r="S858" s="516"/>
      <c r="T858" s="516"/>
      <c r="U858" s="516"/>
      <c r="V858" s="516"/>
      <c r="W858" s="516"/>
      <c r="X858" s="516"/>
      <c r="Y858" s="516"/>
      <c r="Z858" s="516"/>
    </row>
    <row r="859" ht="14.25" customHeight="1">
      <c r="A859" s="516"/>
      <c r="B859" s="516"/>
      <c r="C859" s="517"/>
      <c r="D859" s="517"/>
      <c r="E859" s="517"/>
      <c r="F859" s="516"/>
      <c r="G859" s="516"/>
      <c r="H859" s="516"/>
      <c r="I859" s="516"/>
      <c r="J859" s="516"/>
      <c r="K859" s="516"/>
      <c r="L859" s="516"/>
      <c r="M859" s="516"/>
      <c r="N859" s="516"/>
      <c r="O859" s="516"/>
      <c r="P859" s="516"/>
      <c r="Q859" s="516"/>
      <c r="R859" s="516"/>
      <c r="S859" s="516"/>
      <c r="T859" s="516"/>
      <c r="U859" s="516"/>
      <c r="V859" s="516"/>
      <c r="W859" s="516"/>
      <c r="X859" s="516"/>
      <c r="Y859" s="516"/>
      <c r="Z859" s="516"/>
    </row>
    <row r="860" ht="14.25" customHeight="1">
      <c r="A860" s="516"/>
      <c r="B860" s="516"/>
      <c r="C860" s="517"/>
      <c r="D860" s="517"/>
      <c r="E860" s="517"/>
      <c r="F860" s="516"/>
      <c r="G860" s="516"/>
      <c r="H860" s="516"/>
      <c r="I860" s="516"/>
      <c r="J860" s="516"/>
      <c r="K860" s="516"/>
      <c r="L860" s="516"/>
      <c r="M860" s="516"/>
      <c r="N860" s="516"/>
      <c r="O860" s="516"/>
      <c r="P860" s="516"/>
      <c r="Q860" s="516"/>
      <c r="R860" s="516"/>
      <c r="S860" s="516"/>
      <c r="T860" s="516"/>
      <c r="U860" s="516"/>
      <c r="V860" s="516"/>
      <c r="W860" s="516"/>
      <c r="X860" s="516"/>
      <c r="Y860" s="516"/>
      <c r="Z860" s="516"/>
    </row>
    <row r="861" ht="14.25" customHeight="1">
      <c r="A861" s="516"/>
      <c r="B861" s="516"/>
      <c r="C861" s="517"/>
      <c r="D861" s="517"/>
      <c r="E861" s="517"/>
      <c r="F861" s="516"/>
      <c r="G861" s="516"/>
      <c r="H861" s="516"/>
      <c r="I861" s="516"/>
      <c r="J861" s="516"/>
      <c r="K861" s="516"/>
      <c r="L861" s="516"/>
      <c r="M861" s="516"/>
      <c r="N861" s="516"/>
      <c r="O861" s="516"/>
      <c r="P861" s="516"/>
      <c r="Q861" s="516"/>
      <c r="R861" s="516"/>
      <c r="S861" s="516"/>
      <c r="T861" s="516"/>
      <c r="U861" s="516"/>
      <c r="V861" s="516"/>
      <c r="W861" s="516"/>
      <c r="X861" s="516"/>
      <c r="Y861" s="516"/>
      <c r="Z861" s="516"/>
    </row>
    <row r="862" ht="14.25" customHeight="1">
      <c r="A862" s="516"/>
      <c r="B862" s="516"/>
      <c r="C862" s="517"/>
      <c r="D862" s="517"/>
      <c r="E862" s="517"/>
      <c r="F862" s="516"/>
      <c r="G862" s="516"/>
      <c r="H862" s="516"/>
      <c r="I862" s="516"/>
      <c r="J862" s="516"/>
      <c r="K862" s="516"/>
      <c r="L862" s="516"/>
      <c r="M862" s="516"/>
      <c r="N862" s="516"/>
      <c r="O862" s="516"/>
      <c r="P862" s="516"/>
      <c r="Q862" s="516"/>
      <c r="R862" s="516"/>
      <c r="S862" s="516"/>
      <c r="T862" s="516"/>
      <c r="U862" s="516"/>
      <c r="V862" s="516"/>
      <c r="W862" s="516"/>
      <c r="X862" s="516"/>
      <c r="Y862" s="516"/>
      <c r="Z862" s="516"/>
    </row>
    <row r="863" ht="14.25" customHeight="1">
      <c r="A863" s="516"/>
      <c r="B863" s="516"/>
      <c r="C863" s="517"/>
      <c r="D863" s="517"/>
      <c r="E863" s="517"/>
      <c r="F863" s="516"/>
      <c r="G863" s="516"/>
      <c r="H863" s="516"/>
      <c r="I863" s="516"/>
      <c r="J863" s="516"/>
      <c r="K863" s="516"/>
      <c r="L863" s="516"/>
      <c r="M863" s="516"/>
      <c r="N863" s="516"/>
      <c r="O863" s="516"/>
      <c r="P863" s="516"/>
      <c r="Q863" s="516"/>
      <c r="R863" s="516"/>
      <c r="S863" s="516"/>
      <c r="T863" s="516"/>
      <c r="U863" s="516"/>
      <c r="V863" s="516"/>
      <c r="W863" s="516"/>
      <c r="X863" s="516"/>
      <c r="Y863" s="516"/>
      <c r="Z863" s="516"/>
    </row>
    <row r="864" ht="14.25" customHeight="1">
      <c r="A864" s="516"/>
      <c r="B864" s="516"/>
      <c r="C864" s="517"/>
      <c r="D864" s="517"/>
      <c r="E864" s="517"/>
      <c r="F864" s="516"/>
      <c r="G864" s="516"/>
      <c r="H864" s="516"/>
      <c r="I864" s="516"/>
      <c r="J864" s="516"/>
      <c r="K864" s="516"/>
      <c r="L864" s="516"/>
      <c r="M864" s="516"/>
      <c r="N864" s="516"/>
      <c r="O864" s="516"/>
      <c r="P864" s="516"/>
      <c r="Q864" s="516"/>
      <c r="R864" s="516"/>
      <c r="S864" s="516"/>
      <c r="T864" s="516"/>
      <c r="U864" s="516"/>
      <c r="V864" s="516"/>
      <c r="W864" s="516"/>
      <c r="X864" s="516"/>
      <c r="Y864" s="516"/>
      <c r="Z864" s="516"/>
    </row>
    <row r="865" ht="14.25" customHeight="1">
      <c r="A865" s="516"/>
      <c r="B865" s="516"/>
      <c r="C865" s="517"/>
      <c r="D865" s="517"/>
      <c r="E865" s="517"/>
      <c r="F865" s="516"/>
      <c r="G865" s="516"/>
      <c r="H865" s="516"/>
      <c r="I865" s="516"/>
      <c r="J865" s="516"/>
      <c r="K865" s="516"/>
      <c r="L865" s="516"/>
      <c r="M865" s="516"/>
      <c r="N865" s="516"/>
      <c r="O865" s="516"/>
      <c r="P865" s="516"/>
      <c r="Q865" s="516"/>
      <c r="R865" s="516"/>
      <c r="S865" s="516"/>
      <c r="T865" s="516"/>
      <c r="U865" s="516"/>
      <c r="V865" s="516"/>
      <c r="W865" s="516"/>
      <c r="X865" s="516"/>
      <c r="Y865" s="516"/>
      <c r="Z865" s="516"/>
    </row>
    <row r="866" ht="14.25" customHeight="1">
      <c r="A866" s="516"/>
      <c r="B866" s="516"/>
      <c r="C866" s="517"/>
      <c r="D866" s="517"/>
      <c r="E866" s="517"/>
      <c r="F866" s="516"/>
      <c r="G866" s="516"/>
      <c r="H866" s="516"/>
      <c r="I866" s="516"/>
      <c r="J866" s="516"/>
      <c r="K866" s="516"/>
      <c r="L866" s="516"/>
      <c r="M866" s="516"/>
      <c r="N866" s="516"/>
      <c r="O866" s="516"/>
      <c r="P866" s="516"/>
      <c r="Q866" s="516"/>
      <c r="R866" s="516"/>
      <c r="S866" s="516"/>
      <c r="T866" s="516"/>
      <c r="U866" s="516"/>
      <c r="V866" s="516"/>
      <c r="W866" s="516"/>
      <c r="X866" s="516"/>
      <c r="Y866" s="516"/>
      <c r="Z866" s="516"/>
    </row>
    <row r="867" ht="14.25" customHeight="1">
      <c r="A867" s="516"/>
      <c r="B867" s="516"/>
      <c r="C867" s="517"/>
      <c r="D867" s="517"/>
      <c r="E867" s="517"/>
      <c r="F867" s="516"/>
      <c r="G867" s="516"/>
      <c r="H867" s="516"/>
      <c r="I867" s="516"/>
      <c r="J867" s="516"/>
      <c r="K867" s="516"/>
      <c r="L867" s="516"/>
      <c r="M867" s="516"/>
      <c r="N867" s="516"/>
      <c r="O867" s="516"/>
      <c r="P867" s="516"/>
      <c r="Q867" s="516"/>
      <c r="R867" s="516"/>
      <c r="S867" s="516"/>
      <c r="T867" s="516"/>
      <c r="U867" s="516"/>
      <c r="V867" s="516"/>
      <c r="W867" s="516"/>
      <c r="X867" s="516"/>
      <c r="Y867" s="516"/>
      <c r="Z867" s="516"/>
    </row>
    <row r="868" ht="14.25" customHeight="1">
      <c r="A868" s="516"/>
      <c r="B868" s="516"/>
      <c r="C868" s="517"/>
      <c r="D868" s="517"/>
      <c r="E868" s="517"/>
      <c r="F868" s="516"/>
      <c r="G868" s="516"/>
      <c r="H868" s="516"/>
      <c r="I868" s="516"/>
      <c r="J868" s="516"/>
      <c r="K868" s="516"/>
      <c r="L868" s="516"/>
      <c r="M868" s="516"/>
      <c r="N868" s="516"/>
      <c r="O868" s="516"/>
      <c r="P868" s="516"/>
      <c r="Q868" s="516"/>
      <c r="R868" s="516"/>
      <c r="S868" s="516"/>
      <c r="T868" s="516"/>
      <c r="U868" s="516"/>
      <c r="V868" s="516"/>
      <c r="W868" s="516"/>
      <c r="X868" s="516"/>
      <c r="Y868" s="516"/>
      <c r="Z868" s="516"/>
    </row>
    <row r="869" ht="14.25" customHeight="1">
      <c r="A869" s="516"/>
      <c r="B869" s="516"/>
      <c r="C869" s="517"/>
      <c r="D869" s="517"/>
      <c r="E869" s="517"/>
      <c r="F869" s="516"/>
      <c r="G869" s="516"/>
      <c r="H869" s="516"/>
      <c r="I869" s="516"/>
      <c r="J869" s="516"/>
      <c r="K869" s="516"/>
      <c r="L869" s="516"/>
      <c r="M869" s="516"/>
      <c r="N869" s="516"/>
      <c r="O869" s="516"/>
      <c r="P869" s="516"/>
      <c r="Q869" s="516"/>
      <c r="R869" s="516"/>
      <c r="S869" s="516"/>
      <c r="T869" s="516"/>
      <c r="U869" s="516"/>
      <c r="V869" s="516"/>
      <c r="W869" s="516"/>
      <c r="X869" s="516"/>
      <c r="Y869" s="516"/>
      <c r="Z869" s="516"/>
    </row>
    <row r="870" ht="14.25" customHeight="1">
      <c r="A870" s="516"/>
      <c r="B870" s="516"/>
      <c r="C870" s="517"/>
      <c r="D870" s="517"/>
      <c r="E870" s="517"/>
      <c r="F870" s="516"/>
      <c r="G870" s="516"/>
      <c r="H870" s="516"/>
      <c r="I870" s="516"/>
      <c r="J870" s="516"/>
      <c r="K870" s="516"/>
      <c r="L870" s="516"/>
      <c r="M870" s="516"/>
      <c r="N870" s="516"/>
      <c r="O870" s="516"/>
      <c r="P870" s="516"/>
      <c r="Q870" s="516"/>
      <c r="R870" s="516"/>
      <c r="S870" s="516"/>
      <c r="T870" s="516"/>
      <c r="U870" s="516"/>
      <c r="V870" s="516"/>
      <c r="W870" s="516"/>
      <c r="X870" s="516"/>
      <c r="Y870" s="516"/>
      <c r="Z870" s="516"/>
    </row>
    <row r="871" ht="14.25" customHeight="1">
      <c r="A871" s="516"/>
      <c r="B871" s="516"/>
      <c r="C871" s="517"/>
      <c r="D871" s="517"/>
      <c r="E871" s="517"/>
      <c r="F871" s="516"/>
      <c r="G871" s="516"/>
      <c r="H871" s="516"/>
      <c r="I871" s="516"/>
      <c r="J871" s="516"/>
      <c r="K871" s="516"/>
      <c r="L871" s="516"/>
      <c r="M871" s="516"/>
      <c r="N871" s="516"/>
      <c r="O871" s="516"/>
      <c r="P871" s="516"/>
      <c r="Q871" s="516"/>
      <c r="R871" s="516"/>
      <c r="S871" s="516"/>
      <c r="T871" s="516"/>
      <c r="U871" s="516"/>
      <c r="V871" s="516"/>
      <c r="W871" s="516"/>
      <c r="X871" s="516"/>
      <c r="Y871" s="516"/>
      <c r="Z871" s="516"/>
    </row>
    <row r="872" ht="14.25" customHeight="1">
      <c r="A872" s="516"/>
      <c r="B872" s="516"/>
      <c r="C872" s="517"/>
      <c r="D872" s="517"/>
      <c r="E872" s="517"/>
      <c r="F872" s="516"/>
      <c r="G872" s="516"/>
      <c r="H872" s="516"/>
      <c r="I872" s="516"/>
      <c r="J872" s="516"/>
      <c r="K872" s="516"/>
      <c r="L872" s="516"/>
      <c r="M872" s="516"/>
      <c r="N872" s="516"/>
      <c r="O872" s="516"/>
      <c r="P872" s="516"/>
      <c r="Q872" s="516"/>
      <c r="R872" s="516"/>
      <c r="S872" s="516"/>
      <c r="T872" s="516"/>
      <c r="U872" s="516"/>
      <c r="V872" s="516"/>
      <c r="W872" s="516"/>
      <c r="X872" s="516"/>
      <c r="Y872" s="516"/>
      <c r="Z872" s="516"/>
    </row>
    <row r="873" ht="14.25" customHeight="1">
      <c r="A873" s="516"/>
      <c r="B873" s="516"/>
      <c r="C873" s="517"/>
      <c r="D873" s="517"/>
      <c r="E873" s="517"/>
      <c r="F873" s="516"/>
      <c r="G873" s="516"/>
      <c r="H873" s="516"/>
      <c r="I873" s="516"/>
      <c r="J873" s="516"/>
      <c r="K873" s="516"/>
      <c r="L873" s="516"/>
      <c r="M873" s="516"/>
      <c r="N873" s="516"/>
      <c r="O873" s="516"/>
      <c r="P873" s="516"/>
      <c r="Q873" s="516"/>
      <c r="R873" s="516"/>
      <c r="S873" s="516"/>
      <c r="T873" s="516"/>
      <c r="U873" s="516"/>
      <c r="V873" s="516"/>
      <c r="W873" s="516"/>
      <c r="X873" s="516"/>
      <c r="Y873" s="516"/>
      <c r="Z873" s="516"/>
    </row>
    <row r="874" ht="14.25" customHeight="1">
      <c r="A874" s="516"/>
      <c r="B874" s="516"/>
      <c r="C874" s="517"/>
      <c r="D874" s="517"/>
      <c r="E874" s="517"/>
      <c r="F874" s="516"/>
      <c r="G874" s="516"/>
      <c r="H874" s="516"/>
      <c r="I874" s="516"/>
      <c r="J874" s="516"/>
      <c r="K874" s="516"/>
      <c r="L874" s="516"/>
      <c r="M874" s="516"/>
      <c r="N874" s="516"/>
      <c r="O874" s="516"/>
      <c r="P874" s="516"/>
      <c r="Q874" s="516"/>
      <c r="R874" s="516"/>
      <c r="S874" s="516"/>
      <c r="T874" s="516"/>
      <c r="U874" s="516"/>
      <c r="V874" s="516"/>
      <c r="W874" s="516"/>
      <c r="X874" s="516"/>
      <c r="Y874" s="516"/>
      <c r="Z874" s="516"/>
    </row>
    <row r="875" ht="14.25" customHeight="1">
      <c r="A875" s="516"/>
      <c r="B875" s="516"/>
      <c r="C875" s="517"/>
      <c r="D875" s="517"/>
      <c r="E875" s="517"/>
      <c r="F875" s="516"/>
      <c r="G875" s="516"/>
      <c r="H875" s="516"/>
      <c r="I875" s="516"/>
      <c r="J875" s="516"/>
      <c r="K875" s="516"/>
      <c r="L875" s="516"/>
      <c r="M875" s="516"/>
      <c r="N875" s="516"/>
      <c r="O875" s="516"/>
      <c r="P875" s="516"/>
      <c r="Q875" s="516"/>
      <c r="R875" s="516"/>
      <c r="S875" s="516"/>
      <c r="T875" s="516"/>
      <c r="U875" s="516"/>
      <c r="V875" s="516"/>
      <c r="W875" s="516"/>
      <c r="X875" s="516"/>
      <c r="Y875" s="516"/>
      <c r="Z875" s="516"/>
    </row>
    <row r="876" ht="14.25" customHeight="1">
      <c r="A876" s="516"/>
      <c r="B876" s="516"/>
      <c r="C876" s="517"/>
      <c r="D876" s="517"/>
      <c r="E876" s="517"/>
      <c r="F876" s="516"/>
      <c r="G876" s="516"/>
      <c r="H876" s="516"/>
      <c r="I876" s="516"/>
      <c r="J876" s="516"/>
      <c r="K876" s="516"/>
      <c r="L876" s="516"/>
      <c r="M876" s="516"/>
      <c r="N876" s="516"/>
      <c r="O876" s="516"/>
      <c r="P876" s="516"/>
      <c r="Q876" s="516"/>
      <c r="R876" s="516"/>
      <c r="S876" s="516"/>
      <c r="T876" s="516"/>
      <c r="U876" s="516"/>
      <c r="V876" s="516"/>
      <c r="W876" s="516"/>
      <c r="X876" s="516"/>
      <c r="Y876" s="516"/>
      <c r="Z876" s="516"/>
    </row>
    <row r="877" ht="14.25" customHeight="1">
      <c r="A877" s="516"/>
      <c r="B877" s="516"/>
      <c r="C877" s="517"/>
      <c r="D877" s="517"/>
      <c r="E877" s="517"/>
      <c r="F877" s="516"/>
      <c r="G877" s="516"/>
      <c r="H877" s="516"/>
      <c r="I877" s="516"/>
      <c r="J877" s="516"/>
      <c r="K877" s="516"/>
      <c r="L877" s="516"/>
      <c r="M877" s="516"/>
      <c r="N877" s="516"/>
      <c r="O877" s="516"/>
      <c r="P877" s="516"/>
      <c r="Q877" s="516"/>
      <c r="R877" s="516"/>
      <c r="S877" s="516"/>
      <c r="T877" s="516"/>
      <c r="U877" s="516"/>
      <c r="V877" s="516"/>
      <c r="W877" s="516"/>
      <c r="X877" s="516"/>
      <c r="Y877" s="516"/>
      <c r="Z877" s="516"/>
    </row>
    <row r="878" ht="14.25" customHeight="1">
      <c r="A878" s="516"/>
      <c r="B878" s="516"/>
      <c r="C878" s="517"/>
      <c r="D878" s="517"/>
      <c r="E878" s="517"/>
      <c r="F878" s="516"/>
      <c r="G878" s="516"/>
      <c r="H878" s="516"/>
      <c r="I878" s="516"/>
      <c r="J878" s="516"/>
      <c r="K878" s="516"/>
      <c r="L878" s="516"/>
      <c r="M878" s="516"/>
      <c r="N878" s="516"/>
      <c r="O878" s="516"/>
      <c r="P878" s="516"/>
      <c r="Q878" s="516"/>
      <c r="R878" s="516"/>
      <c r="S878" s="516"/>
      <c r="T878" s="516"/>
      <c r="U878" s="516"/>
      <c r="V878" s="516"/>
      <c r="W878" s="516"/>
      <c r="X878" s="516"/>
      <c r="Y878" s="516"/>
      <c r="Z878" s="516"/>
    </row>
    <row r="879" ht="14.25" customHeight="1">
      <c r="A879" s="516"/>
      <c r="B879" s="516"/>
      <c r="C879" s="517"/>
      <c r="D879" s="517"/>
      <c r="E879" s="517"/>
      <c r="F879" s="516"/>
      <c r="G879" s="516"/>
      <c r="H879" s="516"/>
      <c r="I879" s="516"/>
      <c r="J879" s="516"/>
      <c r="K879" s="516"/>
      <c r="L879" s="516"/>
      <c r="M879" s="516"/>
      <c r="N879" s="516"/>
      <c r="O879" s="516"/>
      <c r="P879" s="516"/>
      <c r="Q879" s="516"/>
      <c r="R879" s="516"/>
      <c r="S879" s="516"/>
      <c r="T879" s="516"/>
      <c r="U879" s="516"/>
      <c r="V879" s="516"/>
      <c r="W879" s="516"/>
      <c r="X879" s="516"/>
      <c r="Y879" s="516"/>
      <c r="Z879" s="516"/>
    </row>
    <row r="880" ht="14.25" customHeight="1">
      <c r="A880" s="516"/>
      <c r="B880" s="516"/>
      <c r="C880" s="517"/>
      <c r="D880" s="517"/>
      <c r="E880" s="517"/>
      <c r="F880" s="516"/>
      <c r="G880" s="516"/>
      <c r="H880" s="516"/>
      <c r="I880" s="516"/>
      <c r="J880" s="516"/>
      <c r="K880" s="516"/>
      <c r="L880" s="516"/>
      <c r="M880" s="516"/>
      <c r="N880" s="516"/>
      <c r="O880" s="516"/>
      <c r="P880" s="516"/>
      <c r="Q880" s="516"/>
      <c r="R880" s="516"/>
      <c r="S880" s="516"/>
      <c r="T880" s="516"/>
      <c r="U880" s="516"/>
      <c r="V880" s="516"/>
      <c r="W880" s="516"/>
      <c r="X880" s="516"/>
      <c r="Y880" s="516"/>
      <c r="Z880" s="516"/>
    </row>
    <row r="881" ht="14.25" customHeight="1">
      <c r="A881" s="516"/>
      <c r="B881" s="516"/>
      <c r="C881" s="517"/>
      <c r="D881" s="517"/>
      <c r="E881" s="517"/>
      <c r="F881" s="516"/>
      <c r="G881" s="516"/>
      <c r="H881" s="516"/>
      <c r="I881" s="516"/>
      <c r="J881" s="516"/>
      <c r="K881" s="516"/>
      <c r="L881" s="516"/>
      <c r="M881" s="516"/>
      <c r="N881" s="516"/>
      <c r="O881" s="516"/>
      <c r="P881" s="516"/>
      <c r="Q881" s="516"/>
      <c r="R881" s="516"/>
      <c r="S881" s="516"/>
      <c r="T881" s="516"/>
      <c r="U881" s="516"/>
      <c r="V881" s="516"/>
      <c r="W881" s="516"/>
      <c r="X881" s="516"/>
      <c r="Y881" s="516"/>
      <c r="Z881" s="516"/>
    </row>
    <row r="882" ht="14.25" customHeight="1">
      <c r="A882" s="516"/>
      <c r="B882" s="516"/>
      <c r="C882" s="517"/>
      <c r="D882" s="517"/>
      <c r="E882" s="517"/>
      <c r="F882" s="516"/>
      <c r="G882" s="516"/>
      <c r="H882" s="516"/>
      <c r="I882" s="516"/>
      <c r="J882" s="516"/>
      <c r="K882" s="516"/>
      <c r="L882" s="516"/>
      <c r="M882" s="516"/>
      <c r="N882" s="516"/>
      <c r="O882" s="516"/>
      <c r="P882" s="516"/>
      <c r="Q882" s="516"/>
      <c r="R882" s="516"/>
      <c r="S882" s="516"/>
      <c r="T882" s="516"/>
      <c r="U882" s="516"/>
      <c r="V882" s="516"/>
      <c r="W882" s="516"/>
      <c r="X882" s="516"/>
      <c r="Y882" s="516"/>
      <c r="Z882" s="516"/>
    </row>
    <row r="883" ht="14.25" customHeight="1">
      <c r="A883" s="516"/>
      <c r="B883" s="516"/>
      <c r="C883" s="517"/>
      <c r="D883" s="517"/>
      <c r="E883" s="517"/>
      <c r="F883" s="516"/>
      <c r="G883" s="516"/>
      <c r="H883" s="516"/>
      <c r="I883" s="516"/>
      <c r="J883" s="516"/>
      <c r="K883" s="516"/>
      <c r="L883" s="516"/>
      <c r="M883" s="516"/>
      <c r="N883" s="516"/>
      <c r="O883" s="516"/>
      <c r="P883" s="516"/>
      <c r="Q883" s="516"/>
      <c r="R883" s="516"/>
      <c r="S883" s="516"/>
      <c r="T883" s="516"/>
      <c r="U883" s="516"/>
      <c r="V883" s="516"/>
      <c r="W883" s="516"/>
      <c r="X883" s="516"/>
      <c r="Y883" s="516"/>
      <c r="Z883" s="516"/>
    </row>
    <row r="884" ht="14.25" customHeight="1">
      <c r="A884" s="516"/>
      <c r="B884" s="516"/>
      <c r="C884" s="517"/>
      <c r="D884" s="517"/>
      <c r="E884" s="517"/>
      <c r="F884" s="516"/>
      <c r="G884" s="516"/>
      <c r="H884" s="516"/>
      <c r="I884" s="516"/>
      <c r="J884" s="516"/>
      <c r="K884" s="516"/>
      <c r="L884" s="516"/>
      <c r="M884" s="516"/>
      <c r="N884" s="516"/>
      <c r="O884" s="516"/>
      <c r="P884" s="516"/>
      <c r="Q884" s="516"/>
      <c r="R884" s="516"/>
      <c r="S884" s="516"/>
      <c r="T884" s="516"/>
      <c r="U884" s="516"/>
      <c r="V884" s="516"/>
      <c r="W884" s="516"/>
      <c r="X884" s="516"/>
      <c r="Y884" s="516"/>
      <c r="Z884" s="516"/>
    </row>
    <row r="885" ht="14.25" customHeight="1">
      <c r="A885" s="516"/>
      <c r="B885" s="516"/>
      <c r="C885" s="517"/>
      <c r="D885" s="517"/>
      <c r="E885" s="517"/>
      <c r="F885" s="516"/>
      <c r="G885" s="516"/>
      <c r="H885" s="516"/>
      <c r="I885" s="516"/>
      <c r="J885" s="516"/>
      <c r="K885" s="516"/>
      <c r="L885" s="516"/>
      <c r="M885" s="516"/>
      <c r="N885" s="516"/>
      <c r="O885" s="516"/>
      <c r="P885" s="516"/>
      <c r="Q885" s="516"/>
      <c r="R885" s="516"/>
      <c r="S885" s="516"/>
      <c r="T885" s="516"/>
      <c r="U885" s="516"/>
      <c r="V885" s="516"/>
      <c r="W885" s="516"/>
      <c r="X885" s="516"/>
      <c r="Y885" s="516"/>
      <c r="Z885" s="516"/>
    </row>
    <row r="886" ht="14.25" customHeight="1">
      <c r="A886" s="516"/>
      <c r="B886" s="516"/>
      <c r="C886" s="517"/>
      <c r="D886" s="517"/>
      <c r="E886" s="517"/>
      <c r="F886" s="516"/>
      <c r="G886" s="516"/>
      <c r="H886" s="516"/>
      <c r="I886" s="516"/>
      <c r="J886" s="516"/>
      <c r="K886" s="516"/>
      <c r="L886" s="516"/>
      <c r="M886" s="516"/>
      <c r="N886" s="516"/>
      <c r="O886" s="516"/>
      <c r="P886" s="516"/>
      <c r="Q886" s="516"/>
      <c r="R886" s="516"/>
      <c r="S886" s="516"/>
      <c r="T886" s="516"/>
      <c r="U886" s="516"/>
      <c r="V886" s="516"/>
      <c r="W886" s="516"/>
      <c r="X886" s="516"/>
      <c r="Y886" s="516"/>
      <c r="Z886" s="516"/>
    </row>
    <row r="887" ht="14.25" customHeight="1">
      <c r="A887" s="516"/>
      <c r="B887" s="516"/>
      <c r="C887" s="517"/>
      <c r="D887" s="517"/>
      <c r="E887" s="517"/>
      <c r="F887" s="516"/>
      <c r="G887" s="516"/>
      <c r="H887" s="516"/>
      <c r="I887" s="516"/>
      <c r="J887" s="516"/>
      <c r="K887" s="516"/>
      <c r="L887" s="516"/>
      <c r="M887" s="516"/>
      <c r="N887" s="516"/>
      <c r="O887" s="516"/>
      <c r="P887" s="516"/>
      <c r="Q887" s="516"/>
      <c r="R887" s="516"/>
      <c r="S887" s="516"/>
      <c r="T887" s="516"/>
      <c r="U887" s="516"/>
      <c r="V887" s="516"/>
      <c r="W887" s="516"/>
      <c r="X887" s="516"/>
      <c r="Y887" s="516"/>
      <c r="Z887" s="516"/>
    </row>
    <row r="888" ht="14.25" customHeight="1">
      <c r="A888" s="516"/>
      <c r="B888" s="516"/>
      <c r="C888" s="517"/>
      <c r="D888" s="517"/>
      <c r="E888" s="517"/>
      <c r="F888" s="516"/>
      <c r="G888" s="516"/>
      <c r="H888" s="516"/>
      <c r="I888" s="516"/>
      <c r="J888" s="516"/>
      <c r="K888" s="516"/>
      <c r="L888" s="516"/>
      <c r="M888" s="516"/>
      <c r="N888" s="516"/>
      <c r="O888" s="516"/>
      <c r="P888" s="516"/>
      <c r="Q888" s="516"/>
      <c r="R888" s="516"/>
      <c r="S888" s="516"/>
      <c r="T888" s="516"/>
      <c r="U888" s="516"/>
      <c r="V888" s="516"/>
      <c r="W888" s="516"/>
      <c r="X888" s="516"/>
      <c r="Y888" s="516"/>
      <c r="Z888" s="516"/>
    </row>
    <row r="889" ht="14.25" customHeight="1">
      <c r="A889" s="516"/>
      <c r="B889" s="516"/>
      <c r="C889" s="517"/>
      <c r="D889" s="517"/>
      <c r="E889" s="517"/>
      <c r="F889" s="516"/>
      <c r="G889" s="516"/>
      <c r="H889" s="516"/>
      <c r="I889" s="516"/>
      <c r="J889" s="516"/>
      <c r="K889" s="516"/>
      <c r="L889" s="516"/>
      <c r="M889" s="516"/>
      <c r="N889" s="516"/>
      <c r="O889" s="516"/>
      <c r="P889" s="516"/>
      <c r="Q889" s="516"/>
      <c r="R889" s="516"/>
      <c r="S889" s="516"/>
      <c r="T889" s="516"/>
      <c r="U889" s="516"/>
      <c r="V889" s="516"/>
      <c r="W889" s="516"/>
      <c r="X889" s="516"/>
      <c r="Y889" s="516"/>
      <c r="Z889" s="516"/>
    </row>
    <row r="890" ht="14.25" customHeight="1">
      <c r="A890" s="516"/>
      <c r="B890" s="516"/>
      <c r="C890" s="517"/>
      <c r="D890" s="517"/>
      <c r="E890" s="517"/>
      <c r="F890" s="516"/>
      <c r="G890" s="516"/>
      <c r="H890" s="516"/>
      <c r="I890" s="516"/>
      <c r="J890" s="516"/>
      <c r="K890" s="516"/>
      <c r="L890" s="516"/>
      <c r="M890" s="516"/>
      <c r="N890" s="516"/>
      <c r="O890" s="516"/>
      <c r="P890" s="516"/>
      <c r="Q890" s="516"/>
      <c r="R890" s="516"/>
      <c r="S890" s="516"/>
      <c r="T890" s="516"/>
      <c r="U890" s="516"/>
      <c r="V890" s="516"/>
      <c r="W890" s="516"/>
      <c r="X890" s="516"/>
      <c r="Y890" s="516"/>
      <c r="Z890" s="516"/>
    </row>
    <row r="891" ht="14.25" customHeight="1">
      <c r="A891" s="516"/>
      <c r="B891" s="516"/>
      <c r="C891" s="517"/>
      <c r="D891" s="517"/>
      <c r="E891" s="517"/>
      <c r="F891" s="516"/>
      <c r="G891" s="516"/>
      <c r="H891" s="516"/>
      <c r="I891" s="516"/>
      <c r="J891" s="516"/>
      <c r="K891" s="516"/>
      <c r="L891" s="516"/>
      <c r="M891" s="516"/>
      <c r="N891" s="516"/>
      <c r="O891" s="516"/>
      <c r="P891" s="516"/>
      <c r="Q891" s="516"/>
      <c r="R891" s="516"/>
      <c r="S891" s="516"/>
      <c r="T891" s="516"/>
      <c r="U891" s="516"/>
      <c r="V891" s="516"/>
      <c r="W891" s="516"/>
      <c r="X891" s="516"/>
      <c r="Y891" s="516"/>
      <c r="Z891" s="516"/>
    </row>
    <row r="892" ht="14.25" customHeight="1">
      <c r="A892" s="516"/>
      <c r="B892" s="516"/>
      <c r="C892" s="517"/>
      <c r="D892" s="517"/>
      <c r="E892" s="517"/>
      <c r="F892" s="516"/>
      <c r="G892" s="516"/>
      <c r="H892" s="516"/>
      <c r="I892" s="516"/>
      <c r="J892" s="516"/>
      <c r="K892" s="516"/>
      <c r="L892" s="516"/>
      <c r="M892" s="516"/>
      <c r="N892" s="516"/>
      <c r="O892" s="516"/>
      <c r="P892" s="516"/>
      <c r="Q892" s="516"/>
      <c r="R892" s="516"/>
      <c r="S892" s="516"/>
      <c r="T892" s="516"/>
      <c r="U892" s="516"/>
      <c r="V892" s="516"/>
      <c r="W892" s="516"/>
      <c r="X892" s="516"/>
      <c r="Y892" s="516"/>
      <c r="Z892" s="516"/>
    </row>
    <row r="893" ht="14.25" customHeight="1">
      <c r="A893" s="516"/>
      <c r="B893" s="516"/>
      <c r="C893" s="517"/>
      <c r="D893" s="517"/>
      <c r="E893" s="517"/>
      <c r="F893" s="516"/>
      <c r="G893" s="516"/>
      <c r="H893" s="516"/>
      <c r="I893" s="516"/>
      <c r="J893" s="516"/>
      <c r="K893" s="516"/>
      <c r="L893" s="516"/>
      <c r="M893" s="516"/>
      <c r="N893" s="516"/>
      <c r="O893" s="516"/>
      <c r="P893" s="516"/>
      <c r="Q893" s="516"/>
      <c r="R893" s="516"/>
      <c r="S893" s="516"/>
      <c r="T893" s="516"/>
      <c r="U893" s="516"/>
      <c r="V893" s="516"/>
      <c r="W893" s="516"/>
      <c r="X893" s="516"/>
      <c r="Y893" s="516"/>
      <c r="Z893" s="516"/>
    </row>
    <row r="894" ht="14.25" customHeight="1">
      <c r="A894" s="516"/>
      <c r="B894" s="516"/>
      <c r="C894" s="517"/>
      <c r="D894" s="517"/>
      <c r="E894" s="517"/>
      <c r="F894" s="516"/>
      <c r="G894" s="516"/>
      <c r="H894" s="516"/>
      <c r="I894" s="516"/>
      <c r="J894" s="516"/>
      <c r="K894" s="516"/>
      <c r="L894" s="516"/>
      <c r="M894" s="516"/>
      <c r="N894" s="516"/>
      <c r="O894" s="516"/>
      <c r="P894" s="516"/>
      <c r="Q894" s="516"/>
      <c r="R894" s="516"/>
      <c r="S894" s="516"/>
      <c r="T894" s="516"/>
      <c r="U894" s="516"/>
      <c r="V894" s="516"/>
      <c r="W894" s="516"/>
      <c r="X894" s="516"/>
      <c r="Y894" s="516"/>
      <c r="Z894" s="516"/>
    </row>
    <row r="895" ht="14.25" customHeight="1">
      <c r="A895" s="516"/>
      <c r="B895" s="516"/>
      <c r="C895" s="517"/>
      <c r="D895" s="517"/>
      <c r="E895" s="517"/>
      <c r="F895" s="516"/>
      <c r="G895" s="516"/>
      <c r="H895" s="516"/>
      <c r="I895" s="516"/>
      <c r="J895" s="516"/>
      <c r="K895" s="516"/>
      <c r="L895" s="516"/>
      <c r="M895" s="516"/>
      <c r="N895" s="516"/>
      <c r="O895" s="516"/>
      <c r="P895" s="516"/>
      <c r="Q895" s="516"/>
      <c r="R895" s="516"/>
      <c r="S895" s="516"/>
      <c r="T895" s="516"/>
      <c r="U895" s="516"/>
      <c r="V895" s="516"/>
      <c r="W895" s="516"/>
      <c r="X895" s="516"/>
      <c r="Y895" s="516"/>
      <c r="Z895" s="516"/>
    </row>
    <row r="896" ht="14.25" customHeight="1">
      <c r="A896" s="516"/>
      <c r="B896" s="516"/>
      <c r="C896" s="517"/>
      <c r="D896" s="517"/>
      <c r="E896" s="517"/>
      <c r="F896" s="516"/>
      <c r="G896" s="516"/>
      <c r="H896" s="516"/>
      <c r="I896" s="516"/>
      <c r="J896" s="516"/>
      <c r="K896" s="516"/>
      <c r="L896" s="516"/>
      <c r="M896" s="516"/>
      <c r="N896" s="516"/>
      <c r="O896" s="516"/>
      <c r="P896" s="516"/>
      <c r="Q896" s="516"/>
      <c r="R896" s="516"/>
      <c r="S896" s="516"/>
      <c r="T896" s="516"/>
      <c r="U896" s="516"/>
      <c r="V896" s="516"/>
      <c r="W896" s="516"/>
      <c r="X896" s="516"/>
      <c r="Y896" s="516"/>
      <c r="Z896" s="516"/>
    </row>
    <row r="897" ht="14.25" customHeight="1">
      <c r="A897" s="516"/>
      <c r="B897" s="516"/>
      <c r="C897" s="517"/>
      <c r="D897" s="517"/>
      <c r="E897" s="517"/>
      <c r="F897" s="516"/>
      <c r="G897" s="516"/>
      <c r="H897" s="516"/>
      <c r="I897" s="516"/>
      <c r="J897" s="516"/>
      <c r="K897" s="516"/>
      <c r="L897" s="516"/>
      <c r="M897" s="516"/>
      <c r="N897" s="516"/>
      <c r="O897" s="516"/>
      <c r="P897" s="516"/>
      <c r="Q897" s="516"/>
      <c r="R897" s="516"/>
      <c r="S897" s="516"/>
      <c r="T897" s="516"/>
      <c r="U897" s="516"/>
      <c r="V897" s="516"/>
      <c r="W897" s="516"/>
      <c r="X897" s="516"/>
      <c r="Y897" s="516"/>
      <c r="Z897" s="516"/>
    </row>
    <row r="898" ht="14.25" customHeight="1">
      <c r="A898" s="516"/>
      <c r="B898" s="516"/>
      <c r="C898" s="517"/>
      <c r="D898" s="517"/>
      <c r="E898" s="517"/>
      <c r="F898" s="516"/>
      <c r="G898" s="516"/>
      <c r="H898" s="516"/>
      <c r="I898" s="516"/>
      <c r="J898" s="516"/>
      <c r="K898" s="516"/>
      <c r="L898" s="516"/>
      <c r="M898" s="516"/>
      <c r="N898" s="516"/>
      <c r="O898" s="516"/>
      <c r="P898" s="516"/>
      <c r="Q898" s="516"/>
      <c r="R898" s="516"/>
      <c r="S898" s="516"/>
      <c r="T898" s="516"/>
      <c r="U898" s="516"/>
      <c r="V898" s="516"/>
      <c r="W898" s="516"/>
      <c r="X898" s="516"/>
      <c r="Y898" s="516"/>
      <c r="Z898" s="516"/>
    </row>
    <row r="899" ht="14.25" customHeight="1">
      <c r="A899" s="516"/>
      <c r="B899" s="516"/>
      <c r="C899" s="517"/>
      <c r="D899" s="517"/>
      <c r="E899" s="517"/>
      <c r="F899" s="516"/>
      <c r="G899" s="516"/>
      <c r="H899" s="516"/>
      <c r="I899" s="516"/>
      <c r="J899" s="516"/>
      <c r="K899" s="516"/>
      <c r="L899" s="516"/>
      <c r="M899" s="516"/>
      <c r="N899" s="516"/>
      <c r="O899" s="516"/>
      <c r="P899" s="516"/>
      <c r="Q899" s="516"/>
      <c r="R899" s="516"/>
      <c r="S899" s="516"/>
      <c r="T899" s="516"/>
      <c r="U899" s="516"/>
      <c r="V899" s="516"/>
      <c r="W899" s="516"/>
      <c r="X899" s="516"/>
      <c r="Y899" s="516"/>
      <c r="Z899" s="516"/>
    </row>
    <row r="900" ht="14.25" customHeight="1">
      <c r="A900" s="516"/>
      <c r="B900" s="516"/>
      <c r="C900" s="517"/>
      <c r="D900" s="517"/>
      <c r="E900" s="517"/>
      <c r="F900" s="516"/>
      <c r="G900" s="516"/>
      <c r="H900" s="516"/>
      <c r="I900" s="516"/>
      <c r="J900" s="516"/>
      <c r="K900" s="516"/>
      <c r="L900" s="516"/>
      <c r="M900" s="516"/>
      <c r="N900" s="516"/>
      <c r="O900" s="516"/>
      <c r="P900" s="516"/>
      <c r="Q900" s="516"/>
      <c r="R900" s="516"/>
      <c r="S900" s="516"/>
      <c r="T900" s="516"/>
      <c r="U900" s="516"/>
      <c r="V900" s="516"/>
      <c r="W900" s="516"/>
      <c r="X900" s="516"/>
      <c r="Y900" s="516"/>
      <c r="Z900" s="516"/>
    </row>
    <row r="901" ht="14.25" customHeight="1">
      <c r="A901" s="516"/>
      <c r="B901" s="516"/>
      <c r="C901" s="517"/>
      <c r="D901" s="517"/>
      <c r="E901" s="517"/>
      <c r="F901" s="516"/>
      <c r="G901" s="516"/>
      <c r="H901" s="516"/>
      <c r="I901" s="516"/>
      <c r="J901" s="516"/>
      <c r="K901" s="516"/>
      <c r="L901" s="516"/>
      <c r="M901" s="516"/>
      <c r="N901" s="516"/>
      <c r="O901" s="516"/>
      <c r="P901" s="516"/>
      <c r="Q901" s="516"/>
      <c r="R901" s="516"/>
      <c r="S901" s="516"/>
      <c r="T901" s="516"/>
      <c r="U901" s="516"/>
      <c r="V901" s="516"/>
      <c r="W901" s="516"/>
      <c r="X901" s="516"/>
      <c r="Y901" s="516"/>
      <c r="Z901" s="516"/>
    </row>
    <row r="902" ht="14.25" customHeight="1">
      <c r="A902" s="516"/>
      <c r="B902" s="516"/>
      <c r="C902" s="517"/>
      <c r="D902" s="517"/>
      <c r="E902" s="517"/>
      <c r="F902" s="516"/>
      <c r="G902" s="516"/>
      <c r="H902" s="516"/>
      <c r="I902" s="516"/>
      <c r="J902" s="516"/>
      <c r="K902" s="516"/>
      <c r="L902" s="516"/>
      <c r="M902" s="516"/>
      <c r="N902" s="516"/>
      <c r="O902" s="516"/>
      <c r="P902" s="516"/>
      <c r="Q902" s="516"/>
      <c r="R902" s="516"/>
      <c r="S902" s="516"/>
      <c r="T902" s="516"/>
      <c r="U902" s="516"/>
      <c r="V902" s="516"/>
      <c r="W902" s="516"/>
      <c r="X902" s="516"/>
      <c r="Y902" s="516"/>
      <c r="Z902" s="516"/>
    </row>
    <row r="903" ht="14.25" customHeight="1">
      <c r="A903" s="516"/>
      <c r="B903" s="516"/>
      <c r="C903" s="517"/>
      <c r="D903" s="517"/>
      <c r="E903" s="517"/>
      <c r="F903" s="516"/>
      <c r="G903" s="516"/>
      <c r="H903" s="516"/>
      <c r="I903" s="516"/>
      <c r="J903" s="516"/>
      <c r="K903" s="516"/>
      <c r="L903" s="516"/>
      <c r="M903" s="516"/>
      <c r="N903" s="516"/>
      <c r="O903" s="516"/>
      <c r="P903" s="516"/>
      <c r="Q903" s="516"/>
      <c r="R903" s="516"/>
      <c r="S903" s="516"/>
      <c r="T903" s="516"/>
      <c r="U903" s="516"/>
      <c r="V903" s="516"/>
      <c r="W903" s="516"/>
      <c r="X903" s="516"/>
      <c r="Y903" s="516"/>
      <c r="Z903" s="516"/>
    </row>
    <row r="904" ht="14.25" customHeight="1">
      <c r="A904" s="516"/>
      <c r="B904" s="516"/>
      <c r="C904" s="517"/>
      <c r="D904" s="517"/>
      <c r="E904" s="517"/>
      <c r="F904" s="516"/>
      <c r="G904" s="516"/>
      <c r="H904" s="516"/>
      <c r="I904" s="516"/>
      <c r="J904" s="516"/>
      <c r="K904" s="516"/>
      <c r="L904" s="516"/>
      <c r="M904" s="516"/>
      <c r="N904" s="516"/>
      <c r="O904" s="516"/>
      <c r="P904" s="516"/>
      <c r="Q904" s="516"/>
      <c r="R904" s="516"/>
      <c r="S904" s="516"/>
      <c r="T904" s="516"/>
      <c r="U904" s="516"/>
      <c r="V904" s="516"/>
      <c r="W904" s="516"/>
      <c r="X904" s="516"/>
      <c r="Y904" s="516"/>
      <c r="Z904" s="516"/>
    </row>
    <row r="905" ht="14.25" customHeight="1">
      <c r="A905" s="516"/>
      <c r="B905" s="516"/>
      <c r="C905" s="517"/>
      <c r="D905" s="517"/>
      <c r="E905" s="517"/>
      <c r="F905" s="516"/>
      <c r="G905" s="516"/>
      <c r="H905" s="516"/>
      <c r="I905" s="516"/>
      <c r="J905" s="516"/>
      <c r="K905" s="516"/>
      <c r="L905" s="516"/>
      <c r="M905" s="516"/>
      <c r="N905" s="516"/>
      <c r="O905" s="516"/>
      <c r="P905" s="516"/>
      <c r="Q905" s="516"/>
      <c r="R905" s="516"/>
      <c r="S905" s="516"/>
      <c r="T905" s="516"/>
      <c r="U905" s="516"/>
      <c r="V905" s="516"/>
      <c r="W905" s="516"/>
      <c r="X905" s="516"/>
      <c r="Y905" s="516"/>
      <c r="Z905" s="516"/>
    </row>
    <row r="906" ht="14.25" customHeight="1">
      <c r="A906" s="516"/>
      <c r="B906" s="516"/>
      <c r="C906" s="517"/>
      <c r="D906" s="517"/>
      <c r="E906" s="517"/>
      <c r="F906" s="516"/>
      <c r="G906" s="516"/>
      <c r="H906" s="516"/>
      <c r="I906" s="516"/>
      <c r="J906" s="516"/>
      <c r="K906" s="516"/>
      <c r="L906" s="516"/>
      <c r="M906" s="516"/>
      <c r="N906" s="516"/>
      <c r="O906" s="516"/>
      <c r="P906" s="516"/>
      <c r="Q906" s="516"/>
      <c r="R906" s="516"/>
      <c r="S906" s="516"/>
      <c r="T906" s="516"/>
      <c r="U906" s="516"/>
      <c r="V906" s="516"/>
      <c r="W906" s="516"/>
      <c r="X906" s="516"/>
      <c r="Y906" s="516"/>
      <c r="Z906" s="516"/>
    </row>
    <row r="907" ht="14.25" customHeight="1">
      <c r="A907" s="516"/>
      <c r="B907" s="516"/>
      <c r="C907" s="517"/>
      <c r="D907" s="517"/>
      <c r="E907" s="517"/>
      <c r="F907" s="516"/>
      <c r="G907" s="516"/>
      <c r="H907" s="516"/>
      <c r="I907" s="516"/>
      <c r="J907" s="516"/>
      <c r="K907" s="516"/>
      <c r="L907" s="516"/>
      <c r="M907" s="516"/>
      <c r="N907" s="516"/>
      <c r="O907" s="516"/>
      <c r="P907" s="516"/>
      <c r="Q907" s="516"/>
      <c r="R907" s="516"/>
      <c r="S907" s="516"/>
      <c r="T907" s="516"/>
      <c r="U907" s="516"/>
      <c r="V907" s="516"/>
      <c r="W907" s="516"/>
      <c r="X907" s="516"/>
      <c r="Y907" s="516"/>
      <c r="Z907" s="516"/>
    </row>
    <row r="908" ht="14.25" customHeight="1">
      <c r="A908" s="516"/>
      <c r="B908" s="516"/>
      <c r="C908" s="517"/>
      <c r="D908" s="517"/>
      <c r="E908" s="517"/>
      <c r="F908" s="516"/>
      <c r="G908" s="516"/>
      <c r="H908" s="516"/>
      <c r="I908" s="516"/>
      <c r="J908" s="516"/>
      <c r="K908" s="516"/>
      <c r="L908" s="516"/>
      <c r="M908" s="516"/>
      <c r="N908" s="516"/>
      <c r="O908" s="516"/>
      <c r="P908" s="516"/>
      <c r="Q908" s="516"/>
      <c r="R908" s="516"/>
      <c r="S908" s="516"/>
      <c r="T908" s="516"/>
      <c r="U908" s="516"/>
      <c r="V908" s="516"/>
      <c r="W908" s="516"/>
      <c r="X908" s="516"/>
      <c r="Y908" s="516"/>
      <c r="Z908" s="516"/>
    </row>
    <row r="909" ht="14.25" customHeight="1">
      <c r="A909" s="516"/>
      <c r="B909" s="516"/>
      <c r="C909" s="517"/>
      <c r="D909" s="517"/>
      <c r="E909" s="517"/>
      <c r="F909" s="516"/>
      <c r="G909" s="516"/>
      <c r="H909" s="516"/>
      <c r="I909" s="516"/>
      <c r="J909" s="516"/>
      <c r="K909" s="516"/>
      <c r="L909" s="516"/>
      <c r="M909" s="516"/>
      <c r="N909" s="516"/>
      <c r="O909" s="516"/>
      <c r="P909" s="516"/>
      <c r="Q909" s="516"/>
      <c r="R909" s="516"/>
      <c r="S909" s="516"/>
      <c r="T909" s="516"/>
      <c r="U909" s="516"/>
      <c r="V909" s="516"/>
      <c r="W909" s="516"/>
      <c r="X909" s="516"/>
      <c r="Y909" s="516"/>
      <c r="Z909" s="516"/>
    </row>
    <row r="910" ht="14.25" customHeight="1">
      <c r="A910" s="516"/>
      <c r="B910" s="516"/>
      <c r="C910" s="517"/>
      <c r="D910" s="517"/>
      <c r="E910" s="517"/>
      <c r="F910" s="516"/>
      <c r="G910" s="516"/>
      <c r="H910" s="516"/>
      <c r="I910" s="516"/>
      <c r="J910" s="516"/>
      <c r="K910" s="516"/>
      <c r="L910" s="516"/>
      <c r="M910" s="516"/>
      <c r="N910" s="516"/>
      <c r="O910" s="516"/>
      <c r="P910" s="516"/>
      <c r="Q910" s="516"/>
      <c r="R910" s="516"/>
      <c r="S910" s="516"/>
      <c r="T910" s="516"/>
      <c r="U910" s="516"/>
      <c r="V910" s="516"/>
      <c r="W910" s="516"/>
      <c r="X910" s="516"/>
      <c r="Y910" s="516"/>
      <c r="Z910" s="516"/>
    </row>
    <row r="911" ht="14.25" customHeight="1">
      <c r="A911" s="516"/>
      <c r="B911" s="516"/>
      <c r="C911" s="517"/>
      <c r="D911" s="517"/>
      <c r="E911" s="517"/>
      <c r="F911" s="516"/>
      <c r="G911" s="516"/>
      <c r="H911" s="516"/>
      <c r="I911" s="516"/>
      <c r="J911" s="516"/>
      <c r="K911" s="516"/>
      <c r="L911" s="516"/>
      <c r="M911" s="516"/>
      <c r="N911" s="516"/>
      <c r="O911" s="516"/>
      <c r="P911" s="516"/>
      <c r="Q911" s="516"/>
      <c r="R911" s="516"/>
      <c r="S911" s="516"/>
      <c r="T911" s="516"/>
      <c r="U911" s="516"/>
      <c r="V911" s="516"/>
      <c r="W911" s="516"/>
      <c r="X911" s="516"/>
      <c r="Y911" s="516"/>
      <c r="Z911" s="516"/>
    </row>
    <row r="912" ht="14.25" customHeight="1">
      <c r="A912" s="516"/>
      <c r="B912" s="516"/>
      <c r="C912" s="517"/>
      <c r="D912" s="517"/>
      <c r="E912" s="517"/>
      <c r="F912" s="516"/>
      <c r="G912" s="516"/>
      <c r="H912" s="516"/>
      <c r="I912" s="516"/>
      <c r="J912" s="516"/>
      <c r="K912" s="516"/>
      <c r="L912" s="516"/>
      <c r="M912" s="516"/>
      <c r="N912" s="516"/>
      <c r="O912" s="516"/>
      <c r="P912" s="516"/>
      <c r="Q912" s="516"/>
      <c r="R912" s="516"/>
      <c r="S912" s="516"/>
      <c r="T912" s="516"/>
      <c r="U912" s="516"/>
      <c r="V912" s="516"/>
      <c r="W912" s="516"/>
      <c r="X912" s="516"/>
      <c r="Y912" s="516"/>
      <c r="Z912" s="516"/>
    </row>
    <row r="913" ht="14.25" customHeight="1">
      <c r="A913" s="516"/>
      <c r="B913" s="516"/>
      <c r="C913" s="517"/>
      <c r="D913" s="517"/>
      <c r="E913" s="517"/>
      <c r="F913" s="516"/>
      <c r="G913" s="516"/>
      <c r="H913" s="516"/>
      <c r="I913" s="516"/>
      <c r="J913" s="516"/>
      <c r="K913" s="516"/>
      <c r="L913" s="516"/>
      <c r="M913" s="516"/>
      <c r="N913" s="516"/>
      <c r="O913" s="516"/>
      <c r="P913" s="516"/>
      <c r="Q913" s="516"/>
      <c r="R913" s="516"/>
      <c r="S913" s="516"/>
      <c r="T913" s="516"/>
      <c r="U913" s="516"/>
      <c r="V913" s="516"/>
      <c r="W913" s="516"/>
      <c r="X913" s="516"/>
      <c r="Y913" s="516"/>
      <c r="Z913" s="516"/>
    </row>
    <row r="914" ht="14.25" customHeight="1">
      <c r="A914" s="516"/>
      <c r="B914" s="516"/>
      <c r="C914" s="517"/>
      <c r="D914" s="517"/>
      <c r="E914" s="517"/>
      <c r="F914" s="516"/>
      <c r="G914" s="516"/>
      <c r="H914" s="516"/>
      <c r="I914" s="516"/>
      <c r="J914" s="516"/>
      <c r="K914" s="516"/>
      <c r="L914" s="516"/>
      <c r="M914" s="516"/>
      <c r="N914" s="516"/>
      <c r="O914" s="516"/>
      <c r="P914" s="516"/>
      <c r="Q914" s="516"/>
      <c r="R914" s="516"/>
      <c r="S914" s="516"/>
      <c r="T914" s="516"/>
      <c r="U914" s="516"/>
      <c r="V914" s="516"/>
      <c r="W914" s="516"/>
      <c r="X914" s="516"/>
      <c r="Y914" s="516"/>
      <c r="Z914" s="516"/>
    </row>
    <row r="915" ht="14.25" customHeight="1">
      <c r="A915" s="516"/>
      <c r="B915" s="516"/>
      <c r="C915" s="517"/>
      <c r="D915" s="517"/>
      <c r="E915" s="517"/>
      <c r="F915" s="516"/>
      <c r="G915" s="516"/>
      <c r="H915" s="516"/>
      <c r="I915" s="516"/>
      <c r="J915" s="516"/>
      <c r="K915" s="516"/>
      <c r="L915" s="516"/>
      <c r="M915" s="516"/>
      <c r="N915" s="516"/>
      <c r="O915" s="516"/>
      <c r="P915" s="516"/>
      <c r="Q915" s="516"/>
      <c r="R915" s="516"/>
      <c r="S915" s="516"/>
      <c r="T915" s="516"/>
      <c r="U915" s="516"/>
      <c r="V915" s="516"/>
      <c r="W915" s="516"/>
      <c r="X915" s="516"/>
      <c r="Y915" s="516"/>
      <c r="Z915" s="516"/>
    </row>
    <row r="916" ht="14.25" customHeight="1">
      <c r="A916" s="516"/>
      <c r="B916" s="516"/>
      <c r="C916" s="517"/>
      <c r="D916" s="517"/>
      <c r="E916" s="517"/>
      <c r="F916" s="516"/>
      <c r="G916" s="516"/>
      <c r="H916" s="516"/>
      <c r="I916" s="516"/>
      <c r="J916" s="516"/>
      <c r="K916" s="516"/>
      <c r="L916" s="516"/>
      <c r="M916" s="516"/>
      <c r="N916" s="516"/>
      <c r="O916" s="516"/>
      <c r="P916" s="516"/>
      <c r="Q916" s="516"/>
      <c r="R916" s="516"/>
      <c r="S916" s="516"/>
      <c r="T916" s="516"/>
      <c r="U916" s="516"/>
      <c r="V916" s="516"/>
      <c r="W916" s="516"/>
      <c r="X916" s="516"/>
      <c r="Y916" s="516"/>
      <c r="Z916" s="516"/>
    </row>
    <row r="917" ht="14.25" customHeight="1">
      <c r="A917" s="516"/>
      <c r="B917" s="516"/>
      <c r="C917" s="517"/>
      <c r="D917" s="517"/>
      <c r="E917" s="517"/>
      <c r="F917" s="516"/>
      <c r="G917" s="516"/>
      <c r="H917" s="516"/>
      <c r="I917" s="516"/>
      <c r="J917" s="516"/>
      <c r="K917" s="516"/>
      <c r="L917" s="516"/>
      <c r="M917" s="516"/>
      <c r="N917" s="516"/>
      <c r="O917" s="516"/>
      <c r="P917" s="516"/>
      <c r="Q917" s="516"/>
      <c r="R917" s="516"/>
      <c r="S917" s="516"/>
      <c r="T917" s="516"/>
      <c r="U917" s="516"/>
      <c r="V917" s="516"/>
      <c r="W917" s="516"/>
      <c r="X917" s="516"/>
      <c r="Y917" s="516"/>
      <c r="Z917" s="516"/>
    </row>
    <row r="918" ht="14.25" customHeight="1">
      <c r="A918" s="516"/>
      <c r="B918" s="516"/>
      <c r="C918" s="517"/>
      <c r="D918" s="517"/>
      <c r="E918" s="517"/>
      <c r="F918" s="516"/>
      <c r="G918" s="516"/>
      <c r="H918" s="516"/>
      <c r="I918" s="516"/>
      <c r="J918" s="516"/>
      <c r="K918" s="516"/>
      <c r="L918" s="516"/>
      <c r="M918" s="516"/>
      <c r="N918" s="516"/>
      <c r="O918" s="516"/>
      <c r="P918" s="516"/>
      <c r="Q918" s="516"/>
      <c r="R918" s="516"/>
      <c r="S918" s="516"/>
      <c r="T918" s="516"/>
      <c r="U918" s="516"/>
      <c r="V918" s="516"/>
      <c r="W918" s="516"/>
      <c r="X918" s="516"/>
      <c r="Y918" s="516"/>
      <c r="Z918" s="516"/>
    </row>
    <row r="919" ht="14.25" customHeight="1">
      <c r="A919" s="516"/>
      <c r="B919" s="516"/>
      <c r="C919" s="517"/>
      <c r="D919" s="517"/>
      <c r="E919" s="517"/>
      <c r="F919" s="516"/>
      <c r="G919" s="516"/>
      <c r="H919" s="516"/>
      <c r="I919" s="516"/>
      <c r="J919" s="516"/>
      <c r="K919" s="516"/>
      <c r="L919" s="516"/>
      <c r="M919" s="516"/>
      <c r="N919" s="516"/>
      <c r="O919" s="516"/>
      <c r="P919" s="516"/>
      <c r="Q919" s="516"/>
      <c r="R919" s="516"/>
      <c r="S919" s="516"/>
      <c r="T919" s="516"/>
      <c r="U919" s="516"/>
      <c r="V919" s="516"/>
      <c r="W919" s="516"/>
      <c r="X919" s="516"/>
      <c r="Y919" s="516"/>
      <c r="Z919" s="516"/>
    </row>
    <row r="920" ht="14.25" customHeight="1">
      <c r="A920" s="516"/>
      <c r="B920" s="516"/>
      <c r="C920" s="517"/>
      <c r="D920" s="517"/>
      <c r="E920" s="517"/>
      <c r="F920" s="516"/>
      <c r="G920" s="516"/>
      <c r="H920" s="516"/>
      <c r="I920" s="516"/>
      <c r="J920" s="516"/>
      <c r="K920" s="516"/>
      <c r="L920" s="516"/>
      <c r="M920" s="516"/>
      <c r="N920" s="516"/>
      <c r="O920" s="516"/>
      <c r="P920" s="516"/>
      <c r="Q920" s="516"/>
      <c r="R920" s="516"/>
      <c r="S920" s="516"/>
      <c r="T920" s="516"/>
      <c r="U920" s="516"/>
      <c r="V920" s="516"/>
      <c r="W920" s="516"/>
      <c r="X920" s="516"/>
      <c r="Y920" s="516"/>
      <c r="Z920" s="516"/>
    </row>
    <row r="921" ht="14.25" customHeight="1">
      <c r="A921" s="516"/>
      <c r="B921" s="516"/>
      <c r="C921" s="517"/>
      <c r="D921" s="517"/>
      <c r="E921" s="517"/>
      <c r="F921" s="516"/>
      <c r="G921" s="516"/>
      <c r="H921" s="516"/>
      <c r="I921" s="516"/>
      <c r="J921" s="516"/>
      <c r="K921" s="516"/>
      <c r="L921" s="516"/>
      <c r="M921" s="516"/>
      <c r="N921" s="516"/>
      <c r="O921" s="516"/>
      <c r="P921" s="516"/>
      <c r="Q921" s="516"/>
      <c r="R921" s="516"/>
      <c r="S921" s="516"/>
      <c r="T921" s="516"/>
      <c r="U921" s="516"/>
      <c r="V921" s="516"/>
      <c r="W921" s="516"/>
      <c r="X921" s="516"/>
      <c r="Y921" s="516"/>
      <c r="Z921" s="516"/>
    </row>
    <row r="922" ht="14.25" customHeight="1">
      <c r="A922" s="516"/>
      <c r="B922" s="516"/>
      <c r="C922" s="517"/>
      <c r="D922" s="517"/>
      <c r="E922" s="517"/>
      <c r="F922" s="516"/>
      <c r="G922" s="516"/>
      <c r="H922" s="516"/>
      <c r="I922" s="516"/>
      <c r="J922" s="516"/>
      <c r="K922" s="516"/>
      <c r="L922" s="516"/>
      <c r="M922" s="516"/>
      <c r="N922" s="516"/>
      <c r="O922" s="516"/>
      <c r="P922" s="516"/>
      <c r="Q922" s="516"/>
      <c r="R922" s="516"/>
      <c r="S922" s="516"/>
      <c r="T922" s="516"/>
      <c r="U922" s="516"/>
      <c r="V922" s="516"/>
      <c r="W922" s="516"/>
      <c r="X922" s="516"/>
      <c r="Y922" s="516"/>
      <c r="Z922" s="516"/>
    </row>
    <row r="923" ht="14.25" customHeight="1">
      <c r="A923" s="516"/>
      <c r="B923" s="516"/>
      <c r="C923" s="517"/>
      <c r="D923" s="517"/>
      <c r="E923" s="517"/>
      <c r="F923" s="516"/>
      <c r="G923" s="516"/>
      <c r="H923" s="516"/>
      <c r="I923" s="516"/>
      <c r="J923" s="516"/>
      <c r="K923" s="516"/>
      <c r="L923" s="516"/>
      <c r="M923" s="516"/>
      <c r="N923" s="516"/>
      <c r="O923" s="516"/>
      <c r="P923" s="516"/>
      <c r="Q923" s="516"/>
      <c r="R923" s="516"/>
      <c r="S923" s="516"/>
      <c r="T923" s="516"/>
      <c r="U923" s="516"/>
      <c r="V923" s="516"/>
      <c r="W923" s="516"/>
      <c r="X923" s="516"/>
      <c r="Y923" s="516"/>
      <c r="Z923" s="516"/>
    </row>
    <row r="924" ht="14.25" customHeight="1">
      <c r="A924" s="516"/>
      <c r="B924" s="516"/>
      <c r="C924" s="517"/>
      <c r="D924" s="517"/>
      <c r="E924" s="517"/>
      <c r="F924" s="516"/>
      <c r="G924" s="516"/>
      <c r="H924" s="516"/>
      <c r="I924" s="516"/>
      <c r="J924" s="516"/>
      <c r="K924" s="516"/>
      <c r="L924" s="516"/>
      <c r="M924" s="516"/>
      <c r="N924" s="516"/>
      <c r="O924" s="516"/>
      <c r="P924" s="516"/>
      <c r="Q924" s="516"/>
      <c r="R924" s="516"/>
      <c r="S924" s="516"/>
      <c r="T924" s="516"/>
      <c r="U924" s="516"/>
      <c r="V924" s="516"/>
      <c r="W924" s="516"/>
      <c r="X924" s="516"/>
      <c r="Y924" s="516"/>
      <c r="Z924" s="516"/>
    </row>
    <row r="925" ht="14.25" customHeight="1">
      <c r="A925" s="516"/>
      <c r="B925" s="516"/>
      <c r="C925" s="517"/>
      <c r="D925" s="517"/>
      <c r="E925" s="517"/>
      <c r="F925" s="516"/>
      <c r="G925" s="516"/>
      <c r="H925" s="516"/>
      <c r="I925" s="516"/>
      <c r="J925" s="516"/>
      <c r="K925" s="516"/>
      <c r="L925" s="516"/>
      <c r="M925" s="516"/>
      <c r="N925" s="516"/>
      <c r="O925" s="516"/>
      <c r="P925" s="516"/>
      <c r="Q925" s="516"/>
      <c r="R925" s="516"/>
      <c r="S925" s="516"/>
      <c r="T925" s="516"/>
      <c r="U925" s="516"/>
      <c r="V925" s="516"/>
      <c r="W925" s="516"/>
      <c r="X925" s="516"/>
      <c r="Y925" s="516"/>
      <c r="Z925" s="516"/>
    </row>
    <row r="926" ht="14.25" customHeight="1">
      <c r="A926" s="516"/>
      <c r="B926" s="516"/>
      <c r="C926" s="517"/>
      <c r="D926" s="517"/>
      <c r="E926" s="517"/>
      <c r="F926" s="516"/>
      <c r="G926" s="516"/>
      <c r="H926" s="516"/>
      <c r="I926" s="516"/>
      <c r="J926" s="516"/>
      <c r="K926" s="516"/>
      <c r="L926" s="516"/>
      <c r="M926" s="516"/>
      <c r="N926" s="516"/>
      <c r="O926" s="516"/>
      <c r="P926" s="516"/>
      <c r="Q926" s="516"/>
      <c r="R926" s="516"/>
      <c r="S926" s="516"/>
      <c r="T926" s="516"/>
      <c r="U926" s="516"/>
      <c r="V926" s="516"/>
      <c r="W926" s="516"/>
      <c r="X926" s="516"/>
      <c r="Y926" s="516"/>
      <c r="Z926" s="516"/>
    </row>
    <row r="927" ht="14.25" customHeight="1">
      <c r="A927" s="516"/>
      <c r="B927" s="516"/>
      <c r="C927" s="517"/>
      <c r="D927" s="517"/>
      <c r="E927" s="517"/>
      <c r="F927" s="516"/>
      <c r="G927" s="516"/>
      <c r="H927" s="516"/>
      <c r="I927" s="516"/>
      <c r="J927" s="516"/>
      <c r="K927" s="516"/>
      <c r="L927" s="516"/>
      <c r="M927" s="516"/>
      <c r="N927" s="516"/>
      <c r="O927" s="516"/>
      <c r="P927" s="516"/>
      <c r="Q927" s="516"/>
      <c r="R927" s="516"/>
      <c r="S927" s="516"/>
      <c r="T927" s="516"/>
      <c r="U927" s="516"/>
      <c r="V927" s="516"/>
      <c r="W927" s="516"/>
      <c r="X927" s="516"/>
      <c r="Y927" s="516"/>
      <c r="Z927" s="516"/>
    </row>
    <row r="928" ht="14.25" customHeight="1">
      <c r="A928" s="516"/>
      <c r="B928" s="516"/>
      <c r="C928" s="517"/>
      <c r="D928" s="517"/>
      <c r="E928" s="517"/>
      <c r="F928" s="516"/>
      <c r="G928" s="516"/>
      <c r="H928" s="516"/>
      <c r="I928" s="516"/>
      <c r="J928" s="516"/>
      <c r="K928" s="516"/>
      <c r="L928" s="516"/>
      <c r="M928" s="516"/>
      <c r="N928" s="516"/>
      <c r="O928" s="516"/>
      <c r="P928" s="516"/>
      <c r="Q928" s="516"/>
      <c r="R928" s="516"/>
      <c r="S928" s="516"/>
      <c r="T928" s="516"/>
      <c r="U928" s="516"/>
      <c r="V928" s="516"/>
      <c r="W928" s="516"/>
      <c r="X928" s="516"/>
      <c r="Y928" s="516"/>
      <c r="Z928" s="516"/>
    </row>
    <row r="929" ht="14.25" customHeight="1">
      <c r="A929" s="516"/>
      <c r="B929" s="516"/>
      <c r="C929" s="517"/>
      <c r="D929" s="517"/>
      <c r="E929" s="517"/>
      <c r="F929" s="516"/>
      <c r="G929" s="516"/>
      <c r="H929" s="516"/>
      <c r="I929" s="516"/>
      <c r="J929" s="516"/>
      <c r="K929" s="516"/>
      <c r="L929" s="516"/>
      <c r="M929" s="516"/>
      <c r="N929" s="516"/>
      <c r="O929" s="516"/>
      <c r="P929" s="516"/>
      <c r="Q929" s="516"/>
      <c r="R929" s="516"/>
      <c r="S929" s="516"/>
      <c r="T929" s="516"/>
      <c r="U929" s="516"/>
      <c r="V929" s="516"/>
      <c r="W929" s="516"/>
      <c r="X929" s="516"/>
      <c r="Y929" s="516"/>
      <c r="Z929" s="516"/>
    </row>
    <row r="930" ht="14.25" customHeight="1">
      <c r="A930" s="516"/>
      <c r="B930" s="516"/>
      <c r="C930" s="517"/>
      <c r="D930" s="517"/>
      <c r="E930" s="517"/>
      <c r="F930" s="516"/>
      <c r="G930" s="516"/>
      <c r="H930" s="516"/>
      <c r="I930" s="516"/>
      <c r="J930" s="516"/>
      <c r="K930" s="516"/>
      <c r="L930" s="516"/>
      <c r="M930" s="516"/>
      <c r="N930" s="516"/>
      <c r="O930" s="516"/>
      <c r="P930" s="516"/>
      <c r="Q930" s="516"/>
      <c r="R930" s="516"/>
      <c r="S930" s="516"/>
      <c r="T930" s="516"/>
      <c r="U930" s="516"/>
      <c r="V930" s="516"/>
      <c r="W930" s="516"/>
      <c r="X930" s="516"/>
      <c r="Y930" s="516"/>
      <c r="Z930" s="516"/>
    </row>
    <row r="931" ht="14.25" customHeight="1">
      <c r="A931" s="516"/>
      <c r="B931" s="516"/>
      <c r="C931" s="517"/>
      <c r="D931" s="517"/>
      <c r="E931" s="517"/>
      <c r="F931" s="516"/>
      <c r="G931" s="516"/>
      <c r="H931" s="516"/>
      <c r="I931" s="516"/>
      <c r="J931" s="516"/>
      <c r="K931" s="516"/>
      <c r="L931" s="516"/>
      <c r="M931" s="516"/>
      <c r="N931" s="516"/>
      <c r="O931" s="516"/>
      <c r="P931" s="516"/>
      <c r="Q931" s="516"/>
      <c r="R931" s="516"/>
      <c r="S931" s="516"/>
      <c r="T931" s="516"/>
      <c r="U931" s="516"/>
      <c r="V931" s="516"/>
      <c r="W931" s="516"/>
      <c r="X931" s="516"/>
      <c r="Y931" s="516"/>
      <c r="Z931" s="516"/>
    </row>
    <row r="932" ht="14.25" customHeight="1">
      <c r="A932" s="516"/>
      <c r="B932" s="516"/>
      <c r="C932" s="517"/>
      <c r="D932" s="517"/>
      <c r="E932" s="517"/>
      <c r="F932" s="516"/>
      <c r="G932" s="516"/>
      <c r="H932" s="516"/>
      <c r="I932" s="516"/>
      <c r="J932" s="516"/>
      <c r="K932" s="516"/>
      <c r="L932" s="516"/>
      <c r="M932" s="516"/>
      <c r="N932" s="516"/>
      <c r="O932" s="516"/>
      <c r="P932" s="516"/>
      <c r="Q932" s="516"/>
      <c r="R932" s="516"/>
      <c r="S932" s="516"/>
      <c r="T932" s="516"/>
      <c r="U932" s="516"/>
      <c r="V932" s="516"/>
      <c r="W932" s="516"/>
      <c r="X932" s="516"/>
      <c r="Y932" s="516"/>
      <c r="Z932" s="516"/>
    </row>
    <row r="933" ht="14.25" customHeight="1">
      <c r="A933" s="516"/>
      <c r="B933" s="516"/>
      <c r="C933" s="517"/>
      <c r="D933" s="517"/>
      <c r="E933" s="517"/>
      <c r="F933" s="516"/>
      <c r="G933" s="516"/>
      <c r="H933" s="516"/>
      <c r="I933" s="516"/>
      <c r="J933" s="516"/>
      <c r="K933" s="516"/>
      <c r="L933" s="516"/>
      <c r="M933" s="516"/>
      <c r="N933" s="516"/>
      <c r="O933" s="516"/>
      <c r="P933" s="516"/>
      <c r="Q933" s="516"/>
      <c r="R933" s="516"/>
      <c r="S933" s="516"/>
      <c r="T933" s="516"/>
      <c r="U933" s="516"/>
      <c r="V933" s="516"/>
      <c r="W933" s="516"/>
      <c r="X933" s="516"/>
      <c r="Y933" s="516"/>
      <c r="Z933" s="516"/>
    </row>
    <row r="934" ht="14.25" customHeight="1">
      <c r="A934" s="516"/>
      <c r="B934" s="516"/>
      <c r="C934" s="517"/>
      <c r="D934" s="517"/>
      <c r="E934" s="517"/>
      <c r="F934" s="516"/>
      <c r="G934" s="516"/>
      <c r="H934" s="516"/>
      <c r="I934" s="516"/>
      <c r="J934" s="516"/>
      <c r="K934" s="516"/>
      <c r="L934" s="516"/>
      <c r="M934" s="516"/>
      <c r="N934" s="516"/>
      <c r="O934" s="516"/>
      <c r="P934" s="516"/>
      <c r="Q934" s="516"/>
      <c r="R934" s="516"/>
      <c r="S934" s="516"/>
      <c r="T934" s="516"/>
      <c r="U934" s="516"/>
      <c r="V934" s="516"/>
      <c r="W934" s="516"/>
      <c r="X934" s="516"/>
      <c r="Y934" s="516"/>
      <c r="Z934" s="516"/>
    </row>
    <row r="935" ht="14.25" customHeight="1">
      <c r="A935" s="516"/>
      <c r="B935" s="516"/>
      <c r="C935" s="517"/>
      <c r="D935" s="517"/>
      <c r="E935" s="517"/>
      <c r="F935" s="516"/>
      <c r="G935" s="516"/>
      <c r="H935" s="516"/>
      <c r="I935" s="516"/>
      <c r="J935" s="516"/>
      <c r="K935" s="516"/>
      <c r="L935" s="516"/>
      <c r="M935" s="516"/>
      <c r="N935" s="516"/>
      <c r="O935" s="516"/>
      <c r="P935" s="516"/>
      <c r="Q935" s="516"/>
      <c r="R935" s="516"/>
      <c r="S935" s="516"/>
      <c r="T935" s="516"/>
      <c r="U935" s="516"/>
      <c r="V935" s="516"/>
      <c r="W935" s="516"/>
      <c r="X935" s="516"/>
      <c r="Y935" s="516"/>
      <c r="Z935" s="516"/>
    </row>
    <row r="936" ht="14.25" customHeight="1">
      <c r="A936" s="516"/>
      <c r="B936" s="516"/>
      <c r="C936" s="517"/>
      <c r="D936" s="517"/>
      <c r="E936" s="517"/>
      <c r="F936" s="516"/>
      <c r="G936" s="516"/>
      <c r="H936" s="516"/>
      <c r="I936" s="516"/>
      <c r="J936" s="516"/>
      <c r="K936" s="516"/>
      <c r="L936" s="516"/>
      <c r="M936" s="516"/>
      <c r="N936" s="516"/>
      <c r="O936" s="516"/>
      <c r="P936" s="516"/>
      <c r="Q936" s="516"/>
      <c r="R936" s="516"/>
      <c r="S936" s="516"/>
      <c r="T936" s="516"/>
      <c r="U936" s="516"/>
      <c r="V936" s="516"/>
      <c r="W936" s="516"/>
      <c r="X936" s="516"/>
      <c r="Y936" s="516"/>
      <c r="Z936" s="516"/>
    </row>
    <row r="937" ht="14.25" customHeight="1">
      <c r="A937" s="516"/>
      <c r="B937" s="516"/>
      <c r="C937" s="517"/>
      <c r="D937" s="517"/>
      <c r="E937" s="517"/>
      <c r="F937" s="516"/>
      <c r="G937" s="516"/>
      <c r="H937" s="516"/>
      <c r="I937" s="516"/>
      <c r="J937" s="516"/>
      <c r="K937" s="516"/>
      <c r="L937" s="516"/>
      <c r="M937" s="516"/>
      <c r="N937" s="516"/>
      <c r="O937" s="516"/>
      <c r="P937" s="516"/>
      <c r="Q937" s="516"/>
      <c r="R937" s="516"/>
      <c r="S937" s="516"/>
      <c r="T937" s="516"/>
      <c r="U937" s="516"/>
      <c r="V937" s="516"/>
      <c r="W937" s="516"/>
      <c r="X937" s="516"/>
      <c r="Y937" s="516"/>
      <c r="Z937" s="516"/>
    </row>
    <row r="938" ht="14.25" customHeight="1">
      <c r="A938" s="516"/>
      <c r="B938" s="516"/>
      <c r="C938" s="517"/>
      <c r="D938" s="517"/>
      <c r="E938" s="517"/>
      <c r="F938" s="516"/>
      <c r="G938" s="516"/>
      <c r="H938" s="516"/>
      <c r="I938" s="516"/>
      <c r="J938" s="516"/>
      <c r="K938" s="516"/>
      <c r="L938" s="516"/>
      <c r="M938" s="516"/>
      <c r="N938" s="516"/>
      <c r="O938" s="516"/>
      <c r="P938" s="516"/>
      <c r="Q938" s="516"/>
      <c r="R938" s="516"/>
      <c r="S938" s="516"/>
      <c r="T938" s="516"/>
      <c r="U938" s="516"/>
      <c r="V938" s="516"/>
      <c r="W938" s="516"/>
      <c r="X938" s="516"/>
      <c r="Y938" s="516"/>
      <c r="Z938" s="516"/>
    </row>
    <row r="939" ht="14.25" customHeight="1">
      <c r="A939" s="516"/>
      <c r="B939" s="516"/>
      <c r="C939" s="517"/>
      <c r="D939" s="517"/>
      <c r="E939" s="517"/>
      <c r="F939" s="516"/>
      <c r="G939" s="516"/>
      <c r="H939" s="516"/>
      <c r="I939" s="516"/>
      <c r="J939" s="516"/>
      <c r="K939" s="516"/>
      <c r="L939" s="516"/>
      <c r="M939" s="516"/>
      <c r="N939" s="516"/>
      <c r="O939" s="516"/>
      <c r="P939" s="516"/>
      <c r="Q939" s="516"/>
      <c r="R939" s="516"/>
      <c r="S939" s="516"/>
      <c r="T939" s="516"/>
      <c r="U939" s="516"/>
      <c r="V939" s="516"/>
      <c r="W939" s="516"/>
      <c r="X939" s="516"/>
      <c r="Y939" s="516"/>
      <c r="Z939" s="516"/>
    </row>
    <row r="940" ht="14.25" customHeight="1">
      <c r="A940" s="516"/>
      <c r="B940" s="516"/>
      <c r="C940" s="517"/>
      <c r="D940" s="517"/>
      <c r="E940" s="517"/>
      <c r="F940" s="516"/>
      <c r="G940" s="516"/>
      <c r="H940" s="516"/>
      <c r="I940" s="516"/>
      <c r="J940" s="516"/>
      <c r="K940" s="516"/>
      <c r="L940" s="516"/>
      <c r="M940" s="516"/>
      <c r="N940" s="516"/>
      <c r="O940" s="516"/>
      <c r="P940" s="516"/>
      <c r="Q940" s="516"/>
      <c r="R940" s="516"/>
      <c r="S940" s="516"/>
      <c r="T940" s="516"/>
      <c r="U940" s="516"/>
      <c r="V940" s="516"/>
      <c r="W940" s="516"/>
      <c r="X940" s="516"/>
      <c r="Y940" s="516"/>
      <c r="Z940" s="516"/>
    </row>
    <row r="941" ht="14.25" customHeight="1">
      <c r="A941" s="516"/>
      <c r="B941" s="516"/>
      <c r="C941" s="517"/>
      <c r="D941" s="517"/>
      <c r="E941" s="517"/>
      <c r="F941" s="516"/>
      <c r="G941" s="516"/>
      <c r="H941" s="516"/>
      <c r="I941" s="516"/>
      <c r="J941" s="516"/>
      <c r="K941" s="516"/>
      <c r="L941" s="516"/>
      <c r="M941" s="516"/>
      <c r="N941" s="516"/>
      <c r="O941" s="516"/>
      <c r="P941" s="516"/>
      <c r="Q941" s="516"/>
      <c r="R941" s="516"/>
      <c r="S941" s="516"/>
      <c r="T941" s="516"/>
      <c r="U941" s="516"/>
      <c r="V941" s="516"/>
      <c r="W941" s="516"/>
      <c r="X941" s="516"/>
      <c r="Y941" s="516"/>
      <c r="Z941" s="516"/>
    </row>
    <row r="942" ht="14.25" customHeight="1">
      <c r="A942" s="516"/>
      <c r="B942" s="516"/>
      <c r="C942" s="517"/>
      <c r="D942" s="517"/>
      <c r="E942" s="517"/>
      <c r="F942" s="516"/>
      <c r="G942" s="516"/>
      <c r="H942" s="516"/>
      <c r="I942" s="516"/>
      <c r="J942" s="516"/>
      <c r="K942" s="516"/>
      <c r="L942" s="516"/>
      <c r="M942" s="516"/>
      <c r="N942" s="516"/>
      <c r="O942" s="516"/>
      <c r="P942" s="516"/>
      <c r="Q942" s="516"/>
      <c r="R942" s="516"/>
      <c r="S942" s="516"/>
      <c r="T942" s="516"/>
      <c r="U942" s="516"/>
      <c r="V942" s="516"/>
      <c r="W942" s="516"/>
      <c r="X942" s="516"/>
      <c r="Y942" s="516"/>
      <c r="Z942" s="516"/>
    </row>
    <row r="943" ht="14.25" customHeight="1">
      <c r="A943" s="516"/>
      <c r="B943" s="516"/>
      <c r="C943" s="517"/>
      <c r="D943" s="517"/>
      <c r="E943" s="517"/>
      <c r="F943" s="516"/>
      <c r="G943" s="516"/>
      <c r="H943" s="516"/>
      <c r="I943" s="516"/>
      <c r="J943" s="516"/>
      <c r="K943" s="516"/>
      <c r="L943" s="516"/>
      <c r="M943" s="516"/>
      <c r="N943" s="516"/>
      <c r="O943" s="516"/>
      <c r="P943" s="516"/>
      <c r="Q943" s="516"/>
      <c r="R943" s="516"/>
      <c r="S943" s="516"/>
      <c r="T943" s="516"/>
      <c r="U943" s="516"/>
      <c r="V943" s="516"/>
      <c r="W943" s="516"/>
      <c r="X943" s="516"/>
      <c r="Y943" s="516"/>
      <c r="Z943" s="516"/>
    </row>
    <row r="944" ht="14.25" customHeight="1">
      <c r="A944" s="516"/>
      <c r="B944" s="516"/>
      <c r="C944" s="517"/>
      <c r="D944" s="517"/>
      <c r="E944" s="517"/>
      <c r="F944" s="516"/>
      <c r="G944" s="516"/>
      <c r="H944" s="516"/>
      <c r="I944" s="516"/>
      <c r="J944" s="516"/>
      <c r="K944" s="516"/>
      <c r="L944" s="516"/>
      <c r="M944" s="516"/>
      <c r="N944" s="516"/>
      <c r="O944" s="516"/>
      <c r="P944" s="516"/>
      <c r="Q944" s="516"/>
      <c r="R944" s="516"/>
      <c r="S944" s="516"/>
      <c r="T944" s="516"/>
      <c r="U944" s="516"/>
      <c r="V944" s="516"/>
      <c r="W944" s="516"/>
      <c r="X944" s="516"/>
      <c r="Y944" s="516"/>
      <c r="Z944" s="516"/>
    </row>
    <row r="945" ht="14.25" customHeight="1">
      <c r="A945" s="516"/>
      <c r="B945" s="516"/>
      <c r="C945" s="517"/>
      <c r="D945" s="517"/>
      <c r="E945" s="517"/>
      <c r="F945" s="516"/>
      <c r="G945" s="516"/>
      <c r="H945" s="516"/>
      <c r="I945" s="516"/>
      <c r="J945" s="516"/>
      <c r="K945" s="516"/>
      <c r="L945" s="516"/>
      <c r="M945" s="516"/>
      <c r="N945" s="516"/>
      <c r="O945" s="516"/>
      <c r="P945" s="516"/>
      <c r="Q945" s="516"/>
      <c r="R945" s="516"/>
      <c r="S945" s="516"/>
      <c r="T945" s="516"/>
      <c r="U945" s="516"/>
      <c r="V945" s="516"/>
      <c r="W945" s="516"/>
      <c r="X945" s="516"/>
      <c r="Y945" s="516"/>
      <c r="Z945" s="516"/>
    </row>
    <row r="946" ht="14.25" customHeight="1">
      <c r="A946" s="516"/>
      <c r="B946" s="516"/>
      <c r="C946" s="517"/>
      <c r="D946" s="517"/>
      <c r="E946" s="517"/>
      <c r="F946" s="516"/>
      <c r="G946" s="516"/>
      <c r="H946" s="516"/>
      <c r="I946" s="516"/>
      <c r="J946" s="516"/>
      <c r="K946" s="516"/>
      <c r="L946" s="516"/>
      <c r="M946" s="516"/>
      <c r="N946" s="516"/>
      <c r="O946" s="516"/>
      <c r="P946" s="516"/>
      <c r="Q946" s="516"/>
      <c r="R946" s="516"/>
      <c r="S946" s="516"/>
      <c r="T946" s="516"/>
      <c r="U946" s="516"/>
      <c r="V946" s="516"/>
      <c r="W946" s="516"/>
      <c r="X946" s="516"/>
      <c r="Y946" s="516"/>
      <c r="Z946" s="516"/>
    </row>
    <row r="947" ht="14.25" customHeight="1">
      <c r="A947" s="516"/>
      <c r="B947" s="516"/>
      <c r="C947" s="517"/>
      <c r="D947" s="517"/>
      <c r="E947" s="517"/>
      <c r="F947" s="516"/>
      <c r="G947" s="516"/>
      <c r="H947" s="516"/>
      <c r="I947" s="516"/>
      <c r="J947" s="516"/>
      <c r="K947" s="516"/>
      <c r="L947" s="516"/>
      <c r="M947" s="516"/>
      <c r="N947" s="516"/>
      <c r="O947" s="516"/>
      <c r="P947" s="516"/>
      <c r="Q947" s="516"/>
      <c r="R947" s="516"/>
      <c r="S947" s="516"/>
      <c r="T947" s="516"/>
      <c r="U947" s="516"/>
      <c r="V947" s="516"/>
      <c r="W947" s="516"/>
      <c r="X947" s="516"/>
      <c r="Y947" s="516"/>
      <c r="Z947" s="516"/>
    </row>
    <row r="948" ht="14.25" customHeight="1">
      <c r="A948" s="516"/>
      <c r="B948" s="516"/>
      <c r="C948" s="517"/>
      <c r="D948" s="517"/>
      <c r="E948" s="517"/>
      <c r="F948" s="516"/>
      <c r="G948" s="516"/>
      <c r="H948" s="516"/>
      <c r="I948" s="516"/>
      <c r="J948" s="516"/>
      <c r="K948" s="516"/>
      <c r="L948" s="516"/>
      <c r="M948" s="516"/>
      <c r="N948" s="516"/>
      <c r="O948" s="516"/>
      <c r="P948" s="516"/>
      <c r="Q948" s="516"/>
      <c r="R948" s="516"/>
      <c r="S948" s="516"/>
      <c r="T948" s="516"/>
      <c r="U948" s="516"/>
      <c r="V948" s="516"/>
      <c r="W948" s="516"/>
      <c r="X948" s="516"/>
      <c r="Y948" s="516"/>
      <c r="Z948" s="516"/>
    </row>
    <row r="949" ht="14.25" customHeight="1">
      <c r="A949" s="516"/>
      <c r="B949" s="516"/>
      <c r="C949" s="517"/>
      <c r="D949" s="517"/>
      <c r="E949" s="517"/>
      <c r="F949" s="516"/>
      <c r="G949" s="516"/>
      <c r="H949" s="516"/>
      <c r="I949" s="516"/>
      <c r="J949" s="516"/>
      <c r="K949" s="516"/>
      <c r="L949" s="516"/>
      <c r="M949" s="516"/>
      <c r="N949" s="516"/>
      <c r="O949" s="516"/>
      <c r="P949" s="516"/>
      <c r="Q949" s="516"/>
      <c r="R949" s="516"/>
      <c r="S949" s="516"/>
      <c r="T949" s="516"/>
      <c r="U949" s="516"/>
      <c r="V949" s="516"/>
      <c r="W949" s="516"/>
      <c r="X949" s="516"/>
      <c r="Y949" s="516"/>
      <c r="Z949" s="516"/>
    </row>
    <row r="950" ht="14.25" customHeight="1">
      <c r="A950" s="516"/>
      <c r="B950" s="516"/>
      <c r="C950" s="517"/>
      <c r="D950" s="517"/>
      <c r="E950" s="517"/>
      <c r="F950" s="516"/>
      <c r="G950" s="516"/>
      <c r="H950" s="516"/>
      <c r="I950" s="516"/>
      <c r="J950" s="516"/>
      <c r="K950" s="516"/>
      <c r="L950" s="516"/>
      <c r="M950" s="516"/>
      <c r="N950" s="516"/>
      <c r="O950" s="516"/>
      <c r="P950" s="516"/>
      <c r="Q950" s="516"/>
      <c r="R950" s="516"/>
      <c r="S950" s="516"/>
      <c r="T950" s="516"/>
      <c r="U950" s="516"/>
      <c r="V950" s="516"/>
      <c r="W950" s="516"/>
      <c r="X950" s="516"/>
      <c r="Y950" s="516"/>
      <c r="Z950" s="516"/>
    </row>
    <row r="951" ht="14.25" customHeight="1">
      <c r="A951" s="516"/>
      <c r="B951" s="516"/>
      <c r="C951" s="517"/>
      <c r="D951" s="517"/>
      <c r="E951" s="517"/>
      <c r="F951" s="516"/>
      <c r="G951" s="516"/>
      <c r="H951" s="516"/>
      <c r="I951" s="516"/>
      <c r="J951" s="516"/>
      <c r="K951" s="516"/>
      <c r="L951" s="516"/>
      <c r="M951" s="516"/>
      <c r="N951" s="516"/>
      <c r="O951" s="516"/>
      <c r="P951" s="516"/>
      <c r="Q951" s="516"/>
      <c r="R951" s="516"/>
      <c r="S951" s="516"/>
      <c r="T951" s="516"/>
      <c r="U951" s="516"/>
      <c r="V951" s="516"/>
      <c r="W951" s="516"/>
      <c r="X951" s="516"/>
      <c r="Y951" s="516"/>
      <c r="Z951" s="516"/>
    </row>
    <row r="952" ht="14.25" customHeight="1">
      <c r="A952" s="516"/>
      <c r="B952" s="516"/>
      <c r="C952" s="517"/>
      <c r="D952" s="517"/>
      <c r="E952" s="517"/>
      <c r="F952" s="516"/>
      <c r="G952" s="516"/>
      <c r="H952" s="516"/>
      <c r="I952" s="516"/>
      <c r="J952" s="516"/>
      <c r="K952" s="516"/>
      <c r="L952" s="516"/>
      <c r="M952" s="516"/>
      <c r="N952" s="516"/>
      <c r="O952" s="516"/>
      <c r="P952" s="516"/>
      <c r="Q952" s="516"/>
      <c r="R952" s="516"/>
      <c r="S952" s="516"/>
      <c r="T952" s="516"/>
      <c r="U952" s="516"/>
      <c r="V952" s="516"/>
      <c r="W952" s="516"/>
      <c r="X952" s="516"/>
      <c r="Y952" s="516"/>
      <c r="Z952" s="516"/>
    </row>
    <row r="953" ht="14.25" customHeight="1">
      <c r="A953" s="516"/>
      <c r="B953" s="516"/>
      <c r="C953" s="517"/>
      <c r="D953" s="517"/>
      <c r="E953" s="517"/>
      <c r="F953" s="516"/>
      <c r="G953" s="516"/>
      <c r="H953" s="516"/>
      <c r="I953" s="516"/>
      <c r="J953" s="516"/>
      <c r="K953" s="516"/>
      <c r="L953" s="516"/>
      <c r="M953" s="516"/>
      <c r="N953" s="516"/>
      <c r="O953" s="516"/>
      <c r="P953" s="516"/>
      <c r="Q953" s="516"/>
      <c r="R953" s="516"/>
      <c r="S953" s="516"/>
      <c r="T953" s="516"/>
      <c r="U953" s="516"/>
      <c r="V953" s="516"/>
      <c r="W953" s="516"/>
      <c r="X953" s="516"/>
      <c r="Y953" s="516"/>
      <c r="Z953" s="516"/>
    </row>
    <row r="954" ht="14.25" customHeight="1">
      <c r="A954" s="516"/>
      <c r="B954" s="516"/>
      <c r="C954" s="517"/>
      <c r="D954" s="517"/>
      <c r="E954" s="517"/>
      <c r="F954" s="516"/>
      <c r="G954" s="516"/>
      <c r="H954" s="516"/>
      <c r="I954" s="516"/>
      <c r="J954" s="516"/>
      <c r="K954" s="516"/>
      <c r="L954" s="516"/>
      <c r="M954" s="516"/>
      <c r="N954" s="516"/>
      <c r="O954" s="516"/>
      <c r="P954" s="516"/>
      <c r="Q954" s="516"/>
      <c r="R954" s="516"/>
      <c r="S954" s="516"/>
      <c r="T954" s="516"/>
      <c r="U954" s="516"/>
      <c r="V954" s="516"/>
      <c r="W954" s="516"/>
      <c r="X954" s="516"/>
      <c r="Y954" s="516"/>
      <c r="Z954" s="516"/>
    </row>
    <row r="955" ht="14.25" customHeight="1">
      <c r="A955" s="516"/>
      <c r="B955" s="516"/>
      <c r="C955" s="517"/>
      <c r="D955" s="517"/>
      <c r="E955" s="517"/>
      <c r="F955" s="516"/>
      <c r="G955" s="516"/>
      <c r="H955" s="516"/>
      <c r="I955" s="516"/>
      <c r="J955" s="516"/>
      <c r="K955" s="516"/>
      <c r="L955" s="516"/>
      <c r="M955" s="516"/>
      <c r="N955" s="516"/>
      <c r="O955" s="516"/>
      <c r="P955" s="516"/>
      <c r="Q955" s="516"/>
      <c r="R955" s="516"/>
      <c r="S955" s="516"/>
      <c r="T955" s="516"/>
      <c r="U955" s="516"/>
      <c r="V955" s="516"/>
      <c r="W955" s="516"/>
      <c r="X955" s="516"/>
      <c r="Y955" s="516"/>
      <c r="Z955" s="516"/>
    </row>
    <row r="956" ht="14.25" customHeight="1">
      <c r="A956" s="516"/>
      <c r="B956" s="516"/>
      <c r="C956" s="517"/>
      <c r="D956" s="517"/>
      <c r="E956" s="517"/>
      <c r="F956" s="516"/>
      <c r="G956" s="516"/>
      <c r="H956" s="516"/>
      <c r="I956" s="516"/>
      <c r="J956" s="516"/>
      <c r="K956" s="516"/>
      <c r="L956" s="516"/>
      <c r="M956" s="516"/>
      <c r="N956" s="516"/>
      <c r="O956" s="516"/>
      <c r="P956" s="516"/>
      <c r="Q956" s="516"/>
      <c r="R956" s="516"/>
      <c r="S956" s="516"/>
      <c r="T956" s="516"/>
      <c r="U956" s="516"/>
      <c r="V956" s="516"/>
      <c r="W956" s="516"/>
      <c r="X956" s="516"/>
      <c r="Y956" s="516"/>
      <c r="Z956" s="516"/>
    </row>
    <row r="957" ht="14.25" customHeight="1">
      <c r="A957" s="516"/>
      <c r="B957" s="516"/>
      <c r="C957" s="517"/>
      <c r="D957" s="517"/>
      <c r="E957" s="517"/>
      <c r="F957" s="516"/>
      <c r="G957" s="516"/>
      <c r="H957" s="516"/>
      <c r="I957" s="516"/>
      <c r="J957" s="516"/>
      <c r="K957" s="516"/>
      <c r="L957" s="516"/>
      <c r="M957" s="516"/>
      <c r="N957" s="516"/>
      <c r="O957" s="516"/>
      <c r="P957" s="516"/>
      <c r="Q957" s="516"/>
      <c r="R957" s="516"/>
      <c r="S957" s="516"/>
      <c r="T957" s="516"/>
      <c r="U957" s="516"/>
      <c r="V957" s="516"/>
      <c r="W957" s="516"/>
      <c r="X957" s="516"/>
      <c r="Y957" s="516"/>
      <c r="Z957" s="516"/>
    </row>
    <row r="958" ht="14.25" customHeight="1">
      <c r="A958" s="516"/>
      <c r="B958" s="516"/>
      <c r="C958" s="517"/>
      <c r="D958" s="517"/>
      <c r="E958" s="517"/>
      <c r="F958" s="516"/>
      <c r="G958" s="516"/>
      <c r="H958" s="516"/>
      <c r="I958" s="516"/>
      <c r="J958" s="516"/>
      <c r="K958" s="516"/>
      <c r="L958" s="516"/>
      <c r="M958" s="516"/>
      <c r="N958" s="516"/>
      <c r="O958" s="516"/>
      <c r="P958" s="516"/>
      <c r="Q958" s="516"/>
      <c r="R958" s="516"/>
      <c r="S958" s="516"/>
      <c r="T958" s="516"/>
      <c r="U958" s="516"/>
      <c r="V958" s="516"/>
      <c r="W958" s="516"/>
      <c r="X958" s="516"/>
      <c r="Y958" s="516"/>
      <c r="Z958" s="516"/>
    </row>
    <row r="959" ht="14.25" customHeight="1">
      <c r="A959" s="516"/>
      <c r="B959" s="516"/>
      <c r="C959" s="517"/>
      <c r="D959" s="517"/>
      <c r="E959" s="517"/>
      <c r="F959" s="516"/>
      <c r="G959" s="516"/>
      <c r="H959" s="516"/>
      <c r="I959" s="516"/>
      <c r="J959" s="516"/>
      <c r="K959" s="516"/>
      <c r="L959" s="516"/>
      <c r="M959" s="516"/>
      <c r="N959" s="516"/>
      <c r="O959" s="516"/>
      <c r="P959" s="516"/>
      <c r="Q959" s="516"/>
      <c r="R959" s="516"/>
      <c r="S959" s="516"/>
      <c r="T959" s="516"/>
      <c r="U959" s="516"/>
      <c r="V959" s="516"/>
      <c r="W959" s="516"/>
      <c r="X959" s="516"/>
      <c r="Y959" s="516"/>
      <c r="Z959" s="516"/>
    </row>
    <row r="960" ht="14.25" customHeight="1">
      <c r="A960" s="516"/>
      <c r="B960" s="516"/>
      <c r="C960" s="517"/>
      <c r="D960" s="517"/>
      <c r="E960" s="517"/>
      <c r="F960" s="516"/>
      <c r="G960" s="516"/>
      <c r="H960" s="516"/>
      <c r="I960" s="516"/>
      <c r="J960" s="516"/>
      <c r="K960" s="516"/>
      <c r="L960" s="516"/>
      <c r="M960" s="516"/>
      <c r="N960" s="516"/>
      <c r="O960" s="516"/>
      <c r="P960" s="516"/>
      <c r="Q960" s="516"/>
      <c r="R960" s="516"/>
      <c r="S960" s="516"/>
      <c r="T960" s="516"/>
      <c r="U960" s="516"/>
      <c r="V960" s="516"/>
      <c r="W960" s="516"/>
      <c r="X960" s="516"/>
      <c r="Y960" s="516"/>
      <c r="Z960" s="516"/>
    </row>
    <row r="961" ht="14.25" customHeight="1">
      <c r="A961" s="516"/>
      <c r="B961" s="516"/>
      <c r="C961" s="517"/>
      <c r="D961" s="517"/>
      <c r="E961" s="517"/>
      <c r="F961" s="516"/>
      <c r="G961" s="516"/>
      <c r="H961" s="516"/>
      <c r="I961" s="516"/>
      <c r="J961" s="516"/>
      <c r="K961" s="516"/>
      <c r="L961" s="516"/>
      <c r="M961" s="516"/>
      <c r="N961" s="516"/>
      <c r="O961" s="516"/>
      <c r="P961" s="516"/>
      <c r="Q961" s="516"/>
      <c r="R961" s="516"/>
      <c r="S961" s="516"/>
      <c r="T961" s="516"/>
      <c r="U961" s="516"/>
      <c r="V961" s="516"/>
      <c r="W961" s="516"/>
      <c r="X961" s="516"/>
      <c r="Y961" s="516"/>
      <c r="Z961" s="516"/>
    </row>
  </sheetData>
  <mergeCells count="20">
    <mergeCell ref="B2:B3"/>
    <mergeCell ref="C2:G2"/>
    <mergeCell ref="H2:L2"/>
    <mergeCell ref="M2:Q2"/>
    <mergeCell ref="C22:G22"/>
    <mergeCell ref="H22:L22"/>
    <mergeCell ref="M22:Q22"/>
    <mergeCell ref="H59:L59"/>
    <mergeCell ref="M59:Q59"/>
    <mergeCell ref="B80:B81"/>
    <mergeCell ref="C80:G80"/>
    <mergeCell ref="H80:L80"/>
    <mergeCell ref="M80:Q80"/>
    <mergeCell ref="B22:B23"/>
    <mergeCell ref="B41:B42"/>
    <mergeCell ref="C41:G41"/>
    <mergeCell ref="H41:L41"/>
    <mergeCell ref="M41:Q41"/>
    <mergeCell ref="B59:B60"/>
    <mergeCell ref="C59:G5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5" max="5" width="9.29"/>
    <col customWidth="1" min="6" max="6" width="10.71"/>
    <col customWidth="1" min="7" max="7" width="1.86"/>
    <col customWidth="1" min="11" max="11" width="8.86"/>
    <col customWidth="1" min="12" max="12" width="9.43"/>
    <col customWidth="1" min="13" max="13" width="3.0"/>
    <col customWidth="1" min="14" max="14" width="12.43"/>
    <col customWidth="1" min="15" max="15" width="12.14"/>
    <col customWidth="1" min="16" max="17" width="13.0"/>
    <col customWidth="1" min="18" max="18" width="13.29"/>
  </cols>
  <sheetData>
    <row r="2">
      <c r="A2" s="542" t="s">
        <v>201</v>
      </c>
      <c r="B2" s="543" t="s">
        <v>63</v>
      </c>
      <c r="C2" s="544"/>
      <c r="D2" s="544"/>
      <c r="E2" s="544"/>
      <c r="F2" s="545"/>
      <c r="H2" s="546" t="s">
        <v>202</v>
      </c>
      <c r="I2" s="544"/>
      <c r="J2" s="544"/>
      <c r="K2" s="544"/>
      <c r="L2" s="545"/>
      <c r="N2" s="546" t="s">
        <v>202</v>
      </c>
      <c r="O2" s="544"/>
      <c r="P2" s="544"/>
      <c r="Q2" s="544"/>
      <c r="R2" s="545"/>
    </row>
    <row r="3">
      <c r="A3" s="547" t="s">
        <v>203</v>
      </c>
      <c r="B3" s="548" t="s">
        <v>204</v>
      </c>
      <c r="C3" s="548" t="s">
        <v>205</v>
      </c>
      <c r="D3" s="549" t="s">
        <v>206</v>
      </c>
      <c r="E3" s="550" t="s">
        <v>207</v>
      </c>
      <c r="F3" s="550" t="s">
        <v>208</v>
      </c>
      <c r="H3" s="548" t="s">
        <v>204</v>
      </c>
      <c r="I3" s="548" t="s">
        <v>205</v>
      </c>
      <c r="J3" s="549" t="s">
        <v>206</v>
      </c>
      <c r="K3" s="550" t="s">
        <v>207</v>
      </c>
      <c r="L3" s="550" t="s">
        <v>208</v>
      </c>
      <c r="N3" s="548" t="s">
        <v>204</v>
      </c>
      <c r="O3" s="548" t="s">
        <v>205</v>
      </c>
      <c r="P3" s="549" t="s">
        <v>206</v>
      </c>
      <c r="Q3" s="550" t="s">
        <v>207</v>
      </c>
      <c r="R3" s="550" t="s">
        <v>208</v>
      </c>
    </row>
    <row r="4">
      <c r="A4" s="551" t="s">
        <v>97</v>
      </c>
      <c r="B4" s="552">
        <v>929608.7600000001</v>
      </c>
      <c r="C4" s="552">
        <v>1174461.1900000002</v>
      </c>
      <c r="D4" s="552">
        <v>1189404.98</v>
      </c>
      <c r="E4" s="553">
        <v>0.11174566093106897</v>
      </c>
      <c r="F4" s="555">
        <v>0.11722186814898339</v>
      </c>
      <c r="G4" s="556"/>
      <c r="H4" s="552">
        <v>5653608.58</v>
      </c>
      <c r="I4" s="552">
        <v>6676432.45</v>
      </c>
      <c r="J4" s="552">
        <v>7037306.850000001</v>
      </c>
      <c r="K4" s="557">
        <v>0.11174566093106897</v>
      </c>
      <c r="L4" s="558">
        <v>0.11722186814898339</v>
      </c>
      <c r="M4" s="556"/>
      <c r="N4" s="559">
        <v>1.216389057E7</v>
      </c>
      <c r="O4" s="552">
        <v>1.3536551940000001E7</v>
      </c>
      <c r="P4" s="559">
        <v>1.4158809E7</v>
      </c>
      <c r="Q4" s="557">
        <v>0.009085789440941294</v>
      </c>
      <c r="R4" s="558">
        <v>0.07232718457801424</v>
      </c>
      <c r="S4" s="556"/>
      <c r="T4" s="556"/>
    </row>
    <row r="5">
      <c r="A5" s="560" t="s">
        <v>209</v>
      </c>
      <c r="B5" s="552">
        <v>51485.159999999996</v>
      </c>
      <c r="C5" s="552">
        <v>74832.27</v>
      </c>
      <c r="D5" s="552">
        <v>62788.130000000005</v>
      </c>
      <c r="E5" s="561">
        <v>-0.17419989466886887</v>
      </c>
      <c r="F5" s="562">
        <v>-0.5083172599907521</v>
      </c>
      <c r="G5" s="556"/>
      <c r="H5" s="552">
        <v>323660.1</v>
      </c>
      <c r="I5" s="552">
        <v>430047.33999999997</v>
      </c>
      <c r="J5" s="552">
        <v>509340.06999999995</v>
      </c>
      <c r="K5" s="557">
        <v>-0.17419989466886887</v>
      </c>
      <c r="L5" s="558">
        <v>-0.5083172599907521</v>
      </c>
      <c r="M5" s="556"/>
      <c r="N5" s="552">
        <v>799449.1099999999</v>
      </c>
      <c r="O5" s="552">
        <v>879064.09</v>
      </c>
      <c r="P5" s="559">
        <v>945916.0</v>
      </c>
      <c r="Q5" s="557">
        <v>-0.013432936973778786</v>
      </c>
      <c r="R5" s="558">
        <v>-0.4142030082365039</v>
      </c>
      <c r="S5" s="556"/>
      <c r="T5" s="556"/>
    </row>
    <row r="6">
      <c r="A6" s="551" t="s">
        <v>210</v>
      </c>
      <c r="B6" s="563">
        <f t="shared" ref="B6:D6" si="1">B4-B5</f>
        <v>878123.6</v>
      </c>
      <c r="C6" s="563">
        <f t="shared" si="1"/>
        <v>1099628.92</v>
      </c>
      <c r="D6" s="563">
        <f t="shared" si="1"/>
        <v>1126616.85</v>
      </c>
      <c r="E6" s="564">
        <f>IF(ISERROR((D6/C6)-1),"",(D6/C6-1))</f>
        <v>0.02454276121</v>
      </c>
      <c r="F6" s="555">
        <f>IF(ISERROR((D6/B6)-1),"",(D6/B6-1))</f>
        <v>0.2829820882</v>
      </c>
      <c r="G6" s="565"/>
      <c r="H6" s="563">
        <f t="shared" ref="H6:J6" si="2">H4-H5</f>
        <v>5329948.48</v>
      </c>
      <c r="I6" s="563">
        <f t="shared" si="2"/>
        <v>6246385.11</v>
      </c>
      <c r="J6" s="563">
        <f t="shared" si="2"/>
        <v>6527966.78</v>
      </c>
      <c r="K6" s="564">
        <f>IF(ISERROR((J6/I6)-1),"",(J6/I6-1))</f>
        <v>0.04507914018</v>
      </c>
      <c r="L6" s="555">
        <f>IF(ISERROR((J6/H6)-1),"",(J6/H6-1))</f>
        <v>0.2247710845</v>
      </c>
      <c r="M6" s="556"/>
      <c r="N6" s="563">
        <f t="shared" ref="N6:O6" si="3">N4-N5</f>
        <v>11364441.46</v>
      </c>
      <c r="O6" s="563">
        <f t="shared" si="3"/>
        <v>12657487.85</v>
      </c>
      <c r="P6" s="563">
        <f>P4-P5+1</f>
        <v>13212894</v>
      </c>
      <c r="Q6" s="564">
        <f>IF(ISERROR((P6/O6)-1),"",(P6/O6-1))</f>
        <v>0.04387965105</v>
      </c>
      <c r="R6" s="555">
        <f>IF(ISERROR((P6/N6)-1),"",(P6/N6-1))</f>
        <v>0.1626522999</v>
      </c>
      <c r="S6" s="556"/>
      <c r="T6" s="556"/>
    </row>
    <row r="7">
      <c r="A7" s="551" t="s">
        <v>109</v>
      </c>
      <c r="B7" s="563">
        <v>416791.7</v>
      </c>
      <c r="C7" s="566">
        <v>418150.0</v>
      </c>
      <c r="D7" s="563">
        <v>355146.77999999997</v>
      </c>
      <c r="E7" s="553">
        <v>-0.08568929193996422</v>
      </c>
      <c r="F7" s="567">
        <v>-0.14598120086661548</v>
      </c>
      <c r="G7" s="556"/>
      <c r="H7" s="563">
        <v>2348976.34</v>
      </c>
      <c r="I7" s="563">
        <v>2575514.88</v>
      </c>
      <c r="J7" s="563">
        <v>2300515.18</v>
      </c>
      <c r="K7" s="564">
        <v>-0.08568929193996422</v>
      </c>
      <c r="L7" s="555">
        <v>-0.14598120086661548</v>
      </c>
      <c r="M7" s="556"/>
      <c r="N7" s="563">
        <v>4739242.930000001</v>
      </c>
      <c r="O7" s="563">
        <v>4970717.4399999995</v>
      </c>
      <c r="P7" s="566">
        <v>4615387.0</v>
      </c>
      <c r="Q7" s="564">
        <v>-0.007135091120933246</v>
      </c>
      <c r="R7" s="555">
        <v>-0.03452302941167329</v>
      </c>
      <c r="S7" s="556"/>
      <c r="T7" s="556"/>
    </row>
    <row r="8">
      <c r="A8" s="569" t="s">
        <v>99</v>
      </c>
      <c r="B8" s="570">
        <f t="shared" ref="B8:D8" si="4">B6-B7</f>
        <v>461331.9</v>
      </c>
      <c r="C8" s="570">
        <f t="shared" si="4"/>
        <v>681478.92</v>
      </c>
      <c r="D8" s="570">
        <f t="shared" si="4"/>
        <v>771470.07</v>
      </c>
      <c r="E8" s="571">
        <f>IF(ISERROR((D8-C8)/ABS(C8)),"",(D8-C8)/ABS(C8))</f>
        <v>0.1320527273</v>
      </c>
      <c r="F8" s="572">
        <f>IF(ISERROR((D8-B8)/ABS(B8)),"",(D8-B8)/ABS(B8))</f>
        <v>0.6722669081</v>
      </c>
      <c r="G8" s="565"/>
      <c r="H8" s="573">
        <f>H6-H7-1</f>
        <v>2980971.14</v>
      </c>
      <c r="I8" s="573">
        <f>I6-I7+1</f>
        <v>3670871.23</v>
      </c>
      <c r="J8" s="573">
        <f>J6-J7</f>
        <v>4227451.6</v>
      </c>
      <c r="K8" s="577">
        <f>IF(ISERROR((J8/I8)-1),"",(J8/I8-1))</f>
        <v>0.1516207829</v>
      </c>
      <c r="L8" s="579">
        <f>IF(ISERROR((J8/H8)-1),"",(J8/H8-1))</f>
        <v>0.4181457657</v>
      </c>
      <c r="M8" s="580"/>
      <c r="N8" s="573">
        <f t="shared" ref="N8:P8" si="5">N6-N7</f>
        <v>6625198.53</v>
      </c>
      <c r="O8" s="573">
        <f t="shared" si="5"/>
        <v>7686770.41</v>
      </c>
      <c r="P8" s="573">
        <f t="shared" si="5"/>
        <v>8597507</v>
      </c>
      <c r="Q8" s="577">
        <f>IF(ISERROR((P8/O8)-1),"",(P8/O8-1))</f>
        <v>0.1184810449</v>
      </c>
      <c r="R8" s="579">
        <f>IF(ISERROR((P8/N8)-1),"",(P8/N8-1))</f>
        <v>0.2976980178</v>
      </c>
      <c r="S8" s="556"/>
      <c r="T8" s="556"/>
    </row>
    <row r="9">
      <c r="A9" s="551" t="s">
        <v>212</v>
      </c>
      <c r="B9" s="563">
        <v>89338.57</v>
      </c>
      <c r="C9" s="563">
        <v>107876.08</v>
      </c>
      <c r="D9" s="563">
        <v>109475.56999999999</v>
      </c>
      <c r="E9" s="584">
        <v>-0.0036024003970581667</v>
      </c>
      <c r="F9" s="586">
        <v>0.12027966458309935</v>
      </c>
      <c r="G9" s="556"/>
      <c r="H9" s="563">
        <v>533013.63</v>
      </c>
      <c r="I9" s="563">
        <v>640387.48</v>
      </c>
      <c r="J9" s="563">
        <v>644183.6</v>
      </c>
      <c r="K9" s="564">
        <v>-0.0036024003970581667</v>
      </c>
      <c r="L9" s="555">
        <v>0.12027966458309935</v>
      </c>
      <c r="M9" s="556"/>
      <c r="N9" s="563">
        <v>1109968.87</v>
      </c>
      <c r="O9" s="563">
        <v>1313135.98</v>
      </c>
      <c r="P9" s="566">
        <v>1276077.0</v>
      </c>
      <c r="Q9" s="564">
        <v>-2.811986023507594E-4</v>
      </c>
      <c r="R9" s="555">
        <v>0.19002251083790123</v>
      </c>
      <c r="S9" s="556"/>
      <c r="T9" s="556"/>
    </row>
    <row r="10">
      <c r="A10" s="551" t="s">
        <v>214</v>
      </c>
      <c r="B10" s="589">
        <f t="shared" ref="B10:D10" si="6">B8-B9</f>
        <v>371993.33</v>
      </c>
      <c r="C10" s="589">
        <f t="shared" si="6"/>
        <v>573602.84</v>
      </c>
      <c r="D10" s="589">
        <f t="shared" si="6"/>
        <v>661994.5</v>
      </c>
      <c r="E10" s="553">
        <f>IF(ISERROR((D10-C10)/ABS(C10)),"",(D10-C10)/ABS(C10))</f>
        <v>0.1540990627</v>
      </c>
      <c r="F10" s="555">
        <f>IF(ISERROR((D10-B10)/ABS(B10)),"",(D10-B10)/ABS(B10))</f>
        <v>0.7795870157</v>
      </c>
      <c r="G10" s="565"/>
      <c r="H10" s="589">
        <f>H8-H9+1</f>
        <v>2447958.51</v>
      </c>
      <c r="I10" s="589">
        <f t="shared" ref="I10:J10" si="7">I8-I9</f>
        <v>3030483.75</v>
      </c>
      <c r="J10" s="589">
        <f t="shared" si="7"/>
        <v>3583268</v>
      </c>
      <c r="K10" s="564">
        <f>IF(ISERROR((J10/I10)-1),"",(J10/I10-1))</f>
        <v>0.1824079241</v>
      </c>
      <c r="L10" s="555">
        <f>IF(ISERROR((J10/H10)-1),"",(J10/H10-1))</f>
        <v>0.4637780769</v>
      </c>
      <c r="M10" s="580"/>
      <c r="N10" s="589">
        <f t="shared" ref="N10:P10" si="8">N8-N9</f>
        <v>5515229.66</v>
      </c>
      <c r="O10" s="589">
        <f t="shared" si="8"/>
        <v>6373634.43</v>
      </c>
      <c r="P10" s="589">
        <f t="shared" si="8"/>
        <v>7321430</v>
      </c>
      <c r="Q10" s="564">
        <f>IF(ISERROR((P10/O10)-1),"",(P10/O10-1))</f>
        <v>0.1487056687</v>
      </c>
      <c r="R10" s="555">
        <f>IF(ISERROR((P10/N10)-1),"",(P10/N10-1))</f>
        <v>0.3274932236</v>
      </c>
      <c r="S10" s="556"/>
      <c r="T10" s="556"/>
    </row>
    <row r="11">
      <c r="A11" s="551" t="s">
        <v>216</v>
      </c>
      <c r="B11" s="589">
        <v>-1613.58</v>
      </c>
      <c r="C11" s="594">
        <v>-18417.53</v>
      </c>
      <c r="D11" s="589">
        <v>1966.24</v>
      </c>
      <c r="E11" s="564">
        <v>1.2684180510786014</v>
      </c>
      <c r="F11" s="555">
        <v>-0.653819156301516</v>
      </c>
      <c r="G11" s="580"/>
      <c r="H11" s="589">
        <v>185126.50999999998</v>
      </c>
      <c r="I11" s="594">
        <v>-110505.18</v>
      </c>
      <c r="J11" s="594">
        <v>41969.850000000006</v>
      </c>
      <c r="K11" s="564">
        <v>1.2684180510786014</v>
      </c>
      <c r="L11" s="555">
        <v>-0.653819156301516</v>
      </c>
      <c r="M11" s="580"/>
      <c r="N11" s="596">
        <v>295055.27</v>
      </c>
      <c r="O11" s="594">
        <v>-221010.36</v>
      </c>
      <c r="P11" s="596">
        <v>45386.0</v>
      </c>
      <c r="Q11" s="564">
        <v>0.10776342953444278</v>
      </c>
      <c r="R11" s="555">
        <v>-2.8734114450926116</v>
      </c>
      <c r="S11" s="556"/>
      <c r="T11" s="556"/>
    </row>
    <row r="12">
      <c r="A12" s="551" t="s">
        <v>217</v>
      </c>
      <c r="B12" s="594">
        <f t="shared" ref="B12:D12" si="9">B13-B14</f>
        <v>-43473.49</v>
      </c>
      <c r="C12" s="594">
        <f t="shared" si="9"/>
        <v>-106561.21</v>
      </c>
      <c r="D12" s="594">
        <f t="shared" si="9"/>
        <v>-63310.12</v>
      </c>
      <c r="E12" s="564">
        <v>0.19138804162860715</v>
      </c>
      <c r="F12" s="555">
        <v>0.3319001302811016</v>
      </c>
      <c r="G12" s="580"/>
      <c r="H12" s="594">
        <f t="shared" ref="H12:J12" si="10">H13-H14</f>
        <v>-263891.06</v>
      </c>
      <c r="I12" s="594">
        <f t="shared" si="10"/>
        <v>-661157.89</v>
      </c>
      <c r="J12" s="594">
        <f t="shared" si="10"/>
        <v>-469360.39</v>
      </c>
      <c r="K12" s="564">
        <v>0.19138804162860715</v>
      </c>
      <c r="L12" s="555">
        <v>0.3319001302811016</v>
      </c>
      <c r="M12" s="580"/>
      <c r="N12" s="594">
        <v>-853328.7499999998</v>
      </c>
      <c r="O12" s="594">
        <v>-1291119.9400000002</v>
      </c>
      <c r="P12" s="594">
        <f>P13-P14</f>
        <v>-1035893.71</v>
      </c>
      <c r="Q12" s="564">
        <v>0.01183851516690623</v>
      </c>
      <c r="R12" s="555">
        <v>-0.3385750441150005</v>
      </c>
      <c r="S12" s="556"/>
      <c r="T12" s="556"/>
    </row>
    <row r="13">
      <c r="A13" s="599" t="s">
        <v>218</v>
      </c>
      <c r="B13" s="600">
        <v>4729.04</v>
      </c>
      <c r="C13" s="600">
        <v>11717.42</v>
      </c>
      <c r="D13" s="600">
        <v>51684.24</v>
      </c>
      <c r="E13" s="601">
        <v>1.4742025974025976</v>
      </c>
      <c r="F13" s="602">
        <v>-0.4780046019993873</v>
      </c>
      <c r="G13" s="556"/>
      <c r="H13" s="600">
        <v>59212.479999999996</v>
      </c>
      <c r="I13" s="600">
        <v>65505.01</v>
      </c>
      <c r="J13" s="603">
        <v>219615.03999999998</v>
      </c>
      <c r="K13" s="604">
        <v>1.4742025974025976</v>
      </c>
      <c r="L13" s="605">
        <v>-0.4780046019993873</v>
      </c>
      <c r="M13" s="556"/>
      <c r="N13" s="600">
        <v>184397.22999999998</v>
      </c>
      <c r="O13" s="600">
        <v>111130.91</v>
      </c>
      <c r="P13" s="600">
        <v>335585.2299999999</v>
      </c>
      <c r="Q13" s="604">
        <v>0.07167697070689005</v>
      </c>
      <c r="R13" s="605">
        <v>-0.047642332080130356</v>
      </c>
      <c r="S13" s="556"/>
      <c r="T13" s="556"/>
    </row>
    <row r="14">
      <c r="A14" s="599" t="s">
        <v>219</v>
      </c>
      <c r="B14" s="600">
        <v>48202.53</v>
      </c>
      <c r="C14" s="600">
        <v>118278.63</v>
      </c>
      <c r="D14" s="600">
        <v>114994.36</v>
      </c>
      <c r="E14" s="606">
        <v>-0.09763484035771852</v>
      </c>
      <c r="F14" s="607">
        <v>-0.3595658571678052</v>
      </c>
      <c r="G14" s="556"/>
      <c r="H14" s="600">
        <v>323103.54</v>
      </c>
      <c r="I14" s="600">
        <v>726662.9</v>
      </c>
      <c r="J14" s="603">
        <v>688975.4299999999</v>
      </c>
      <c r="K14" s="604">
        <v>-0.09763484035771852</v>
      </c>
      <c r="L14" s="605">
        <v>-0.3595658571678052</v>
      </c>
      <c r="M14" s="556"/>
      <c r="N14" s="600">
        <v>1037725.9799999997</v>
      </c>
      <c r="O14" s="600">
        <v>1402250.85</v>
      </c>
      <c r="P14" s="600">
        <v>1371478.9399999997</v>
      </c>
      <c r="Q14" s="604">
        <v>-0.005948168749772442</v>
      </c>
      <c r="R14" s="605">
        <v>0.29853325305714584</v>
      </c>
      <c r="S14" s="556"/>
      <c r="T14" s="556"/>
    </row>
    <row r="15">
      <c r="A15" s="551" t="s">
        <v>220</v>
      </c>
      <c r="B15" s="589">
        <f t="shared" ref="B15:D15" si="11">B10+B11+B12</f>
        <v>326906.26</v>
      </c>
      <c r="C15" s="589">
        <f t="shared" si="11"/>
        <v>448624.1</v>
      </c>
      <c r="D15" s="589">
        <f t="shared" si="11"/>
        <v>600650.62</v>
      </c>
      <c r="E15" s="564">
        <f>IF(ISERROR((D15-C15)/ABS(C15)),"",(D15-C15)/ABS(C15))</f>
        <v>0.3388728336</v>
      </c>
      <c r="F15" s="555">
        <f>IF(ISERROR((D15-B15)/ABS(B15)),"",(D15-B15)/ABS(B15))</f>
        <v>0.8373787642</v>
      </c>
      <c r="G15" s="565"/>
      <c r="H15" s="608">
        <f>H10+H11+H12</f>
        <v>2369193.96</v>
      </c>
      <c r="I15" s="608">
        <f>I10+I11+I12-1</f>
        <v>2258819.68</v>
      </c>
      <c r="J15" s="608">
        <f>J10+J11+J12</f>
        <v>3155877.46</v>
      </c>
      <c r="K15" s="609">
        <f>IF(ISERROR((J15/I15)-1),"",(J15/I15-1))</f>
        <v>0.3971356315</v>
      </c>
      <c r="L15" s="610">
        <f>IF(ISERROR((J15/H15)-1),"",(J15/H15-1))</f>
        <v>0.3320468958</v>
      </c>
      <c r="M15" s="580"/>
      <c r="N15" s="608">
        <f t="shared" ref="N15:P15" si="12">N10+N11+N12</f>
        <v>4956956.18</v>
      </c>
      <c r="O15" s="608">
        <f t="shared" si="12"/>
        <v>4861504.13</v>
      </c>
      <c r="P15" s="608">
        <f t="shared" si="12"/>
        <v>6330922.29</v>
      </c>
      <c r="Q15" s="609">
        <f>IF(ISERROR((P15/O15)-1),"",(P15/O15-1))</f>
        <v>0.3022558699</v>
      </c>
      <c r="R15" s="610">
        <f>IF(ISERROR((P15/N15)-1),"",(P15/N15-1))</f>
        <v>0.277179394</v>
      </c>
      <c r="S15" s="556"/>
      <c r="T15" s="556"/>
    </row>
    <row r="16">
      <c r="A16" s="599" t="s">
        <v>221</v>
      </c>
      <c r="B16" s="600">
        <v>99926.97</v>
      </c>
      <c r="C16" s="611">
        <v>127833.0</v>
      </c>
      <c r="D16" s="600">
        <v>152663.63</v>
      </c>
      <c r="E16" s="601">
        <v>0.15893095143924052</v>
      </c>
      <c r="F16" s="601">
        <v>1.0272363421657134</v>
      </c>
      <c r="G16" s="556"/>
      <c r="H16" s="600">
        <v>618359.55</v>
      </c>
      <c r="I16" s="600">
        <v>769642.07</v>
      </c>
      <c r="J16" s="603">
        <v>850702.92</v>
      </c>
      <c r="K16" s="604">
        <v>0.15893095143924052</v>
      </c>
      <c r="L16" s="605">
        <v>1.0272363421657134</v>
      </c>
      <c r="M16" s="556"/>
      <c r="N16" s="600">
        <v>1340736.79</v>
      </c>
      <c r="O16" s="611">
        <v>1462005.22</v>
      </c>
      <c r="P16" s="613">
        <v>1691415.0</v>
      </c>
      <c r="Q16" s="604">
        <v>0.01282911947809584</v>
      </c>
      <c r="R16" s="605">
        <v>0.884755969508807</v>
      </c>
      <c r="S16" s="556"/>
      <c r="T16" s="556"/>
    </row>
    <row r="17">
      <c r="A17" s="569" t="s">
        <v>222</v>
      </c>
      <c r="B17" s="570">
        <f t="shared" ref="B17:D17" si="13">B15-B16</f>
        <v>226979.29</v>
      </c>
      <c r="C17" s="570">
        <f t="shared" si="13"/>
        <v>320791.1</v>
      </c>
      <c r="D17" s="570">
        <f t="shared" si="13"/>
        <v>447986.99</v>
      </c>
      <c r="E17" s="615">
        <f>IF(ISERROR((D17-C17)/ABS(C17)),"",(D17-C17)/ABS(C17))</f>
        <v>0.3965069168</v>
      </c>
      <c r="F17" s="572">
        <f>IF(ISERROR((D17-B17)/ABS(B17)),"",(D17-B17)/ABS(B17))</f>
        <v>0.9736910359</v>
      </c>
      <c r="G17" s="565"/>
      <c r="H17" s="573">
        <f t="shared" ref="H17:J17" si="14">H15-H16</f>
        <v>1750834.41</v>
      </c>
      <c r="I17" s="573">
        <f t="shared" si="14"/>
        <v>1489177.61</v>
      </c>
      <c r="J17" s="573">
        <f t="shared" si="14"/>
        <v>2305174.54</v>
      </c>
      <c r="K17" s="577">
        <f t="shared" ref="K17:K20" si="17">IF(ISERROR((J17/I17)-1),"",(J17/I17-1))</f>
        <v>0.5479513824</v>
      </c>
      <c r="L17" s="579">
        <f t="shared" ref="L17:L20" si="18">IF(ISERROR((J17/H17)-1),"",(J17/H17-1))</f>
        <v>0.3166148248</v>
      </c>
      <c r="M17" s="580"/>
      <c r="N17" s="573">
        <f t="shared" ref="N17:O17" si="15">N15-N16</f>
        <v>3616219.39</v>
      </c>
      <c r="O17" s="573">
        <f t="shared" si="15"/>
        <v>3399498.91</v>
      </c>
      <c r="P17" s="573">
        <f>P15-P16+P18</f>
        <v>4639507.29</v>
      </c>
      <c r="Q17" s="577">
        <f>IF(ISERROR((P17/O17)-1),"",(P17/O17-1))</f>
        <v>0.3647621055</v>
      </c>
      <c r="R17" s="579">
        <f>IF(ISERROR((P17/N17)-1),"",(P17/N17-1))</f>
        <v>0.2829717419</v>
      </c>
      <c r="S17" s="556"/>
      <c r="T17" s="556"/>
    </row>
    <row r="18">
      <c r="A18" s="617" t="s">
        <v>223</v>
      </c>
      <c r="B18" s="618">
        <f t="shared" ref="B18:D18" si="16">IFERROR(B17/B6,"")</f>
        <v>0.2584821658</v>
      </c>
      <c r="C18" s="618">
        <f t="shared" si="16"/>
        <v>0.2917266854</v>
      </c>
      <c r="D18" s="618">
        <f t="shared" si="16"/>
        <v>0.3976391708</v>
      </c>
      <c r="E18" s="619"/>
      <c r="F18" s="620"/>
      <c r="G18" s="621"/>
      <c r="H18" s="618"/>
      <c r="I18" s="618"/>
      <c r="J18" s="618"/>
      <c r="K18" s="622" t="str">
        <f t="shared" si="17"/>
        <v/>
      </c>
      <c r="L18" s="624" t="str">
        <f t="shared" si="18"/>
        <v/>
      </c>
      <c r="M18" s="625"/>
      <c r="N18" s="626"/>
      <c r="O18" s="625"/>
      <c r="P18" s="627"/>
      <c r="Q18" s="621"/>
      <c r="R18" s="628"/>
      <c r="S18" s="629"/>
      <c r="T18" s="628"/>
      <c r="U18" s="628"/>
      <c r="V18" s="628"/>
      <c r="W18" s="628"/>
      <c r="X18" s="628"/>
      <c r="Y18" s="628"/>
      <c r="Z18" s="628"/>
    </row>
    <row r="19">
      <c r="A19" s="631"/>
      <c r="B19" s="633"/>
      <c r="C19" s="633"/>
      <c r="D19" s="633"/>
      <c r="E19" s="634"/>
      <c r="F19" s="636"/>
      <c r="G19" s="628"/>
      <c r="H19" s="633"/>
      <c r="I19" s="633"/>
      <c r="J19" s="633"/>
      <c r="K19" s="638" t="str">
        <f t="shared" si="17"/>
        <v/>
      </c>
      <c r="L19" s="639" t="str">
        <f t="shared" si="18"/>
        <v/>
      </c>
      <c r="M19" s="641"/>
      <c r="N19" s="641"/>
      <c r="O19" s="641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</row>
    <row r="20">
      <c r="A20" s="628"/>
      <c r="B20" s="628"/>
      <c r="C20" s="629"/>
      <c r="D20" s="629"/>
      <c r="E20" s="629"/>
      <c r="F20" s="628"/>
      <c r="G20" s="628"/>
      <c r="H20" s="628"/>
      <c r="I20" s="629"/>
      <c r="J20" s="629"/>
      <c r="K20" s="622" t="str">
        <f t="shared" si="17"/>
        <v/>
      </c>
      <c r="L20" s="643" t="str">
        <f t="shared" si="18"/>
        <v/>
      </c>
      <c r="M20" s="628"/>
      <c r="N20" s="644"/>
      <c r="O20" s="644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</row>
    <row r="21">
      <c r="A21" s="542" t="s">
        <v>228</v>
      </c>
      <c r="B21" s="543" t="s">
        <v>63</v>
      </c>
      <c r="C21" s="544"/>
      <c r="D21" s="544"/>
      <c r="E21" s="544"/>
      <c r="F21" s="545"/>
      <c r="H21" s="546" t="s">
        <v>202</v>
      </c>
      <c r="I21" s="544"/>
      <c r="J21" s="544"/>
      <c r="K21" s="544"/>
      <c r="L21" s="545"/>
      <c r="N21" s="546" t="s">
        <v>202</v>
      </c>
      <c r="O21" s="544"/>
      <c r="P21" s="544"/>
      <c r="Q21" s="544"/>
      <c r="R21" s="545"/>
      <c r="S21" s="628"/>
      <c r="T21" s="628"/>
      <c r="U21" s="628"/>
      <c r="V21" s="628"/>
      <c r="W21" s="628"/>
      <c r="X21" s="628"/>
      <c r="Y21" s="628"/>
      <c r="Z21" s="628"/>
    </row>
    <row r="22">
      <c r="A22" s="547" t="s">
        <v>203</v>
      </c>
      <c r="B22" s="548" t="s">
        <v>204</v>
      </c>
      <c r="C22" s="548" t="s">
        <v>205</v>
      </c>
      <c r="D22" s="549" t="s">
        <v>206</v>
      </c>
      <c r="E22" s="550" t="s">
        <v>207</v>
      </c>
      <c r="F22" s="550" t="s">
        <v>208</v>
      </c>
      <c r="H22" s="548" t="s">
        <v>204</v>
      </c>
      <c r="I22" s="548" t="s">
        <v>205</v>
      </c>
      <c r="J22" s="549" t="s">
        <v>206</v>
      </c>
      <c r="K22" s="550" t="s">
        <v>207</v>
      </c>
      <c r="L22" s="550" t="s">
        <v>208</v>
      </c>
      <c r="N22" s="548" t="s">
        <v>204</v>
      </c>
      <c r="O22" s="548" t="s">
        <v>205</v>
      </c>
      <c r="P22" s="549" t="s">
        <v>206</v>
      </c>
      <c r="Q22" s="550" t="s">
        <v>207</v>
      </c>
      <c r="R22" s="550" t="s">
        <v>208</v>
      </c>
      <c r="S22" s="628"/>
      <c r="T22" s="628"/>
      <c r="U22" s="628"/>
      <c r="V22" s="628"/>
      <c r="W22" s="628"/>
      <c r="X22" s="628"/>
      <c r="Y22" s="628"/>
      <c r="Z22" s="628"/>
    </row>
    <row r="23">
      <c r="A23" s="551" t="s">
        <v>97</v>
      </c>
      <c r="B23" s="647">
        <v>196495.05</v>
      </c>
      <c r="C23" s="647">
        <v>208347.97</v>
      </c>
      <c r="D23" s="647">
        <v>222852.59</v>
      </c>
      <c r="E23" s="553">
        <v>0.043840992700517445</v>
      </c>
      <c r="F23" s="555">
        <v>0.12299698098563705</v>
      </c>
      <c r="G23" s="648"/>
      <c r="H23" s="647">
        <v>1164668.32</v>
      </c>
      <c r="I23" s="647">
        <v>1248604.0999999999</v>
      </c>
      <c r="J23" s="647">
        <v>1294671.7699999998</v>
      </c>
      <c r="K23" s="557">
        <v>0.043840992700517445</v>
      </c>
      <c r="L23" s="558">
        <v>0.12299698098563705</v>
      </c>
      <c r="M23" s="648"/>
      <c r="N23" s="647">
        <v>2393662.8899999997</v>
      </c>
      <c r="O23" s="647">
        <v>2504961.89</v>
      </c>
      <c r="P23" s="649">
        <v>2585272.0</v>
      </c>
      <c r="Q23" s="557">
        <v>0.0036196178933427525</v>
      </c>
      <c r="R23" s="558">
        <v>0.02807466852316387</v>
      </c>
      <c r="S23" s="628"/>
      <c r="T23" s="628"/>
      <c r="U23" s="628"/>
      <c r="V23" s="628"/>
      <c r="W23" s="628"/>
      <c r="X23" s="628"/>
      <c r="Y23" s="628"/>
      <c r="Z23" s="628"/>
    </row>
    <row r="24">
      <c r="A24" s="560" t="s">
        <v>209</v>
      </c>
      <c r="B24" s="647">
        <v>7172.07</v>
      </c>
      <c r="C24" s="647">
        <v>7604.7</v>
      </c>
      <c r="D24" s="647">
        <v>8134.12</v>
      </c>
      <c r="E24" s="561">
        <v>0.043840006665645026</v>
      </c>
      <c r="F24" s="562">
        <v>0.12299573094893956</v>
      </c>
      <c r="G24" s="648"/>
      <c r="H24" s="647">
        <v>42910.42</v>
      </c>
      <c r="I24" s="647">
        <v>45574.03999999999</v>
      </c>
      <c r="J24" s="647">
        <v>48365.33</v>
      </c>
      <c r="K24" s="557">
        <v>0.043840006665645026</v>
      </c>
      <c r="L24" s="558">
        <v>0.12299573094893956</v>
      </c>
      <c r="M24" s="648"/>
      <c r="N24" s="647">
        <v>88628.09999999999</v>
      </c>
      <c r="O24" s="647">
        <v>91431.1</v>
      </c>
      <c r="P24" s="649">
        <v>95472.0</v>
      </c>
      <c r="Q24" s="557">
        <v>0.0036195387529573964</v>
      </c>
      <c r="R24" s="558">
        <v>0.02807459865791695</v>
      </c>
      <c r="S24" s="628"/>
      <c r="T24" s="628"/>
      <c r="U24" s="628"/>
      <c r="V24" s="628"/>
      <c r="W24" s="628"/>
      <c r="X24" s="628"/>
      <c r="Y24" s="628"/>
      <c r="Z24" s="628"/>
    </row>
    <row r="25">
      <c r="A25" s="551" t="s">
        <v>210</v>
      </c>
      <c r="B25" s="563">
        <f t="shared" ref="B25:D25" si="19">B23-B24</f>
        <v>189322.98</v>
      </c>
      <c r="C25" s="563">
        <f t="shared" si="19"/>
        <v>200743.27</v>
      </c>
      <c r="D25" s="563">
        <f t="shared" si="19"/>
        <v>214718.47</v>
      </c>
      <c r="E25" s="564">
        <f>IF(ISERROR((D25/C25)-1),"",(D25/C25-1))</f>
        <v>0.06961727783</v>
      </c>
      <c r="F25" s="555">
        <f>IF(ISERROR((D25/B25)-1),"",(D25/B25-1))</f>
        <v>0.1341384443</v>
      </c>
      <c r="G25" s="565"/>
      <c r="H25" s="563">
        <f t="shared" ref="H25:J25" si="20">H23-H24</f>
        <v>1121757.9</v>
      </c>
      <c r="I25" s="563">
        <f t="shared" si="20"/>
        <v>1203030.06</v>
      </c>
      <c r="J25" s="563">
        <f t="shared" si="20"/>
        <v>1246306.44</v>
      </c>
      <c r="K25" s="564">
        <f>IF(ISERROR((J25/I25)-1),"",(J25/I25-1))</f>
        <v>0.03597281684</v>
      </c>
      <c r="L25" s="555">
        <f>IF(ISERROR((J25/H25)-1),"",(J25/H25-1))</f>
        <v>0.1110297864</v>
      </c>
      <c r="M25" s="556"/>
      <c r="N25" s="563">
        <f t="shared" ref="N25:P25" si="21">N23-N24</f>
        <v>2305034.79</v>
      </c>
      <c r="O25" s="563">
        <f t="shared" si="21"/>
        <v>2413530.79</v>
      </c>
      <c r="P25" s="563">
        <f t="shared" si="21"/>
        <v>2489800</v>
      </c>
      <c r="Q25" s="564">
        <f>IF(ISERROR((P25/O25)-1),"",(P25/O25-1))</f>
        <v>0.03160067827</v>
      </c>
      <c r="R25" s="555">
        <f>IF(ISERROR((P25/N25)-1),"",(P25/N25-1))</f>
        <v>0.08015723268</v>
      </c>
      <c r="S25" s="628"/>
      <c r="T25" s="628"/>
      <c r="U25" s="628"/>
      <c r="V25" s="628"/>
      <c r="W25" s="628"/>
      <c r="X25" s="628"/>
      <c r="Y25" s="628"/>
      <c r="Z25" s="628"/>
    </row>
    <row r="26">
      <c r="A26" s="551" t="s">
        <v>109</v>
      </c>
      <c r="B26" s="660">
        <v>81523.84</v>
      </c>
      <c r="C26" s="660">
        <v>93264.29000000001</v>
      </c>
      <c r="D26" s="660">
        <v>92098.84</v>
      </c>
      <c r="E26" s="553">
        <v>0.11429080066998787</v>
      </c>
      <c r="F26" s="567">
        <v>0.25302373783772447</v>
      </c>
      <c r="G26" s="648"/>
      <c r="H26" s="660">
        <v>507263.38</v>
      </c>
      <c r="I26" s="660">
        <v>579168.1100000001</v>
      </c>
      <c r="J26" s="660">
        <v>543024.65</v>
      </c>
      <c r="K26" s="564">
        <v>0.11429080066998787</v>
      </c>
      <c r="L26" s="555">
        <v>0.25302373783772447</v>
      </c>
      <c r="M26" s="648"/>
      <c r="N26" s="660">
        <v>1016373.3200000001</v>
      </c>
      <c r="O26" s="660">
        <v>1111038.82</v>
      </c>
      <c r="P26" s="663">
        <v>1089092.0</v>
      </c>
      <c r="Q26" s="564">
        <v>0.008785082874971817</v>
      </c>
      <c r="R26" s="555">
        <v>0.0799602162277655</v>
      </c>
      <c r="S26" s="628"/>
      <c r="T26" s="628"/>
      <c r="U26" s="628"/>
      <c r="V26" s="628"/>
      <c r="W26" s="628"/>
      <c r="X26" s="628"/>
      <c r="Y26" s="628"/>
      <c r="Z26" s="628"/>
    </row>
    <row r="27">
      <c r="A27" s="569" t="s">
        <v>99</v>
      </c>
      <c r="B27" s="570">
        <f>B25-B26</f>
        <v>107799.14</v>
      </c>
      <c r="C27" s="570">
        <f>C25-C26-1</f>
        <v>107477.98</v>
      </c>
      <c r="D27" s="570">
        <f>D25-D26</f>
        <v>122619.63</v>
      </c>
      <c r="E27" s="571">
        <f>IF(ISERROR((D27-C27)/ABS(C27)),"",(D27-C27)/ABS(C27))</f>
        <v>0.1408814159</v>
      </c>
      <c r="F27" s="572">
        <f>IF(ISERROR((D27-B27)/ABS(B27)),"",(D27-B27)/ABS(B27))</f>
        <v>0.1374824512</v>
      </c>
      <c r="G27" s="565"/>
      <c r="H27" s="573">
        <f>H25-H26-1</f>
        <v>614493.52</v>
      </c>
      <c r="I27" s="573">
        <f t="shared" ref="I27:J27" si="22">I25-I26</f>
        <v>623861.95</v>
      </c>
      <c r="J27" s="573">
        <f t="shared" si="22"/>
        <v>703281.79</v>
      </c>
      <c r="K27" s="577">
        <f>IF(ISERROR((J27/I27)-1),"",(J27/I27-1))</f>
        <v>0.1273035485</v>
      </c>
      <c r="L27" s="579">
        <f>IF(ISERROR((J27/H27)-1),"",(J27/H27-1))</f>
        <v>0.1444901648</v>
      </c>
      <c r="M27" s="580"/>
      <c r="N27" s="573">
        <f t="shared" ref="N27:P27" si="23">N25-N26</f>
        <v>1288661.47</v>
      </c>
      <c r="O27" s="573">
        <f t="shared" si="23"/>
        <v>1302491.97</v>
      </c>
      <c r="P27" s="573">
        <f t="shared" si="23"/>
        <v>1400708</v>
      </c>
      <c r="Q27" s="577">
        <f>IF(ISERROR((P27/O27)-1),"",(P27/O27-1))</f>
        <v>0.07540624607</v>
      </c>
      <c r="R27" s="579">
        <f>IF(ISERROR((P27/N27)-1),"",(P27/N27-1))</f>
        <v>0.08694799419</v>
      </c>
      <c r="S27" s="628"/>
      <c r="T27" s="628"/>
      <c r="U27" s="628"/>
      <c r="V27" s="628"/>
      <c r="W27" s="628"/>
      <c r="X27" s="628"/>
      <c r="Y27" s="628"/>
      <c r="Z27" s="628"/>
    </row>
    <row r="28">
      <c r="A28" s="551" t="s">
        <v>212</v>
      </c>
      <c r="B28" s="660">
        <v>4717.74</v>
      </c>
      <c r="C28" s="660">
        <v>5722.09</v>
      </c>
      <c r="D28" s="660">
        <v>5364.82</v>
      </c>
      <c r="E28" s="584">
        <v>0.015242386876440417</v>
      </c>
      <c r="F28" s="586">
        <v>0.04978638184245665</v>
      </c>
      <c r="G28" s="648"/>
      <c r="H28" s="660">
        <v>28306.439999999995</v>
      </c>
      <c r="I28" s="660">
        <v>33868.35</v>
      </c>
      <c r="J28" s="660">
        <v>32288.15</v>
      </c>
      <c r="K28" s="564">
        <v>0.015242386876440417</v>
      </c>
      <c r="L28" s="555">
        <v>0.04978638184245665</v>
      </c>
      <c r="M28" s="648"/>
      <c r="N28" s="660">
        <v>57548.76000000001</v>
      </c>
      <c r="O28" s="660">
        <v>68200.88999999998</v>
      </c>
      <c r="P28" s="663">
        <v>66621.0</v>
      </c>
      <c r="Q28" s="564">
        <v>0.0010957779211036023</v>
      </c>
      <c r="R28" s="555">
        <v>0.18369550981165417</v>
      </c>
      <c r="S28" s="628"/>
      <c r="T28" s="628"/>
      <c r="U28" s="628"/>
      <c r="V28" s="628"/>
      <c r="W28" s="628"/>
      <c r="X28" s="628"/>
      <c r="Y28" s="628"/>
      <c r="Z28" s="628"/>
    </row>
    <row r="29">
      <c r="A29" s="551" t="s">
        <v>214</v>
      </c>
      <c r="B29" s="660">
        <f t="shared" ref="B29:D29" si="24">B27-B28</f>
        <v>103081.4</v>
      </c>
      <c r="C29" s="660">
        <f t="shared" si="24"/>
        <v>101755.89</v>
      </c>
      <c r="D29" s="660">
        <f t="shared" si="24"/>
        <v>117254.81</v>
      </c>
      <c r="E29" s="553">
        <f>IF(ISERROR((D29-C29)/ABS(C29)),"",(D29-C29)/ABS(C29))</f>
        <v>0.152314721</v>
      </c>
      <c r="F29" s="555">
        <f>IF(ISERROR((D29-B29)/ABS(B29)),"",(D29-B29)/ABS(B29))</f>
        <v>0.1374972594</v>
      </c>
      <c r="G29" s="565"/>
      <c r="H29" s="660">
        <f t="shared" ref="H29:J29" si="25">H27-H28</f>
        <v>586187.08</v>
      </c>
      <c r="I29" s="660">
        <f t="shared" si="25"/>
        <v>589993.6</v>
      </c>
      <c r="J29" s="660">
        <f t="shared" si="25"/>
        <v>670993.64</v>
      </c>
      <c r="K29" s="564">
        <f>IF(ISERROR((J29/I29)-1),"",(J29/I29-1))</f>
        <v>0.1372896926</v>
      </c>
      <c r="L29" s="555">
        <f>IF(ISERROR((J29/H29)-1),"",(J29/H29-1))</f>
        <v>0.1446749048</v>
      </c>
      <c r="M29" s="580"/>
      <c r="N29" s="589">
        <f t="shared" ref="N29:P29" si="26">N27-N28</f>
        <v>1231112.71</v>
      </c>
      <c r="O29" s="589">
        <f t="shared" si="26"/>
        <v>1234291.08</v>
      </c>
      <c r="P29" s="589">
        <f t="shared" si="26"/>
        <v>1334087</v>
      </c>
      <c r="Q29" s="564">
        <f>IF(ISERROR((P29/O29)-1),"",(P29/O29-1))</f>
        <v>0.08085282444</v>
      </c>
      <c r="R29" s="555">
        <f>IF(ISERROR((P29/N29)-1),"",(P29/N29-1))</f>
        <v>0.08364326772</v>
      </c>
      <c r="S29" s="628"/>
      <c r="T29" s="628"/>
      <c r="U29" s="628"/>
      <c r="V29" s="628"/>
      <c r="W29" s="628"/>
      <c r="X29" s="628"/>
      <c r="Y29" s="628"/>
      <c r="Z29" s="628"/>
    </row>
    <row r="30">
      <c r="A30" s="551" t="s">
        <v>216</v>
      </c>
      <c r="B30" s="660">
        <v>1971.07</v>
      </c>
      <c r="C30" s="671">
        <v>1723.2</v>
      </c>
      <c r="D30" s="660">
        <v>1546.65</v>
      </c>
      <c r="E30" s="564">
        <v>-0.49939832776613624</v>
      </c>
      <c r="F30" s="555">
        <v>2.12</v>
      </c>
      <c r="G30" s="648"/>
      <c r="H30" s="660">
        <v>14781.759999999998</v>
      </c>
      <c r="I30" s="671">
        <v>10515.120000000003</v>
      </c>
      <c r="J30" s="671">
        <v>12689.6</v>
      </c>
      <c r="K30" s="564">
        <v>-0.49939832776613624</v>
      </c>
      <c r="L30" s="555">
        <v>-0.5121144873395646</v>
      </c>
      <c r="M30" s="648"/>
      <c r="N30" s="660">
        <v>23884.54</v>
      </c>
      <c r="O30" s="660">
        <v>23808.090000000004</v>
      </c>
      <c r="P30" s="663">
        <v>25983.0</v>
      </c>
      <c r="Q30" s="564">
        <v>-0.0432513096860615</v>
      </c>
      <c r="R30" s="555">
        <v>0.20863433463437775</v>
      </c>
      <c r="S30" s="628"/>
      <c r="T30" s="628"/>
      <c r="U30" s="628"/>
      <c r="V30" s="628"/>
      <c r="W30" s="628"/>
      <c r="X30" s="628"/>
      <c r="Y30" s="628"/>
      <c r="Z30" s="628"/>
    </row>
    <row r="31">
      <c r="A31" s="551" t="s">
        <v>217</v>
      </c>
      <c r="B31" s="671">
        <f t="shared" ref="B31:D31" si="27">B32-B33</f>
        <v>-16.28</v>
      </c>
      <c r="C31" s="671">
        <f t="shared" si="27"/>
        <v>-881.76</v>
      </c>
      <c r="D31" s="671">
        <f t="shared" si="27"/>
        <v>-1116.63</v>
      </c>
      <c r="E31" s="564">
        <v>48.84075</v>
      </c>
      <c r="F31" s="555">
        <v>1.2718477085344162</v>
      </c>
      <c r="G31" s="648"/>
      <c r="H31" s="671">
        <f t="shared" ref="H31:J31" si="28">H32-H33</f>
        <v>3873.13</v>
      </c>
      <c r="I31" s="671">
        <f t="shared" si="28"/>
        <v>-5598.99</v>
      </c>
      <c r="J31" s="671">
        <f t="shared" si="28"/>
        <v>-2932.25</v>
      </c>
      <c r="K31" s="564">
        <v>47.84075</v>
      </c>
      <c r="L31" s="555">
        <v>1.2718477085344162</v>
      </c>
      <c r="M31" s="648"/>
      <c r="N31" s="676">
        <f t="shared" ref="N31:P31" si="29">N32-N33</f>
        <v>2802.5</v>
      </c>
      <c r="O31" s="676">
        <f t="shared" si="29"/>
        <v>-10980.86</v>
      </c>
      <c r="P31" s="671">
        <f t="shared" si="29"/>
        <v>-8314.12</v>
      </c>
      <c r="Q31" s="564">
        <v>5.556261904761898</v>
      </c>
      <c r="R31" s="555">
        <v>-0.8345891148901907</v>
      </c>
      <c r="S31" s="628"/>
      <c r="T31" s="628"/>
      <c r="U31" s="628"/>
      <c r="V31" s="628"/>
      <c r="W31" s="628"/>
      <c r="X31" s="628"/>
      <c r="Y31" s="628"/>
      <c r="Z31" s="628"/>
    </row>
    <row r="32">
      <c r="A32" s="599" t="s">
        <v>218</v>
      </c>
      <c r="B32" s="677">
        <v>2048.2</v>
      </c>
      <c r="C32" s="677">
        <v>1550.0</v>
      </c>
      <c r="D32" s="677">
        <v>1967.12</v>
      </c>
      <c r="E32" s="601">
        <v>1.5725214285714286</v>
      </c>
      <c r="F32" s="602">
        <v>0.5237089936792942</v>
      </c>
      <c r="G32" s="648"/>
      <c r="H32" s="677">
        <v>15608.760000000002</v>
      </c>
      <c r="I32" s="677">
        <v>9300.0</v>
      </c>
      <c r="J32" s="678">
        <v>12903.490000000002</v>
      </c>
      <c r="K32" s="604">
        <v>1.5725214285714286</v>
      </c>
      <c r="L32" s="605">
        <v>0.5237089936792942</v>
      </c>
      <c r="M32" s="648"/>
      <c r="N32" s="677">
        <v>28142.4</v>
      </c>
      <c r="O32" s="677">
        <v>18600.0</v>
      </c>
      <c r="P32" s="678">
        <v>22203.49</v>
      </c>
      <c r="Q32" s="604">
        <v>0.13104345238095227</v>
      </c>
      <c r="R32" s="605">
        <v>-0.40136427547753895</v>
      </c>
      <c r="S32" s="628"/>
      <c r="T32" s="628"/>
      <c r="U32" s="628"/>
      <c r="V32" s="628"/>
      <c r="W32" s="628"/>
      <c r="X32" s="628"/>
      <c r="Y32" s="628"/>
      <c r="Z32" s="628"/>
    </row>
    <row r="33">
      <c r="A33" s="599" t="s">
        <v>219</v>
      </c>
      <c r="B33" s="677">
        <v>2064.48</v>
      </c>
      <c r="C33" s="677">
        <v>2431.76</v>
      </c>
      <c r="D33" s="677">
        <v>3083.75</v>
      </c>
      <c r="E33" s="606">
        <v>0.21169117647058822</v>
      </c>
      <c r="F33" s="607">
        <v>0.09587492435477118</v>
      </c>
      <c r="G33" s="648"/>
      <c r="H33" s="677">
        <v>11735.63</v>
      </c>
      <c r="I33" s="677">
        <v>14898.99</v>
      </c>
      <c r="J33" s="678">
        <v>15835.740000000002</v>
      </c>
      <c r="K33" s="604">
        <v>0.21169117647058822</v>
      </c>
      <c r="L33" s="605">
        <v>0.09587492435477118</v>
      </c>
      <c r="M33" s="648"/>
      <c r="N33" s="677">
        <v>25339.899999999998</v>
      </c>
      <c r="O33" s="677">
        <v>29580.86</v>
      </c>
      <c r="P33" s="678">
        <v>30517.61</v>
      </c>
      <c r="Q33" s="604">
        <v>0.017576312576312647</v>
      </c>
      <c r="R33" s="605">
        <v>-0.05474922178535968</v>
      </c>
      <c r="S33" s="628"/>
      <c r="T33" s="628"/>
      <c r="U33" s="628"/>
      <c r="V33" s="628"/>
      <c r="W33" s="628"/>
      <c r="X33" s="628"/>
      <c r="Y33" s="628"/>
      <c r="Z33" s="628"/>
    </row>
    <row r="34">
      <c r="A34" s="551" t="s">
        <v>220</v>
      </c>
      <c r="B34" s="660">
        <f>B29+B30+B31+1</f>
        <v>105037.19</v>
      </c>
      <c r="C34" s="660">
        <f t="shared" ref="C34:D34" si="30">C29+C30+C31</f>
        <v>102597.33</v>
      </c>
      <c r="D34" s="660">
        <f t="shared" si="30"/>
        <v>117684.83</v>
      </c>
      <c r="E34" s="564">
        <v>-0.0035704886832250704</v>
      </c>
      <c r="F34" s="555">
        <v>0.02596158941562443</v>
      </c>
      <c r="G34" s="648"/>
      <c r="H34" s="660">
        <f t="shared" ref="H34:J34" si="31">H29+H30+H31</f>
        <v>604841.97</v>
      </c>
      <c r="I34" s="660">
        <f t="shared" si="31"/>
        <v>594909.73</v>
      </c>
      <c r="J34" s="660">
        <f t="shared" si="31"/>
        <v>680750.99</v>
      </c>
      <c r="K34" s="609">
        <v>-0.0035704886832250704</v>
      </c>
      <c r="L34" s="610">
        <v>0.02596158941562443</v>
      </c>
      <c r="M34" s="648"/>
      <c r="N34" s="660">
        <f t="shared" ref="N34:O34" si="32">N29+N30+N31</f>
        <v>1257799.75</v>
      </c>
      <c r="O34" s="660">
        <f t="shared" si="32"/>
        <v>1247118.31</v>
      </c>
      <c r="P34" s="660">
        <f>P29+P30+P31-1</f>
        <v>1351754.88</v>
      </c>
      <c r="Q34" s="609">
        <v>-3.166308343164337E-4</v>
      </c>
      <c r="R34" s="610">
        <v>-0.032001214107171716</v>
      </c>
      <c r="S34" s="628"/>
      <c r="T34" s="628"/>
      <c r="U34" s="628"/>
      <c r="V34" s="628"/>
      <c r="W34" s="628"/>
      <c r="X34" s="628"/>
      <c r="Y34" s="628"/>
      <c r="Z34" s="628"/>
    </row>
    <row r="35">
      <c r="A35" s="599" t="s">
        <v>221</v>
      </c>
      <c r="B35" s="677">
        <v>20692.96</v>
      </c>
      <c r="C35" s="677">
        <v>21906.03</v>
      </c>
      <c r="D35" s="677">
        <v>23460.97</v>
      </c>
      <c r="E35" s="601">
        <v>0.11519403073397338</v>
      </c>
      <c r="F35" s="601">
        <v>0.14379356160090406</v>
      </c>
      <c r="G35" s="648"/>
      <c r="H35" s="677">
        <v>124521.93</v>
      </c>
      <c r="I35" s="677">
        <v>131253.52000000002</v>
      </c>
      <c r="J35" s="678">
        <v>137023.72</v>
      </c>
      <c r="K35" s="604">
        <v>0.11519403073397338</v>
      </c>
      <c r="L35" s="605">
        <v>0.14379356160090406</v>
      </c>
      <c r="M35" s="648"/>
      <c r="N35" s="677">
        <v>253298.42000000004</v>
      </c>
      <c r="O35" s="677">
        <v>263437.19</v>
      </c>
      <c r="P35" s="685">
        <v>272933.0</v>
      </c>
      <c r="Q35" s="604">
        <v>0.009523205522479872</v>
      </c>
      <c r="R35" s="605">
        <v>-0.020559909849967695</v>
      </c>
      <c r="S35" s="628"/>
      <c r="T35" s="628"/>
      <c r="U35" s="628"/>
      <c r="V35" s="628"/>
      <c r="W35" s="628"/>
      <c r="X35" s="628"/>
      <c r="Y35" s="628"/>
      <c r="Z35" s="628"/>
    </row>
    <row r="36">
      <c r="A36" s="569" t="s">
        <v>222</v>
      </c>
      <c r="B36" s="570">
        <f>B34-B35</f>
        <v>84344.23</v>
      </c>
      <c r="C36" s="570">
        <f>C34-C35+1</f>
        <v>80692.3</v>
      </c>
      <c r="D36" s="570">
        <f>D34-D35</f>
        <v>94223.86</v>
      </c>
      <c r="E36" s="615">
        <f>IF(ISERROR((D36-C36)/ABS(C36)),"",(D36-C36)/ABS(C36))</f>
        <v>0.1676933239</v>
      </c>
      <c r="F36" s="572">
        <f>IF(ISERROR((D36-B36)/ABS(B36)),"",(D36-B36)/ABS(B36))</f>
        <v>0.1171346279</v>
      </c>
      <c r="G36" s="565"/>
      <c r="H36" s="573">
        <f t="shared" ref="H36:J36" si="33">H34-H35</f>
        <v>480320.04</v>
      </c>
      <c r="I36" s="573">
        <f t="shared" si="33"/>
        <v>463656.21</v>
      </c>
      <c r="J36" s="573">
        <f t="shared" si="33"/>
        <v>543727.27</v>
      </c>
      <c r="K36" s="577">
        <f t="shared" ref="K36:K37" si="35">IF(ISERROR((J36/I36)-1),"",(J36/I36-1))</f>
        <v>0.1726948939</v>
      </c>
      <c r="L36" s="579">
        <f t="shared" ref="L36:L37" si="36">IF(ISERROR((J36/H36)-1),"",(J36/H36-1))</f>
        <v>0.1320103779</v>
      </c>
      <c r="M36" s="580"/>
      <c r="N36" s="573">
        <f t="shared" ref="N36:O36" si="34">N34-N35</f>
        <v>1004501.33</v>
      </c>
      <c r="O36" s="573">
        <f t="shared" si="34"/>
        <v>983681.12</v>
      </c>
      <c r="P36" s="573">
        <f>P34-P35+1</f>
        <v>1078822.88</v>
      </c>
      <c r="Q36" s="577">
        <f>IF(ISERROR((P36/O36)-1),"",(P36/O36-1))</f>
        <v>0.0967201241</v>
      </c>
      <c r="R36" s="579">
        <f>IF(ISERROR((P36/N36)-1),"",(P36/N36-1))</f>
        <v>0.07398850333</v>
      </c>
      <c r="S36" s="628"/>
      <c r="T36" s="628"/>
      <c r="U36" s="628"/>
      <c r="V36" s="628"/>
      <c r="W36" s="628"/>
      <c r="X36" s="628"/>
      <c r="Y36" s="628"/>
      <c r="Z36" s="628"/>
    </row>
    <row r="37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19" t="str">
        <f t="shared" si="35"/>
        <v/>
      </c>
      <c r="L37" s="639" t="str">
        <f t="shared" si="36"/>
        <v/>
      </c>
      <c r="M37" s="628"/>
      <c r="N37" s="628"/>
      <c r="O37" s="628"/>
      <c r="P37" s="628"/>
      <c r="Q37" s="628"/>
      <c r="R37" s="628"/>
      <c r="S37" s="628"/>
      <c r="T37" s="628"/>
      <c r="U37" s="628"/>
      <c r="V37" s="628"/>
      <c r="W37" s="628"/>
      <c r="X37" s="628"/>
      <c r="Y37" s="628"/>
      <c r="Z37" s="628"/>
    </row>
    <row r="38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36"/>
      <c r="L38" s="636"/>
      <c r="M38" s="628"/>
      <c r="N38" s="628"/>
      <c r="O38" s="628"/>
      <c r="P38" s="628"/>
      <c r="Q38" s="628"/>
      <c r="R38" s="628"/>
      <c r="S38" s="628"/>
      <c r="T38" s="628"/>
      <c r="U38" s="628"/>
      <c r="V38" s="628"/>
      <c r="W38" s="628"/>
      <c r="X38" s="628"/>
      <c r="Y38" s="628"/>
      <c r="Z38" s="628"/>
    </row>
    <row r="39">
      <c r="A39" s="628"/>
      <c r="B39" s="628"/>
      <c r="C39" s="628"/>
      <c r="D39" s="628"/>
      <c r="E39" s="628"/>
      <c r="F39" s="628"/>
      <c r="G39" s="628"/>
      <c r="H39" s="628"/>
      <c r="I39" s="628"/>
      <c r="J39" s="628"/>
      <c r="K39" s="604" t="str">
        <f>IF(ISERROR((J39-I39)/ABS(I39)),"",(J39-I39)/ABS(I39))</f>
        <v/>
      </c>
      <c r="L39" s="605" t="str">
        <f>IF(ISERROR((J39-H39)/ABS(H39)),"",(J39-H39)/ABS(H39))</f>
        <v/>
      </c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</row>
    <row r="40">
      <c r="A40" s="628"/>
      <c r="B40" s="628"/>
      <c r="C40" s="628"/>
      <c r="D40" s="628"/>
      <c r="E40" s="628"/>
      <c r="F40" s="628"/>
      <c r="G40" s="628"/>
      <c r="H40" s="628"/>
      <c r="I40" s="628"/>
      <c r="J40" s="628"/>
      <c r="K40" s="638" t="str">
        <f t="shared" ref="K40:K44" si="37">IF(ISERROR((J40/I40)-1),"",(J40/I40-1))</f>
        <v/>
      </c>
      <c r="L40" s="643" t="str">
        <f t="shared" ref="L40:L44" si="38">IF(ISERROR((J40/H40)-1),"",(J40/H40-1))</f>
        <v/>
      </c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</row>
    <row r="41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2" t="str">
        <f t="shared" si="37"/>
        <v/>
      </c>
      <c r="L41" s="639" t="str">
        <f t="shared" si="38"/>
        <v/>
      </c>
      <c r="M41" s="628"/>
      <c r="N41" s="628"/>
      <c r="O41" s="628"/>
      <c r="P41" s="628"/>
      <c r="Q41" s="628"/>
      <c r="R41" s="628"/>
      <c r="S41" s="628"/>
      <c r="T41" s="628"/>
      <c r="U41" s="628"/>
      <c r="V41" s="628"/>
      <c r="W41" s="628"/>
      <c r="X41" s="628"/>
      <c r="Y41" s="628"/>
      <c r="Z41" s="628"/>
    </row>
    <row r="4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2" t="str">
        <f t="shared" si="37"/>
        <v/>
      </c>
      <c r="L42" s="639" t="str">
        <f t="shared" si="38"/>
        <v/>
      </c>
      <c r="M42" s="628"/>
      <c r="N42" s="628"/>
      <c r="O42" s="628"/>
      <c r="P42" s="628"/>
      <c r="Q42" s="628"/>
      <c r="R42" s="628"/>
      <c r="S42" s="628"/>
      <c r="T42" s="628"/>
      <c r="U42" s="628"/>
      <c r="V42" s="628"/>
      <c r="W42" s="628"/>
      <c r="X42" s="628"/>
      <c r="Y42" s="628"/>
      <c r="Z42" s="628"/>
    </row>
    <row r="43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19" t="str">
        <f t="shared" si="37"/>
        <v/>
      </c>
      <c r="L43" s="639" t="str">
        <f t="shared" si="38"/>
        <v/>
      </c>
      <c r="M43" s="628"/>
      <c r="N43" s="628"/>
      <c r="O43" s="628"/>
      <c r="P43" s="628"/>
      <c r="Q43" s="628"/>
      <c r="R43" s="628"/>
      <c r="S43" s="628"/>
      <c r="T43" s="628"/>
      <c r="U43" s="628"/>
      <c r="V43" s="628"/>
      <c r="W43" s="628"/>
      <c r="X43" s="628"/>
      <c r="Y43" s="628"/>
      <c r="Z43" s="628"/>
    </row>
    <row r="44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2" t="str">
        <f t="shared" si="37"/>
        <v/>
      </c>
      <c r="L44" s="643" t="str">
        <f t="shared" si="38"/>
        <v/>
      </c>
      <c r="M44" s="628"/>
      <c r="N44" s="628"/>
      <c r="O44" s="628"/>
      <c r="P44" s="628"/>
      <c r="Q44" s="628"/>
      <c r="R44" s="628"/>
      <c r="S44" s="628"/>
      <c r="T44" s="628"/>
      <c r="U44" s="628"/>
      <c r="V44" s="628"/>
      <c r="W44" s="628"/>
      <c r="X44" s="628"/>
      <c r="Y44" s="628"/>
      <c r="Z44" s="628"/>
    </row>
    <row r="45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36"/>
      <c r="L45" s="636"/>
      <c r="M45" s="628"/>
      <c r="N45" s="628"/>
      <c r="O45" s="628"/>
      <c r="P45" s="628"/>
      <c r="Q45" s="628"/>
      <c r="R45" s="628"/>
      <c r="S45" s="628"/>
      <c r="T45" s="628"/>
      <c r="U45" s="628"/>
      <c r="V45" s="628"/>
      <c r="W45" s="628"/>
      <c r="X45" s="628"/>
      <c r="Y45" s="628"/>
      <c r="Z45" s="628"/>
    </row>
    <row r="46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04" t="str">
        <f>IF(ISERROR((J46-I46)/ABS(I46)),"",(J46-I46)/ABS(I46))</f>
        <v/>
      </c>
      <c r="L46" s="605" t="str">
        <f>IF(ISERROR((J46-H46)/ABS(H46)),"",(J46-H46)/ABS(H46))</f>
        <v/>
      </c>
      <c r="M46" s="628"/>
      <c r="N46" s="628"/>
      <c r="O46" s="628"/>
      <c r="P46" s="628"/>
      <c r="Q46" s="628"/>
      <c r="R46" s="628"/>
      <c r="S46" s="628"/>
      <c r="T46" s="628"/>
      <c r="U46" s="628"/>
      <c r="V46" s="628"/>
      <c r="W46" s="628"/>
      <c r="X46" s="628"/>
      <c r="Y46" s="628"/>
      <c r="Z46" s="628"/>
    </row>
    <row r="47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38" t="str">
        <f>IF(ISERROR((J47/I47)-1),"",(J47/I47-1))</f>
        <v/>
      </c>
      <c r="L47" s="638" t="str">
        <f>IF(ISERROR((J47/H47)-1),"",(J47/H47-1))</f>
        <v/>
      </c>
      <c r="M47" s="628"/>
      <c r="N47" s="628"/>
      <c r="O47" s="628"/>
      <c r="P47" s="628"/>
      <c r="Q47" s="628"/>
      <c r="R47" s="628"/>
      <c r="S47" s="628"/>
      <c r="T47" s="628"/>
      <c r="U47" s="628"/>
      <c r="V47" s="628"/>
      <c r="W47" s="628"/>
      <c r="X47" s="628"/>
      <c r="Y47" s="628"/>
      <c r="Z47" s="628"/>
    </row>
    <row r="48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36"/>
      <c r="L48" s="636"/>
      <c r="M48" s="628"/>
      <c r="N48" s="628"/>
      <c r="O48" s="628"/>
      <c r="P48" s="628"/>
      <c r="Q48" s="628"/>
      <c r="R48" s="628"/>
      <c r="S48" s="628"/>
      <c r="T48" s="628"/>
      <c r="U48" s="628"/>
      <c r="V48" s="628"/>
      <c r="W48" s="628"/>
      <c r="X48" s="628"/>
      <c r="Y48" s="628"/>
      <c r="Z48" s="628"/>
    </row>
    <row r="49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04" t="str">
        <f>IF(ISERROR((J49-I49)/ABS(I49)),"",(J49-I49)/ABS(I49))</f>
        <v/>
      </c>
      <c r="L49" s="605" t="str">
        <f>IF(ISERROR((J49-H49)/ABS(H49)),"",(J49-H49)/ABS(H49))</f>
        <v/>
      </c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</row>
    <row r="50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8"/>
      <c r="P50" s="628"/>
      <c r="Q50" s="628"/>
      <c r="R50" s="628"/>
      <c r="S50" s="628"/>
      <c r="T50" s="628"/>
      <c r="U50" s="628"/>
      <c r="V50" s="628"/>
      <c r="W50" s="628"/>
      <c r="X50" s="628"/>
      <c r="Y50" s="628"/>
      <c r="Z50" s="628"/>
    </row>
    <row r="51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8"/>
      <c r="P51" s="628"/>
      <c r="Q51" s="628"/>
      <c r="R51" s="628"/>
      <c r="S51" s="628"/>
      <c r="T51" s="628"/>
      <c r="U51" s="628"/>
      <c r="V51" s="628"/>
      <c r="W51" s="628"/>
      <c r="X51" s="628"/>
      <c r="Y51" s="628"/>
      <c r="Z51" s="628"/>
    </row>
    <row r="52">
      <c r="A52" s="628"/>
      <c r="B52" s="628"/>
      <c r="C52" s="628"/>
      <c r="D52" s="628"/>
      <c r="E52" s="628"/>
      <c r="F52" s="628"/>
      <c r="G52" s="628"/>
      <c r="H52" s="628"/>
      <c r="I52" s="628"/>
      <c r="J52" s="628"/>
      <c r="K52" s="628"/>
      <c r="L52" s="628"/>
      <c r="M52" s="628"/>
      <c r="N52" s="628"/>
      <c r="O52" s="628"/>
      <c r="P52" s="628"/>
      <c r="Q52" s="628"/>
      <c r="R52" s="628"/>
      <c r="S52" s="628"/>
      <c r="T52" s="628"/>
      <c r="U52" s="628"/>
      <c r="V52" s="628"/>
      <c r="W52" s="628"/>
      <c r="X52" s="628"/>
      <c r="Y52" s="628"/>
      <c r="Z52" s="628"/>
    </row>
    <row r="53">
      <c r="A53" s="628"/>
      <c r="B53" s="628"/>
      <c r="C53" s="628"/>
      <c r="D53" s="628"/>
      <c r="E53" s="628"/>
      <c r="F53" s="628"/>
      <c r="G53" s="628"/>
      <c r="H53" s="628"/>
      <c r="I53" s="628"/>
      <c r="J53" s="628"/>
      <c r="K53" s="628"/>
      <c r="L53" s="628"/>
      <c r="M53" s="628"/>
      <c r="N53" s="628"/>
      <c r="O53" s="628"/>
      <c r="P53" s="628"/>
      <c r="Q53" s="628"/>
      <c r="R53" s="628"/>
      <c r="S53" s="628"/>
      <c r="T53" s="628"/>
      <c r="U53" s="628"/>
      <c r="V53" s="628"/>
      <c r="W53" s="628"/>
      <c r="X53" s="628"/>
      <c r="Y53" s="628"/>
      <c r="Z53" s="628"/>
    </row>
    <row r="54">
      <c r="A54" s="628"/>
      <c r="B54" s="628"/>
      <c r="C54" s="628"/>
      <c r="D54" s="628"/>
      <c r="E54" s="628"/>
      <c r="F54" s="628"/>
      <c r="G54" s="628"/>
      <c r="H54" s="628"/>
      <c r="I54" s="628"/>
      <c r="J54" s="628"/>
      <c r="K54" s="628"/>
      <c r="L54" s="628"/>
      <c r="M54" s="628"/>
      <c r="N54" s="628"/>
      <c r="O54" s="628"/>
      <c r="P54" s="628"/>
      <c r="Q54" s="628"/>
      <c r="R54" s="628"/>
      <c r="S54" s="628"/>
      <c r="T54" s="628"/>
      <c r="U54" s="628"/>
      <c r="V54" s="628"/>
      <c r="W54" s="628"/>
      <c r="X54" s="628"/>
      <c r="Y54" s="628"/>
      <c r="Z54" s="628"/>
    </row>
    <row r="55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8"/>
      <c r="P55" s="628"/>
      <c r="Q55" s="628"/>
      <c r="R55" s="628"/>
      <c r="S55" s="628"/>
      <c r="T55" s="628"/>
      <c r="U55" s="628"/>
      <c r="V55" s="628"/>
      <c r="W55" s="628"/>
      <c r="X55" s="628"/>
      <c r="Y55" s="628"/>
      <c r="Z55" s="628"/>
    </row>
    <row r="56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8"/>
      <c r="P56" s="628"/>
      <c r="Q56" s="628"/>
      <c r="R56" s="628"/>
      <c r="S56" s="628"/>
      <c r="T56" s="628"/>
      <c r="U56" s="628"/>
      <c r="V56" s="628"/>
      <c r="W56" s="628"/>
      <c r="X56" s="628"/>
      <c r="Y56" s="628"/>
      <c r="Z56" s="628"/>
    </row>
    <row r="57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8"/>
      <c r="P57" s="628"/>
      <c r="Q57" s="628"/>
      <c r="R57" s="628"/>
      <c r="S57" s="628"/>
      <c r="T57" s="628"/>
      <c r="U57" s="628"/>
      <c r="V57" s="628"/>
      <c r="W57" s="628"/>
      <c r="X57" s="628"/>
      <c r="Y57" s="628"/>
      <c r="Z57" s="628"/>
    </row>
    <row r="58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8"/>
      <c r="P58" s="628"/>
      <c r="Q58" s="628"/>
      <c r="R58" s="628"/>
      <c r="S58" s="628"/>
      <c r="T58" s="628"/>
      <c r="U58" s="628"/>
      <c r="V58" s="628"/>
      <c r="W58" s="628"/>
      <c r="X58" s="628"/>
      <c r="Y58" s="628"/>
      <c r="Z58" s="628"/>
    </row>
    <row r="59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8"/>
      <c r="P59" s="628"/>
      <c r="Q59" s="628"/>
      <c r="R59" s="628"/>
      <c r="S59" s="628"/>
      <c r="T59" s="628"/>
      <c r="U59" s="628"/>
      <c r="V59" s="628"/>
      <c r="W59" s="628"/>
      <c r="X59" s="628"/>
      <c r="Y59" s="628"/>
      <c r="Z59" s="628"/>
    </row>
    <row r="60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  <c r="R60" s="628"/>
      <c r="S60" s="628"/>
      <c r="T60" s="628"/>
      <c r="U60" s="628"/>
      <c r="V60" s="628"/>
      <c r="W60" s="628"/>
      <c r="X60" s="628"/>
      <c r="Y60" s="628"/>
      <c r="Z60" s="628"/>
    </row>
    <row r="61">
      <c r="A61" s="628"/>
      <c r="B61" s="628"/>
      <c r="C61" s="628"/>
      <c r="D61" s="628"/>
      <c r="E61" s="628"/>
      <c r="F61" s="628"/>
      <c r="G61" s="628"/>
      <c r="H61" s="628"/>
      <c r="I61" s="628"/>
      <c r="J61" s="628"/>
      <c r="K61" s="628"/>
      <c r="L61" s="628"/>
      <c r="M61" s="628"/>
      <c r="N61" s="628"/>
      <c r="O61" s="628"/>
      <c r="P61" s="628"/>
      <c r="Q61" s="628"/>
      <c r="R61" s="628"/>
      <c r="S61" s="628"/>
      <c r="T61" s="628"/>
      <c r="U61" s="628"/>
      <c r="V61" s="628"/>
      <c r="W61" s="628"/>
      <c r="X61" s="628"/>
      <c r="Y61" s="628"/>
      <c r="Z61" s="628"/>
    </row>
    <row r="6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8"/>
      <c r="P62" s="628"/>
      <c r="Q62" s="628"/>
      <c r="R62" s="628"/>
      <c r="S62" s="628"/>
      <c r="T62" s="628"/>
      <c r="U62" s="628"/>
      <c r="V62" s="628"/>
      <c r="W62" s="628"/>
      <c r="X62" s="628"/>
      <c r="Y62" s="628"/>
      <c r="Z62" s="628"/>
    </row>
    <row r="63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8"/>
      <c r="P63" s="628"/>
      <c r="Q63" s="628"/>
      <c r="R63" s="628"/>
      <c r="S63" s="628"/>
      <c r="T63" s="628"/>
      <c r="U63" s="628"/>
      <c r="V63" s="628"/>
      <c r="W63" s="628"/>
      <c r="X63" s="628"/>
      <c r="Y63" s="628"/>
      <c r="Z63" s="628"/>
    </row>
    <row r="64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8"/>
      <c r="P64" s="628"/>
      <c r="Q64" s="628"/>
      <c r="R64" s="628"/>
      <c r="S64" s="628"/>
      <c r="T64" s="628"/>
      <c r="U64" s="628"/>
      <c r="V64" s="628"/>
      <c r="W64" s="628"/>
      <c r="X64" s="628"/>
      <c r="Y64" s="628"/>
      <c r="Z64" s="628"/>
    </row>
    <row r="65">
      <c r="A65" s="628"/>
      <c r="B65" s="628"/>
      <c r="C65" s="628"/>
      <c r="D65" s="628"/>
      <c r="E65" s="628"/>
      <c r="F65" s="628"/>
      <c r="G65" s="628"/>
      <c r="H65" s="628"/>
      <c r="I65" s="628"/>
      <c r="J65" s="628"/>
      <c r="K65" s="628"/>
      <c r="L65" s="628"/>
      <c r="M65" s="628"/>
      <c r="N65" s="628"/>
      <c r="O65" s="628"/>
      <c r="P65" s="628"/>
      <c r="Q65" s="628"/>
      <c r="R65" s="628"/>
      <c r="S65" s="628"/>
      <c r="T65" s="628"/>
      <c r="U65" s="628"/>
      <c r="V65" s="628"/>
      <c r="W65" s="628"/>
      <c r="X65" s="628"/>
      <c r="Y65" s="628"/>
      <c r="Z65" s="628"/>
    </row>
    <row r="66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8"/>
      <c r="P66" s="628"/>
      <c r="Q66" s="628"/>
      <c r="R66" s="628"/>
      <c r="S66" s="628"/>
      <c r="T66" s="628"/>
      <c r="U66" s="628"/>
      <c r="V66" s="628"/>
      <c r="W66" s="628"/>
      <c r="X66" s="628"/>
      <c r="Y66" s="628"/>
      <c r="Z66" s="628"/>
    </row>
    <row r="67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8"/>
      <c r="P67" s="628"/>
      <c r="Q67" s="628"/>
      <c r="R67" s="628"/>
      <c r="S67" s="628"/>
      <c r="T67" s="628"/>
      <c r="U67" s="628"/>
      <c r="V67" s="628"/>
      <c r="W67" s="628"/>
      <c r="X67" s="628"/>
      <c r="Y67" s="628"/>
      <c r="Z67" s="628"/>
    </row>
    <row r="68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8"/>
      <c r="P68" s="628"/>
      <c r="Q68" s="628"/>
      <c r="R68" s="628"/>
      <c r="S68" s="628"/>
      <c r="T68" s="628"/>
      <c r="U68" s="628"/>
      <c r="V68" s="628"/>
      <c r="W68" s="628"/>
      <c r="X68" s="628"/>
      <c r="Y68" s="628"/>
      <c r="Z68" s="628"/>
    </row>
    <row r="69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8"/>
      <c r="P69" s="628"/>
      <c r="Q69" s="628"/>
      <c r="R69" s="628"/>
      <c r="S69" s="628"/>
      <c r="T69" s="628"/>
      <c r="U69" s="628"/>
      <c r="V69" s="628"/>
      <c r="W69" s="628"/>
      <c r="X69" s="628"/>
      <c r="Y69" s="628"/>
      <c r="Z69" s="628"/>
    </row>
    <row r="70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8"/>
      <c r="P70" s="628"/>
      <c r="Q70" s="628"/>
      <c r="R70" s="628"/>
      <c r="S70" s="628"/>
      <c r="T70" s="628"/>
      <c r="U70" s="628"/>
      <c r="V70" s="628"/>
      <c r="W70" s="628"/>
      <c r="X70" s="628"/>
      <c r="Y70" s="628"/>
      <c r="Z70" s="628"/>
    </row>
    <row r="71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8"/>
      <c r="P71" s="628"/>
      <c r="Q71" s="628"/>
      <c r="R71" s="628"/>
      <c r="S71" s="628"/>
      <c r="T71" s="628"/>
      <c r="U71" s="628"/>
      <c r="V71" s="628"/>
      <c r="W71" s="628"/>
      <c r="X71" s="628"/>
      <c r="Y71" s="628"/>
      <c r="Z71" s="628"/>
    </row>
    <row r="72">
      <c r="A72" s="628"/>
      <c r="B72" s="628"/>
      <c r="C72" s="628"/>
      <c r="D72" s="628"/>
      <c r="E72" s="628"/>
      <c r="F72" s="628"/>
      <c r="G72" s="628"/>
      <c r="H72" s="628"/>
      <c r="I72" s="628"/>
      <c r="J72" s="628"/>
      <c r="K72" s="628"/>
      <c r="L72" s="628"/>
      <c r="M72" s="628"/>
      <c r="N72" s="628"/>
      <c r="O72" s="628"/>
      <c r="P72" s="628"/>
      <c r="Q72" s="628"/>
      <c r="R72" s="628"/>
      <c r="S72" s="628"/>
      <c r="T72" s="628"/>
      <c r="U72" s="628"/>
      <c r="V72" s="628"/>
      <c r="W72" s="628"/>
      <c r="X72" s="628"/>
      <c r="Y72" s="628"/>
      <c r="Z72" s="628"/>
    </row>
    <row r="73">
      <c r="A73" s="628"/>
      <c r="B73" s="628"/>
      <c r="C73" s="628"/>
      <c r="D73" s="628"/>
      <c r="E73" s="628"/>
      <c r="F73" s="628"/>
      <c r="G73" s="628"/>
      <c r="H73" s="628"/>
      <c r="I73" s="628"/>
      <c r="J73" s="628"/>
      <c r="K73" s="628"/>
      <c r="L73" s="628"/>
      <c r="M73" s="628"/>
      <c r="N73" s="628"/>
      <c r="O73" s="628"/>
      <c r="P73" s="628"/>
      <c r="Q73" s="628"/>
      <c r="R73" s="628"/>
      <c r="S73" s="628"/>
      <c r="T73" s="628"/>
      <c r="U73" s="628"/>
      <c r="V73" s="628"/>
      <c r="W73" s="628"/>
      <c r="X73" s="628"/>
      <c r="Y73" s="628"/>
      <c r="Z73" s="628"/>
    </row>
    <row r="74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8"/>
      <c r="P74" s="628"/>
      <c r="Q74" s="628"/>
      <c r="R74" s="628"/>
      <c r="S74" s="628"/>
      <c r="T74" s="628"/>
      <c r="U74" s="628"/>
      <c r="V74" s="628"/>
      <c r="W74" s="628"/>
      <c r="X74" s="628"/>
      <c r="Y74" s="628"/>
      <c r="Z74" s="628"/>
    </row>
    <row r="75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8"/>
      <c r="P75" s="628"/>
      <c r="Q75" s="628"/>
      <c r="R75" s="628"/>
      <c r="S75" s="628"/>
      <c r="T75" s="628"/>
      <c r="U75" s="628"/>
      <c r="V75" s="628"/>
      <c r="W75" s="628"/>
      <c r="X75" s="628"/>
      <c r="Y75" s="628"/>
      <c r="Z75" s="628"/>
    </row>
    <row r="76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8"/>
      <c r="P76" s="628"/>
      <c r="Q76" s="628"/>
      <c r="R76" s="628"/>
      <c r="S76" s="628"/>
      <c r="T76" s="628"/>
      <c r="U76" s="628"/>
      <c r="V76" s="628"/>
      <c r="W76" s="628"/>
      <c r="X76" s="628"/>
      <c r="Y76" s="628"/>
      <c r="Z76" s="628"/>
    </row>
    <row r="77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8"/>
      <c r="P77" s="628"/>
      <c r="Q77" s="628"/>
      <c r="R77" s="628"/>
      <c r="S77" s="628"/>
      <c r="T77" s="628"/>
      <c r="U77" s="628"/>
      <c r="V77" s="628"/>
      <c r="W77" s="628"/>
      <c r="X77" s="628"/>
      <c r="Y77" s="628"/>
      <c r="Z77" s="628"/>
    </row>
    <row r="78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8"/>
      <c r="P78" s="628"/>
      <c r="Q78" s="628"/>
      <c r="R78" s="628"/>
      <c r="S78" s="628"/>
      <c r="T78" s="628"/>
      <c r="U78" s="628"/>
      <c r="V78" s="628"/>
      <c r="W78" s="628"/>
      <c r="X78" s="628"/>
      <c r="Y78" s="628"/>
      <c r="Z78" s="628"/>
    </row>
    <row r="79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8"/>
      <c r="P79" s="628"/>
      <c r="Q79" s="628"/>
      <c r="R79" s="628"/>
      <c r="S79" s="628"/>
      <c r="T79" s="628"/>
      <c r="U79" s="628"/>
      <c r="V79" s="628"/>
      <c r="W79" s="628"/>
      <c r="X79" s="628"/>
      <c r="Y79" s="628"/>
      <c r="Z79" s="628"/>
    </row>
    <row r="80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8"/>
      <c r="P80" s="628"/>
      <c r="Q80" s="628"/>
      <c r="R80" s="628"/>
      <c r="S80" s="628"/>
      <c r="T80" s="628"/>
      <c r="U80" s="628"/>
      <c r="V80" s="628"/>
      <c r="W80" s="628"/>
      <c r="X80" s="628"/>
      <c r="Y80" s="628"/>
      <c r="Z80" s="628"/>
    </row>
    <row r="81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8"/>
      <c r="P81" s="628"/>
      <c r="Q81" s="628"/>
      <c r="R81" s="628"/>
      <c r="S81" s="628"/>
      <c r="T81" s="628"/>
      <c r="U81" s="628"/>
      <c r="V81" s="628"/>
      <c r="W81" s="628"/>
      <c r="X81" s="628"/>
      <c r="Y81" s="628"/>
      <c r="Z81" s="628"/>
    </row>
    <row r="8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8"/>
      <c r="P82" s="628"/>
      <c r="Q82" s="628"/>
      <c r="R82" s="628"/>
      <c r="S82" s="628"/>
      <c r="T82" s="628"/>
      <c r="U82" s="628"/>
      <c r="V82" s="628"/>
      <c r="W82" s="628"/>
      <c r="X82" s="628"/>
      <c r="Y82" s="628"/>
      <c r="Z82" s="628"/>
    </row>
    <row r="83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8"/>
      <c r="P83" s="628"/>
      <c r="Q83" s="628"/>
      <c r="R83" s="628"/>
      <c r="S83" s="628"/>
      <c r="T83" s="628"/>
      <c r="U83" s="628"/>
      <c r="V83" s="628"/>
      <c r="W83" s="628"/>
      <c r="X83" s="628"/>
      <c r="Y83" s="628"/>
      <c r="Z83" s="628"/>
    </row>
    <row r="84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8"/>
      <c r="P84" s="628"/>
      <c r="Q84" s="628"/>
      <c r="R84" s="628"/>
      <c r="S84" s="628"/>
      <c r="T84" s="628"/>
      <c r="U84" s="628"/>
      <c r="V84" s="628"/>
      <c r="W84" s="628"/>
      <c r="X84" s="628"/>
      <c r="Y84" s="628"/>
      <c r="Z84" s="628"/>
    </row>
    <row r="85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8"/>
      <c r="P85" s="628"/>
      <c r="Q85" s="628"/>
      <c r="R85" s="628"/>
      <c r="S85" s="628"/>
      <c r="T85" s="628"/>
      <c r="U85" s="628"/>
      <c r="V85" s="628"/>
      <c r="W85" s="628"/>
      <c r="X85" s="628"/>
      <c r="Y85" s="628"/>
      <c r="Z85" s="628"/>
    </row>
    <row r="86">
      <c r="A86" s="628"/>
      <c r="B86" s="628"/>
      <c r="C86" s="628"/>
      <c r="D86" s="628"/>
      <c r="E86" s="628"/>
      <c r="F86" s="628"/>
      <c r="G86" s="628"/>
      <c r="H86" s="628"/>
      <c r="I86" s="628"/>
      <c r="J86" s="628"/>
      <c r="K86" s="628"/>
      <c r="L86" s="628"/>
      <c r="M86" s="628"/>
      <c r="N86" s="628"/>
      <c r="O86" s="628"/>
      <c r="P86" s="628"/>
      <c r="Q86" s="628"/>
      <c r="R86" s="628"/>
      <c r="S86" s="628"/>
      <c r="T86" s="628"/>
      <c r="U86" s="628"/>
      <c r="V86" s="628"/>
      <c r="W86" s="628"/>
      <c r="X86" s="628"/>
      <c r="Y86" s="628"/>
      <c r="Z86" s="628"/>
    </row>
    <row r="87">
      <c r="A87" s="628"/>
      <c r="B87" s="628"/>
      <c r="C87" s="628"/>
      <c r="D87" s="628"/>
      <c r="E87" s="628"/>
      <c r="F87" s="628"/>
      <c r="G87" s="628"/>
      <c r="H87" s="628"/>
      <c r="I87" s="628"/>
      <c r="J87" s="628"/>
      <c r="K87" s="628"/>
      <c r="L87" s="628"/>
      <c r="M87" s="628"/>
      <c r="N87" s="628"/>
      <c r="O87" s="628"/>
      <c r="P87" s="628"/>
      <c r="Q87" s="628"/>
      <c r="R87" s="628"/>
      <c r="S87" s="628"/>
      <c r="T87" s="628"/>
      <c r="U87" s="628"/>
      <c r="V87" s="628"/>
      <c r="W87" s="628"/>
      <c r="X87" s="628"/>
      <c r="Y87" s="628"/>
      <c r="Z87" s="628"/>
    </row>
    <row r="88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8"/>
      <c r="P88" s="628"/>
      <c r="Q88" s="628"/>
      <c r="R88" s="628"/>
      <c r="S88" s="628"/>
      <c r="T88" s="628"/>
      <c r="U88" s="628"/>
      <c r="V88" s="628"/>
      <c r="W88" s="628"/>
      <c r="X88" s="628"/>
      <c r="Y88" s="628"/>
      <c r="Z88" s="628"/>
    </row>
    <row r="89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8"/>
      <c r="P89" s="628"/>
      <c r="Q89" s="628"/>
      <c r="R89" s="628"/>
      <c r="S89" s="628"/>
      <c r="T89" s="628"/>
      <c r="U89" s="628"/>
      <c r="V89" s="628"/>
      <c r="W89" s="628"/>
      <c r="X89" s="628"/>
      <c r="Y89" s="628"/>
      <c r="Z89" s="628"/>
    </row>
    <row r="90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8"/>
      <c r="P90" s="628"/>
      <c r="Q90" s="628"/>
      <c r="R90" s="628"/>
      <c r="S90" s="628"/>
      <c r="T90" s="628"/>
      <c r="U90" s="628"/>
      <c r="V90" s="628"/>
      <c r="W90" s="628"/>
      <c r="X90" s="628"/>
      <c r="Y90" s="628"/>
      <c r="Z90" s="628"/>
    </row>
    <row r="91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8"/>
      <c r="P91" s="628"/>
      <c r="Q91" s="628"/>
      <c r="R91" s="628"/>
      <c r="S91" s="628"/>
      <c r="T91" s="628"/>
      <c r="U91" s="628"/>
      <c r="V91" s="628"/>
      <c r="W91" s="628"/>
      <c r="X91" s="628"/>
      <c r="Y91" s="628"/>
      <c r="Z91" s="628"/>
    </row>
  </sheetData>
  <mergeCells count="6">
    <mergeCell ref="B2:F2"/>
    <mergeCell ref="H2:L2"/>
    <mergeCell ref="N2:R2"/>
    <mergeCell ref="B21:F21"/>
    <mergeCell ref="H21:L21"/>
    <mergeCell ref="N21:R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3.14"/>
    <col customWidth="1" hidden="1" min="2" max="2" width="2.57"/>
    <col customWidth="1" min="3" max="3" width="28.86"/>
    <col customWidth="1" min="4" max="16" width="13.14"/>
    <col customWidth="1" min="17" max="17" width="9.14"/>
    <col customWidth="1" min="18" max="18" width="10.14"/>
    <col customWidth="1" min="19" max="26" width="9.14"/>
  </cols>
  <sheetData>
    <row r="1" ht="10.5" customHeight="1">
      <c r="A1" s="76"/>
      <c r="B1" s="78" t="s">
        <v>224</v>
      </c>
      <c r="C1" s="623" t="s">
        <v>225</v>
      </c>
      <c r="D1" s="78" t="s">
        <v>58</v>
      </c>
      <c r="E1" s="78" t="s">
        <v>59</v>
      </c>
      <c r="F1" s="78" t="s">
        <v>60</v>
      </c>
      <c r="G1" s="78" t="s">
        <v>61</v>
      </c>
      <c r="H1" s="78" t="s">
        <v>62</v>
      </c>
      <c r="I1" s="78" t="s">
        <v>63</v>
      </c>
      <c r="J1" s="78" t="s">
        <v>64</v>
      </c>
      <c r="K1" s="78" t="s">
        <v>65</v>
      </c>
      <c r="L1" s="78" t="s">
        <v>66</v>
      </c>
      <c r="M1" s="78" t="s">
        <v>67</v>
      </c>
      <c r="N1" s="78" t="s">
        <v>68</v>
      </c>
      <c r="O1" s="78" t="s">
        <v>69</v>
      </c>
      <c r="P1" s="78" t="s">
        <v>70</v>
      </c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0.5" customHeight="1">
      <c r="A2" s="630" t="s">
        <v>226</v>
      </c>
      <c r="B2" s="632">
        <v>1.0</v>
      </c>
      <c r="C2" s="635" t="s">
        <v>40</v>
      </c>
      <c r="D2" s="637">
        <v>2374431.85</v>
      </c>
      <c r="E2" s="637">
        <v>2375653.21</v>
      </c>
      <c r="F2" s="637">
        <v>2384298.42</v>
      </c>
      <c r="G2" s="637">
        <v>2402286.8</v>
      </c>
      <c r="H2" s="637">
        <v>2526712.52</v>
      </c>
      <c r="I2" s="637">
        <v>2368129.9</v>
      </c>
      <c r="J2" s="637">
        <v>1.170087759E7</v>
      </c>
      <c r="K2" s="637">
        <v>1379087.49</v>
      </c>
      <c r="L2" s="637">
        <v>1316934.88</v>
      </c>
      <c r="M2" s="637">
        <v>1363736.17</v>
      </c>
      <c r="N2" s="637">
        <v>1376433.84</v>
      </c>
      <c r="O2" s="637">
        <v>1376433.84</v>
      </c>
      <c r="P2" s="642">
        <f t="shared" ref="P2:P3" si="1">SUM(D2:O2)</f>
        <v>32945016.51</v>
      </c>
      <c r="Q2" s="4"/>
      <c r="R2" s="91"/>
      <c r="S2" s="4"/>
      <c r="T2" s="4"/>
      <c r="U2" s="4"/>
      <c r="V2" s="4"/>
      <c r="W2" s="4"/>
      <c r="X2" s="4"/>
      <c r="Y2" s="4"/>
      <c r="Z2" s="4"/>
    </row>
    <row r="3" ht="10.5" customHeight="1">
      <c r="A3" s="630" t="s">
        <v>227</v>
      </c>
      <c r="B3" s="632">
        <v>2.0</v>
      </c>
      <c r="C3" s="635" t="s">
        <v>71</v>
      </c>
      <c r="D3" s="637">
        <v>86666.77</v>
      </c>
      <c r="E3" s="637">
        <v>86711.35</v>
      </c>
      <c r="F3" s="637">
        <v>87026.89</v>
      </c>
      <c r="G3" s="637">
        <v>87683.46</v>
      </c>
      <c r="H3" s="637">
        <v>92225.01</v>
      </c>
      <c r="I3" s="637">
        <v>86436.74</v>
      </c>
      <c r="J3" s="637">
        <v>427082.03</v>
      </c>
      <c r="K3" s="637">
        <v>50336.69</v>
      </c>
      <c r="L3" s="637">
        <v>48068.13</v>
      </c>
      <c r="M3" s="637">
        <v>49776.38</v>
      </c>
      <c r="N3" s="637">
        <v>50239.84</v>
      </c>
      <c r="O3" s="637">
        <v>50239.84</v>
      </c>
      <c r="P3" s="642">
        <f t="shared" si="1"/>
        <v>1202493.13</v>
      </c>
      <c r="Q3" s="4"/>
      <c r="R3" s="91"/>
      <c r="S3" s="4"/>
      <c r="T3" s="4"/>
      <c r="U3" s="4"/>
      <c r="V3" s="4"/>
      <c r="W3" s="4"/>
      <c r="X3" s="4"/>
      <c r="Y3" s="4"/>
      <c r="Z3" s="4"/>
    </row>
    <row r="4" ht="10.5" customHeight="1">
      <c r="A4" s="630" t="s">
        <v>229</v>
      </c>
      <c r="B4" s="632">
        <v>3.0</v>
      </c>
      <c r="C4" s="635" t="s">
        <v>72</v>
      </c>
      <c r="D4" s="637">
        <v>2287765.08</v>
      </c>
      <c r="E4" s="637">
        <v>2288941.86</v>
      </c>
      <c r="F4" s="637">
        <v>2297271.53</v>
      </c>
      <c r="G4" s="637">
        <v>2314603.34</v>
      </c>
      <c r="H4" s="637">
        <v>2434487.5100000002</v>
      </c>
      <c r="I4" s="637">
        <v>2281693.1599999997</v>
      </c>
      <c r="J4" s="637">
        <v>1.127379556E7</v>
      </c>
      <c r="K4" s="637">
        <v>1328750.8</v>
      </c>
      <c r="L4" s="637">
        <v>1268866.75</v>
      </c>
      <c r="M4" s="637">
        <v>1313959.79</v>
      </c>
      <c r="N4" s="637">
        <v>1326194.0</v>
      </c>
      <c r="O4" s="637">
        <v>1326194.0</v>
      </c>
      <c r="P4" s="642">
        <f>P2-P3</f>
        <v>31742523.38</v>
      </c>
      <c r="Q4" s="4"/>
      <c r="R4" s="91"/>
      <c r="S4" s="4"/>
      <c r="T4" s="4"/>
      <c r="U4" s="4"/>
      <c r="V4" s="4"/>
      <c r="W4" s="4"/>
      <c r="X4" s="4"/>
      <c r="Y4" s="4"/>
      <c r="Z4" s="4"/>
    </row>
    <row r="5" ht="10.5" customHeight="1">
      <c r="A5" s="630" t="s">
        <v>230</v>
      </c>
      <c r="B5" s="632">
        <v>4.0</v>
      </c>
      <c r="C5" s="635" t="s">
        <v>73</v>
      </c>
      <c r="D5" s="637">
        <v>0.0</v>
      </c>
      <c r="E5" s="637">
        <v>0.0</v>
      </c>
      <c r="F5" s="637">
        <v>0.0</v>
      </c>
      <c r="G5" s="637">
        <v>0.0</v>
      </c>
      <c r="H5" s="637">
        <v>0.0</v>
      </c>
      <c r="I5" s="637">
        <v>0.0</v>
      </c>
      <c r="J5" s="637">
        <v>0.0</v>
      </c>
      <c r="K5" s="637">
        <v>0.0</v>
      </c>
      <c r="L5" s="637">
        <v>0.0</v>
      </c>
      <c r="M5" s="637">
        <v>0.0</v>
      </c>
      <c r="N5" s="637">
        <v>0.0</v>
      </c>
      <c r="O5" s="637">
        <v>0.0</v>
      </c>
      <c r="P5" s="650">
        <f>SUM(D5:O5)</f>
        <v>0</v>
      </c>
      <c r="Q5" s="4"/>
      <c r="R5" s="91"/>
      <c r="S5" s="4"/>
      <c r="T5" s="4"/>
      <c r="U5" s="4"/>
      <c r="V5" s="4"/>
      <c r="W5" s="4"/>
      <c r="X5" s="4"/>
      <c r="Y5" s="4"/>
      <c r="Z5" s="4"/>
    </row>
    <row r="6" ht="10.5" customHeight="1">
      <c r="A6" s="630" t="s">
        <v>231</v>
      </c>
      <c r="B6" s="632">
        <v>5.0</v>
      </c>
      <c r="C6" s="635" t="s">
        <v>75</v>
      </c>
      <c r="D6" s="637">
        <v>2287765.08</v>
      </c>
      <c r="E6" s="637">
        <v>2288941.86</v>
      </c>
      <c r="F6" s="637">
        <v>2297271.53</v>
      </c>
      <c r="G6" s="637">
        <v>2314603.34</v>
      </c>
      <c r="H6" s="637">
        <v>2434487.5100000002</v>
      </c>
      <c r="I6" s="637">
        <v>2281693.1599999997</v>
      </c>
      <c r="J6" s="637">
        <v>1.127379556E7</v>
      </c>
      <c r="K6" s="637">
        <v>1328750.8</v>
      </c>
      <c r="L6" s="637">
        <v>1268866.75</v>
      </c>
      <c r="M6" s="637">
        <v>1313959.79</v>
      </c>
      <c r="N6" s="637">
        <v>1326194.0</v>
      </c>
      <c r="O6" s="637">
        <v>1326194.0</v>
      </c>
      <c r="P6" s="642">
        <f>P4-P5</f>
        <v>31742523.38</v>
      </c>
      <c r="Q6" s="4"/>
      <c r="R6" s="91"/>
      <c r="S6" s="4"/>
      <c r="T6" s="4"/>
      <c r="U6" s="4"/>
      <c r="V6" s="4"/>
      <c r="W6" s="4"/>
      <c r="X6" s="4"/>
      <c r="Y6" s="4"/>
      <c r="Z6" s="4"/>
    </row>
    <row r="7" ht="10.5" customHeight="1">
      <c r="A7" s="652" t="s">
        <v>232</v>
      </c>
      <c r="B7" s="653">
        <v>6.0</v>
      </c>
      <c r="C7" s="654" t="s">
        <v>77</v>
      </c>
      <c r="D7" s="637">
        <v>127381.35</v>
      </c>
      <c r="E7" s="637">
        <v>153818.54</v>
      </c>
      <c r="F7" s="637">
        <v>205791.2</v>
      </c>
      <c r="G7" s="637">
        <v>124363.3</v>
      </c>
      <c r="H7" s="637">
        <v>362703.14</v>
      </c>
      <c r="I7" s="637">
        <v>171997.75</v>
      </c>
      <c r="J7" s="637">
        <v>128335.44</v>
      </c>
      <c r="K7" s="637">
        <v>235532.52</v>
      </c>
      <c r="L7" s="637">
        <v>263887.78</v>
      </c>
      <c r="M7" s="637">
        <v>247862.77</v>
      </c>
      <c r="N7" s="637">
        <v>251726.55</v>
      </c>
      <c r="O7" s="637">
        <v>130803.36</v>
      </c>
      <c r="P7" s="642">
        <f>SUM(D7:O7)</f>
        <v>2404203.7</v>
      </c>
      <c r="Q7" s="655"/>
      <c r="R7" s="656"/>
      <c r="S7" s="655"/>
      <c r="T7" s="655"/>
      <c r="U7" s="655"/>
      <c r="V7" s="655"/>
      <c r="W7" s="655"/>
      <c r="X7" s="655"/>
      <c r="Y7" s="655"/>
      <c r="Z7" s="655"/>
    </row>
    <row r="8" ht="10.5" customHeight="1">
      <c r="A8" s="657" t="s">
        <v>233</v>
      </c>
      <c r="B8" s="658">
        <v>7.0</v>
      </c>
      <c r="C8" s="659" t="s">
        <v>80</v>
      </c>
      <c r="D8" s="637">
        <v>2160383.73</v>
      </c>
      <c r="E8" s="637">
        <v>2135123.32</v>
      </c>
      <c r="F8" s="637">
        <v>2091480.3299999998</v>
      </c>
      <c r="G8" s="637">
        <v>2190240.04</v>
      </c>
      <c r="H8" s="637">
        <v>2071784.37</v>
      </c>
      <c r="I8" s="637">
        <v>2109695.4099999997</v>
      </c>
      <c r="J8" s="637">
        <v>1.1145460120000001E7</v>
      </c>
      <c r="K8" s="637">
        <v>1093218.28</v>
      </c>
      <c r="L8" s="637">
        <v>1004978.97</v>
      </c>
      <c r="M8" s="637">
        <v>1066097.02</v>
      </c>
      <c r="N8" s="637">
        <v>1074467.45</v>
      </c>
      <c r="O8" s="637">
        <v>1195390.64</v>
      </c>
      <c r="P8" s="642">
        <f>P6-P7</f>
        <v>29338319.68</v>
      </c>
      <c r="Q8" s="661"/>
      <c r="R8" s="662"/>
      <c r="S8" s="661"/>
      <c r="T8" s="661"/>
      <c r="U8" s="661"/>
      <c r="V8" s="661"/>
      <c r="W8" s="661"/>
      <c r="X8" s="661"/>
      <c r="Y8" s="661"/>
      <c r="Z8" s="661"/>
    </row>
    <row r="9" ht="10.5" customHeight="1">
      <c r="A9" s="630" t="s">
        <v>234</v>
      </c>
      <c r="B9" s="632">
        <v>8.0</v>
      </c>
      <c r="C9" s="635" t="s">
        <v>82</v>
      </c>
      <c r="D9" s="637">
        <v>100905.31</v>
      </c>
      <c r="E9" s="637">
        <v>101221.15</v>
      </c>
      <c r="F9" s="637">
        <v>101221.15</v>
      </c>
      <c r="G9" s="637">
        <v>101221.15</v>
      </c>
      <c r="H9" s="637">
        <v>101221.15</v>
      </c>
      <c r="I9" s="637">
        <v>101221.15</v>
      </c>
      <c r="J9" s="637">
        <v>101266.14</v>
      </c>
      <c r="K9" s="637">
        <v>101440.1</v>
      </c>
      <c r="L9" s="637">
        <v>101440.1</v>
      </c>
      <c r="M9" s="637">
        <v>101616.9</v>
      </c>
      <c r="N9" s="637">
        <v>101616.9</v>
      </c>
      <c r="O9" s="637">
        <v>101616.9</v>
      </c>
      <c r="P9" s="642">
        <f>SUM(D9:O9)</f>
        <v>1216008.1</v>
      </c>
      <c r="Q9" s="4"/>
      <c r="R9" s="91"/>
      <c r="S9" s="4"/>
      <c r="T9" s="4"/>
      <c r="U9" s="4"/>
      <c r="V9" s="4"/>
      <c r="W9" s="4"/>
      <c r="X9" s="4"/>
      <c r="Y9" s="4"/>
      <c r="Z9" s="4"/>
    </row>
    <row r="10" ht="10.5" customHeight="1">
      <c r="A10" s="630" t="s">
        <v>235</v>
      </c>
      <c r="B10" s="632">
        <v>9.0</v>
      </c>
      <c r="C10" s="635" t="s">
        <v>83</v>
      </c>
      <c r="D10" s="637">
        <v>2059478.42</v>
      </c>
      <c r="E10" s="637">
        <v>2033902.17</v>
      </c>
      <c r="F10" s="637">
        <v>1990259.18</v>
      </c>
      <c r="G10" s="637">
        <v>2089018.8900000001</v>
      </c>
      <c r="H10" s="637">
        <v>1970563.2200000002</v>
      </c>
      <c r="I10" s="637">
        <v>2008474.2599999998</v>
      </c>
      <c r="J10" s="637">
        <v>1.104419398E7</v>
      </c>
      <c r="K10" s="637">
        <v>991778.18</v>
      </c>
      <c r="L10" s="637">
        <v>903538.87</v>
      </c>
      <c r="M10" s="637">
        <v>964480.12</v>
      </c>
      <c r="N10" s="637">
        <v>972850.5499999999</v>
      </c>
      <c r="O10" s="637">
        <v>1093773.74</v>
      </c>
      <c r="P10" s="642">
        <f>P8-P9</f>
        <v>28122311.58</v>
      </c>
      <c r="Q10" s="4"/>
      <c r="R10" s="91"/>
      <c r="S10" s="4"/>
      <c r="T10" s="4"/>
      <c r="U10" s="4"/>
      <c r="V10" s="4"/>
      <c r="W10" s="4"/>
      <c r="X10" s="4"/>
      <c r="Y10" s="4"/>
      <c r="Z10" s="4"/>
    </row>
    <row r="11" ht="10.5" customHeight="1">
      <c r="A11" s="4"/>
      <c r="B11" s="632">
        <v>10.0</v>
      </c>
      <c r="C11" s="635" t="s">
        <v>84</v>
      </c>
      <c r="D11" s="637">
        <v>0.0</v>
      </c>
      <c r="E11" s="637">
        <v>0.0</v>
      </c>
      <c r="F11" s="637">
        <v>0.0</v>
      </c>
      <c r="G11" s="637">
        <v>0.0</v>
      </c>
      <c r="H11" s="637">
        <v>0.0</v>
      </c>
      <c r="I11" s="637">
        <v>0.0</v>
      </c>
      <c r="J11" s="637">
        <v>0.0</v>
      </c>
      <c r="K11" s="637">
        <v>0.0</v>
      </c>
      <c r="L11" s="637">
        <v>0.0</v>
      </c>
      <c r="M11" s="637">
        <v>40467.0</v>
      </c>
      <c r="N11" s="637">
        <v>0.0</v>
      </c>
      <c r="O11" s="637">
        <v>900.0</v>
      </c>
      <c r="P11" s="650">
        <f t="shared" ref="P11:P15" si="2">SUM(D11:O11)</f>
        <v>41367</v>
      </c>
      <c r="Q11" s="4"/>
      <c r="R11" s="91"/>
      <c r="S11" s="4"/>
      <c r="T11" s="4"/>
      <c r="U11" s="4"/>
      <c r="V11" s="4"/>
      <c r="W11" s="4"/>
      <c r="X11" s="4"/>
      <c r="Y11" s="4"/>
      <c r="Z11" s="4"/>
    </row>
    <row r="12" ht="10.5" customHeight="1">
      <c r="A12" s="4"/>
      <c r="B12" s="632"/>
      <c r="C12" s="635" t="s">
        <v>236</v>
      </c>
      <c r="D12" s="637">
        <v>9326.88</v>
      </c>
      <c r="E12" s="637">
        <v>11953.39</v>
      </c>
      <c r="F12" s="637">
        <v>14499.4</v>
      </c>
      <c r="G12" s="637">
        <v>15839.2</v>
      </c>
      <c r="H12" s="637">
        <v>18941.54</v>
      </c>
      <c r="I12" s="637">
        <v>22126.74</v>
      </c>
      <c r="J12" s="637">
        <v>83667.91</v>
      </c>
      <c r="K12" s="637">
        <v>136268.28</v>
      </c>
      <c r="L12" s="637">
        <v>111498.51</v>
      </c>
      <c r="M12" s="637">
        <v>102123.74</v>
      </c>
      <c r="N12" s="637">
        <v>60662.46</v>
      </c>
      <c r="O12" s="637">
        <v>52844.18</v>
      </c>
      <c r="P12" s="642">
        <f t="shared" si="2"/>
        <v>639752.23</v>
      </c>
      <c r="Q12" s="4"/>
      <c r="R12" s="91"/>
      <c r="S12" s="4"/>
      <c r="T12" s="4"/>
      <c r="U12" s="4"/>
      <c r="V12" s="4"/>
      <c r="W12" s="4"/>
      <c r="X12" s="4"/>
      <c r="Y12" s="4"/>
      <c r="Z12" s="4"/>
    </row>
    <row r="13" ht="10.5" customHeight="1">
      <c r="A13" s="4"/>
      <c r="B13" s="632"/>
      <c r="C13" s="635" t="s">
        <v>237</v>
      </c>
      <c r="D13" s="637">
        <v>42874.52</v>
      </c>
      <c r="E13" s="637">
        <v>42157.94</v>
      </c>
      <c r="F13" s="637">
        <v>42866.66</v>
      </c>
      <c r="G13" s="637">
        <v>46229.99</v>
      </c>
      <c r="H13" s="637">
        <v>48917.08</v>
      </c>
      <c r="I13" s="637">
        <v>50658.75</v>
      </c>
      <c r="J13" s="637">
        <v>53154.78</v>
      </c>
      <c r="K13" s="637">
        <v>51730.49</v>
      </c>
      <c r="L13" s="637">
        <v>47537.69</v>
      </c>
      <c r="M13" s="637">
        <v>47990.77</v>
      </c>
      <c r="N13" s="637">
        <v>40506.2</v>
      </c>
      <c r="O13" s="637">
        <v>269105.52</v>
      </c>
      <c r="P13" s="642">
        <f t="shared" si="2"/>
        <v>783730.39</v>
      </c>
      <c r="Q13" s="4"/>
      <c r="R13" s="91"/>
      <c r="S13" s="4"/>
      <c r="T13" s="4"/>
      <c r="U13" s="4"/>
      <c r="V13" s="4"/>
      <c r="W13" s="4"/>
      <c r="X13" s="4"/>
      <c r="Y13" s="4"/>
      <c r="Z13" s="4"/>
    </row>
    <row r="14" ht="10.5" customHeight="1">
      <c r="A14" s="630" t="s">
        <v>238</v>
      </c>
      <c r="B14" s="632">
        <v>11.0</v>
      </c>
      <c r="C14" s="635" t="s">
        <v>239</v>
      </c>
      <c r="D14" s="637">
        <v>2025930.7799999998</v>
      </c>
      <c r="E14" s="637">
        <v>2003697.6199999999</v>
      </c>
      <c r="F14" s="637">
        <v>1961891.92</v>
      </c>
      <c r="G14" s="637">
        <v>2058628.1000000003</v>
      </c>
      <c r="H14" s="637">
        <v>1940587.6800000002</v>
      </c>
      <c r="I14" s="637">
        <v>1979942.2499999998</v>
      </c>
      <c r="J14" s="637">
        <v>1.1074707110000001E7</v>
      </c>
      <c r="K14" s="637">
        <v>1076315.97</v>
      </c>
      <c r="L14" s="637">
        <v>967499.69</v>
      </c>
      <c r="M14" s="637">
        <v>1059080.09</v>
      </c>
      <c r="N14" s="637">
        <v>993006.8099999999</v>
      </c>
      <c r="O14" s="637">
        <v>878412.3999999999</v>
      </c>
      <c r="P14" s="642">
        <f t="shared" si="2"/>
        <v>28019700.42</v>
      </c>
      <c r="Q14" s="4"/>
      <c r="R14" s="91"/>
      <c r="S14" s="4"/>
      <c r="T14" s="4"/>
      <c r="U14" s="4"/>
      <c r="V14" s="4"/>
      <c r="W14" s="4"/>
      <c r="X14" s="4"/>
      <c r="Y14" s="4"/>
      <c r="Z14" s="4"/>
    </row>
    <row r="15" ht="10.5" customHeight="1">
      <c r="A15" s="630" t="s">
        <v>240</v>
      </c>
      <c r="B15" s="632">
        <v>12.0</v>
      </c>
      <c r="C15" s="635" t="s">
        <v>241</v>
      </c>
      <c r="D15" s="637">
        <v>259509.33</v>
      </c>
      <c r="E15" s="637">
        <v>260535.22</v>
      </c>
      <c r="F15" s="637">
        <v>262341.46</v>
      </c>
      <c r="G15" s="637">
        <v>264754.13</v>
      </c>
      <c r="H15" s="637">
        <v>279346.45</v>
      </c>
      <c r="I15" s="637">
        <v>263175.59</v>
      </c>
      <c r="J15" s="637">
        <v>1299502.57</v>
      </c>
      <c r="K15" s="637">
        <v>194375.93</v>
      </c>
      <c r="L15" s="637">
        <v>179192.01</v>
      </c>
      <c r="M15" s="637">
        <v>195376.57</v>
      </c>
      <c r="N15" s="637">
        <v>168381.24</v>
      </c>
      <c r="O15" s="637">
        <v>166029.02</v>
      </c>
      <c r="P15" s="642">
        <f t="shared" si="2"/>
        <v>3792519.52</v>
      </c>
      <c r="Q15" s="4"/>
      <c r="R15" s="91"/>
      <c r="S15" s="4"/>
      <c r="T15" s="4"/>
      <c r="U15" s="4"/>
      <c r="V15" s="4"/>
      <c r="W15" s="4"/>
      <c r="X15" s="4"/>
      <c r="Y15" s="4"/>
      <c r="Z15" s="4"/>
    </row>
    <row r="16" ht="10.5" customHeight="1">
      <c r="A16" s="630" t="s">
        <v>242</v>
      </c>
      <c r="B16" s="632">
        <v>13.0</v>
      </c>
      <c r="C16" s="635" t="s">
        <v>243</v>
      </c>
      <c r="D16" s="637">
        <v>1766421.4499999997</v>
      </c>
      <c r="E16" s="637">
        <v>1743162.4</v>
      </c>
      <c r="F16" s="637">
        <v>1699550.46</v>
      </c>
      <c r="G16" s="637">
        <v>1793873.9700000002</v>
      </c>
      <c r="H16" s="637">
        <v>1661241.2300000002</v>
      </c>
      <c r="I16" s="637">
        <v>1716766.6599999997</v>
      </c>
      <c r="J16" s="637">
        <v>9775204.540000001</v>
      </c>
      <c r="K16" s="637">
        <v>881940.04</v>
      </c>
      <c r="L16" s="637">
        <v>788307.6799999999</v>
      </c>
      <c r="M16" s="637">
        <v>863703.52</v>
      </c>
      <c r="N16" s="637">
        <v>824625.57</v>
      </c>
      <c r="O16" s="637">
        <v>712383.3799999999</v>
      </c>
      <c r="P16" s="642">
        <f>P14-P15</f>
        <v>24227180.9</v>
      </c>
      <c r="Q16" s="4"/>
      <c r="R16" s="91"/>
      <c r="S16" s="4"/>
      <c r="T16" s="4"/>
      <c r="U16" s="4"/>
      <c r="V16" s="4"/>
      <c r="W16" s="4"/>
      <c r="X16" s="4"/>
      <c r="Y16" s="4"/>
      <c r="Z16" s="4"/>
    </row>
    <row r="17" ht="10.5" customHeight="1">
      <c r="A17" s="4"/>
      <c r="B17" s="4"/>
      <c r="C17" s="664"/>
      <c r="D17" s="91">
        <v>0.0</v>
      </c>
      <c r="E17" s="91">
        <v>0.0</v>
      </c>
      <c r="F17" s="91">
        <v>0.0</v>
      </c>
      <c r="G17" s="91">
        <v>0.0</v>
      </c>
      <c r="H17" s="91">
        <v>0.0</v>
      </c>
      <c r="I17" s="91">
        <v>0.0</v>
      </c>
      <c r="J17" s="91">
        <v>0.0</v>
      </c>
      <c r="K17" s="91">
        <v>0.0</v>
      </c>
      <c r="L17" s="91">
        <v>0.0</v>
      </c>
      <c r="M17" s="91">
        <v>0.0</v>
      </c>
      <c r="N17" s="91">
        <v>0.0</v>
      </c>
      <c r="O17" s="91">
        <v>0.0</v>
      </c>
      <c r="P17" s="91">
        <v>0.0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customHeight="1">
      <c r="A18" s="4"/>
      <c r="B18" s="4"/>
      <c r="C18" s="664"/>
      <c r="D18" s="91"/>
      <c r="E18" s="91"/>
      <c r="F18" s="91"/>
      <c r="G18" s="91"/>
      <c r="H18" s="91"/>
      <c r="I18" s="91"/>
      <c r="J18" s="91"/>
      <c r="K18" s="91"/>
      <c r="L18" s="91"/>
      <c r="M18" s="91">
        <f>SUM(D16:M16)</f>
        <v>22690171.95</v>
      </c>
      <c r="N18" s="91"/>
      <c r="O18" s="91"/>
      <c r="P18" s="665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.5" customHeight="1">
      <c r="A19" s="4"/>
      <c r="B19" s="78" t="s">
        <v>224</v>
      </c>
      <c r="C19" s="666" t="s">
        <v>244</v>
      </c>
      <c r="D19" s="667" t="s">
        <v>58</v>
      </c>
      <c r="E19" s="667" t="s">
        <v>59</v>
      </c>
      <c r="F19" s="667" t="s">
        <v>60</v>
      </c>
      <c r="G19" s="667" t="s">
        <v>61</v>
      </c>
      <c r="H19" s="667" t="s">
        <v>62</v>
      </c>
      <c r="I19" s="667" t="s">
        <v>63</v>
      </c>
      <c r="J19" s="667" t="s">
        <v>64</v>
      </c>
      <c r="K19" s="667" t="s">
        <v>65</v>
      </c>
      <c r="L19" s="667" t="s">
        <v>66</v>
      </c>
      <c r="M19" s="667" t="s">
        <v>67</v>
      </c>
      <c r="N19" s="667" t="s">
        <v>68</v>
      </c>
      <c r="O19" s="667" t="s">
        <v>69</v>
      </c>
      <c r="P19" s="667" t="s">
        <v>70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customHeight="1">
      <c r="A20" s="630" t="s">
        <v>226</v>
      </c>
      <c r="B20" s="632">
        <v>1.0</v>
      </c>
      <c r="C20" s="635" t="s">
        <v>40</v>
      </c>
      <c r="D20" s="668">
        <v>1731088.57</v>
      </c>
      <c r="E20" s="668">
        <v>1783611.41</v>
      </c>
      <c r="F20" s="668">
        <v>1717957.41</v>
      </c>
      <c r="G20" s="668">
        <v>2014801.76</v>
      </c>
      <c r="H20" s="668">
        <v>2346699.76</v>
      </c>
      <c r="I20" s="668">
        <v>2347298.18</v>
      </c>
      <c r="J20" s="668">
        <v>2353403.43</v>
      </c>
      <c r="K20" s="668">
        <v>2451078.19</v>
      </c>
      <c r="L20" s="668">
        <v>2464958.66</v>
      </c>
      <c r="M20" s="668">
        <v>2518575.37</v>
      </c>
      <c r="N20" s="668">
        <v>2531962.88</v>
      </c>
      <c r="O20" s="668">
        <v>2536509.01</v>
      </c>
      <c r="P20" s="669">
        <v>2.6305046629999995E7</v>
      </c>
      <c r="Q20" s="4"/>
      <c r="R20" s="91"/>
      <c r="S20" s="4"/>
      <c r="T20" s="4"/>
      <c r="U20" s="4"/>
      <c r="V20" s="4"/>
      <c r="W20" s="4"/>
      <c r="X20" s="4"/>
      <c r="Y20" s="4"/>
      <c r="Z20" s="4"/>
    </row>
    <row r="21" ht="10.5" customHeight="1">
      <c r="A21" s="630" t="s">
        <v>227</v>
      </c>
      <c r="B21" s="632">
        <v>2.0</v>
      </c>
      <c r="C21" s="635" t="s">
        <v>71</v>
      </c>
      <c r="D21" s="668">
        <v>63184.73</v>
      </c>
      <c r="E21" s="668">
        <v>65101.82</v>
      </c>
      <c r="F21" s="668">
        <v>62705.45</v>
      </c>
      <c r="G21" s="668">
        <v>73540.26</v>
      </c>
      <c r="H21" s="668">
        <v>85654.54</v>
      </c>
      <c r="I21" s="668">
        <v>85676.38</v>
      </c>
      <c r="J21" s="668">
        <v>85899.23</v>
      </c>
      <c r="K21" s="668">
        <v>89464.35</v>
      </c>
      <c r="L21" s="668">
        <v>89970.99</v>
      </c>
      <c r="M21" s="668">
        <v>91928.0</v>
      </c>
      <c r="N21" s="668">
        <v>92416.65</v>
      </c>
      <c r="O21" s="668">
        <v>92582.58</v>
      </c>
      <c r="P21" s="669">
        <v>960134.21</v>
      </c>
      <c r="Q21" s="4"/>
      <c r="R21" s="91"/>
      <c r="S21" s="4"/>
      <c r="T21" s="4"/>
      <c r="U21" s="4"/>
      <c r="V21" s="4"/>
      <c r="W21" s="4"/>
      <c r="X21" s="4"/>
      <c r="Y21" s="4"/>
      <c r="Z21" s="4"/>
    </row>
    <row r="22" ht="10.5" customHeight="1">
      <c r="A22" s="630" t="s">
        <v>229</v>
      </c>
      <c r="B22" s="632">
        <v>3.0</v>
      </c>
      <c r="C22" s="635" t="s">
        <v>72</v>
      </c>
      <c r="D22" s="668">
        <v>1667903.84</v>
      </c>
      <c r="E22" s="668">
        <v>1718509.5899999999</v>
      </c>
      <c r="F22" s="668">
        <v>1655251.96</v>
      </c>
      <c r="G22" s="668">
        <v>1941261.5</v>
      </c>
      <c r="H22" s="668">
        <v>2261045.2199999997</v>
      </c>
      <c r="I22" s="668">
        <v>2261621.8000000003</v>
      </c>
      <c r="J22" s="668">
        <v>2267504.2</v>
      </c>
      <c r="K22" s="668">
        <v>2361613.84</v>
      </c>
      <c r="L22" s="668">
        <v>2374987.67</v>
      </c>
      <c r="M22" s="668">
        <v>2426647.37</v>
      </c>
      <c r="N22" s="668">
        <v>2439546.23</v>
      </c>
      <c r="O22" s="668">
        <v>2443926.4299999997</v>
      </c>
      <c r="P22" s="669">
        <v>2.5344912419999994E7</v>
      </c>
      <c r="Q22" s="4"/>
      <c r="R22" s="91"/>
      <c r="S22" s="4"/>
      <c r="T22" s="4"/>
      <c r="U22" s="4"/>
      <c r="V22" s="4"/>
      <c r="W22" s="4"/>
      <c r="X22" s="4"/>
      <c r="Y22" s="4"/>
      <c r="Z22" s="4"/>
    </row>
    <row r="23" ht="10.5" customHeight="1">
      <c r="A23" s="630" t="s">
        <v>230</v>
      </c>
      <c r="B23" s="632">
        <v>4.0</v>
      </c>
      <c r="C23" s="635" t="s">
        <v>73</v>
      </c>
      <c r="D23" s="668">
        <v>0.0</v>
      </c>
      <c r="E23" s="668">
        <v>0.0</v>
      </c>
      <c r="F23" s="668">
        <v>0.0</v>
      </c>
      <c r="G23" s="668">
        <v>0.0</v>
      </c>
      <c r="H23" s="668">
        <v>0.0</v>
      </c>
      <c r="I23" s="668">
        <v>0.0</v>
      </c>
      <c r="J23" s="668">
        <v>0.0</v>
      </c>
      <c r="K23" s="668">
        <v>0.0</v>
      </c>
      <c r="L23" s="668">
        <v>0.0</v>
      </c>
      <c r="M23" s="668">
        <v>0.0</v>
      </c>
      <c r="N23" s="668">
        <v>0.0</v>
      </c>
      <c r="O23" s="668">
        <v>0.0</v>
      </c>
      <c r="P23" s="670">
        <v>0.0</v>
      </c>
      <c r="Q23" s="4"/>
      <c r="R23" s="91"/>
      <c r="S23" s="4"/>
      <c r="T23" s="4"/>
      <c r="U23" s="4"/>
      <c r="V23" s="4"/>
      <c r="W23" s="4"/>
      <c r="X23" s="4"/>
      <c r="Y23" s="4"/>
      <c r="Z23" s="4"/>
    </row>
    <row r="24" ht="10.5" customHeight="1">
      <c r="A24" s="630" t="s">
        <v>231</v>
      </c>
      <c r="B24" s="632">
        <v>5.0</v>
      </c>
      <c r="C24" s="635" t="s">
        <v>75</v>
      </c>
      <c r="D24" s="668">
        <v>1667903.84</v>
      </c>
      <c r="E24" s="668">
        <v>1718509.5899999999</v>
      </c>
      <c r="F24" s="668">
        <v>1655251.96</v>
      </c>
      <c r="G24" s="668">
        <v>1941261.5</v>
      </c>
      <c r="H24" s="668">
        <v>2261045.2199999997</v>
      </c>
      <c r="I24" s="668">
        <v>2261621.8000000003</v>
      </c>
      <c r="J24" s="668">
        <v>2267504.2</v>
      </c>
      <c r="K24" s="668">
        <v>2361613.84</v>
      </c>
      <c r="L24" s="668">
        <v>2374987.67</v>
      </c>
      <c r="M24" s="668">
        <v>2426647.37</v>
      </c>
      <c r="N24" s="668">
        <v>2439546.23</v>
      </c>
      <c r="O24" s="668">
        <v>2443926.4299999997</v>
      </c>
      <c r="P24" s="669">
        <v>2.5344912419999994E7</v>
      </c>
      <c r="Q24" s="4"/>
      <c r="R24" s="91"/>
      <c r="S24" s="4"/>
      <c r="T24" s="4"/>
      <c r="U24" s="4"/>
      <c r="V24" s="4"/>
      <c r="W24" s="4"/>
      <c r="X24" s="4"/>
      <c r="Y24" s="4"/>
      <c r="Z24" s="4"/>
    </row>
    <row r="25" ht="10.5" customHeight="1">
      <c r="A25" s="652" t="s">
        <v>232</v>
      </c>
      <c r="B25" s="653">
        <v>6.0</v>
      </c>
      <c r="C25" s="654" t="s">
        <v>77</v>
      </c>
      <c r="D25" s="672">
        <v>1001655.17</v>
      </c>
      <c r="E25" s="672">
        <v>151900.78</v>
      </c>
      <c r="F25" s="672">
        <v>188796.88</v>
      </c>
      <c r="G25" s="672">
        <v>859526.62</v>
      </c>
      <c r="H25" s="672">
        <v>222290.17</v>
      </c>
      <c r="I25" s="672">
        <v>176072.51</v>
      </c>
      <c r="J25" s="672">
        <v>194245.29</v>
      </c>
      <c r="K25" s="672">
        <v>249509.77</v>
      </c>
      <c r="L25" s="672">
        <v>171313.44</v>
      </c>
      <c r="M25" s="672">
        <v>206718.77</v>
      </c>
      <c r="N25" s="672">
        <v>164348.92</v>
      </c>
      <c r="O25" s="672">
        <v>164269.65</v>
      </c>
      <c r="P25" s="673">
        <v>4163292.9299999997</v>
      </c>
      <c r="Q25" s="655"/>
      <c r="R25" s="656"/>
      <c r="S25" s="655"/>
      <c r="T25" s="655"/>
      <c r="U25" s="655"/>
      <c r="V25" s="655"/>
      <c r="W25" s="655"/>
      <c r="X25" s="655"/>
      <c r="Y25" s="655"/>
      <c r="Z25" s="655"/>
    </row>
    <row r="26" ht="10.5" customHeight="1">
      <c r="A26" s="657" t="s">
        <v>233</v>
      </c>
      <c r="B26" s="658">
        <v>7.0</v>
      </c>
      <c r="C26" s="659" t="s">
        <v>80</v>
      </c>
      <c r="D26" s="674">
        <v>666248.67</v>
      </c>
      <c r="E26" s="674">
        <v>1566608.8099999998</v>
      </c>
      <c r="F26" s="674">
        <v>1466455.08</v>
      </c>
      <c r="G26" s="674">
        <v>1081734.88</v>
      </c>
      <c r="H26" s="674">
        <v>2038755.0499999998</v>
      </c>
      <c r="I26" s="674">
        <v>2085549.2900000003</v>
      </c>
      <c r="J26" s="674">
        <v>2073258.9100000001</v>
      </c>
      <c r="K26" s="674">
        <v>2112104.07</v>
      </c>
      <c r="L26" s="674">
        <v>2203674.23</v>
      </c>
      <c r="M26" s="674">
        <v>2219928.6</v>
      </c>
      <c r="N26" s="674">
        <v>2275197.31</v>
      </c>
      <c r="O26" s="674">
        <v>2279656.78</v>
      </c>
      <c r="P26" s="675">
        <v>2.1181619489999995E7</v>
      </c>
      <c r="Q26" s="661"/>
      <c r="R26" s="662"/>
      <c r="S26" s="661"/>
      <c r="T26" s="661"/>
      <c r="U26" s="661"/>
      <c r="V26" s="661"/>
      <c r="W26" s="661"/>
      <c r="X26" s="661"/>
      <c r="Y26" s="661"/>
      <c r="Z26" s="661"/>
    </row>
    <row r="27" ht="10.5" customHeight="1">
      <c r="A27" s="630" t="s">
        <v>234</v>
      </c>
      <c r="B27" s="632">
        <v>8.0</v>
      </c>
      <c r="C27" s="635" t="s">
        <v>82</v>
      </c>
      <c r="D27" s="668">
        <v>115760.49</v>
      </c>
      <c r="E27" s="668">
        <v>115760.49</v>
      </c>
      <c r="F27" s="668">
        <v>118600.52</v>
      </c>
      <c r="G27" s="668">
        <v>118600.52</v>
      </c>
      <c r="H27" s="668">
        <v>118600.52</v>
      </c>
      <c r="I27" s="668">
        <v>118600.52</v>
      </c>
      <c r="J27" s="668">
        <v>120436.08</v>
      </c>
      <c r="K27" s="668">
        <v>120603.35</v>
      </c>
      <c r="L27" s="668">
        <v>120603.35</v>
      </c>
      <c r="M27" s="668">
        <v>120660.69</v>
      </c>
      <c r="N27" s="668">
        <v>120660.69</v>
      </c>
      <c r="O27" s="668">
        <v>120660.69</v>
      </c>
      <c r="P27" s="669">
        <v>1429547.91</v>
      </c>
      <c r="Q27" s="4"/>
      <c r="R27" s="91"/>
      <c r="S27" s="4"/>
      <c r="T27" s="4"/>
      <c r="U27" s="4"/>
      <c r="V27" s="4"/>
      <c r="W27" s="4"/>
      <c r="X27" s="4"/>
      <c r="Y27" s="4"/>
      <c r="Z27" s="4"/>
    </row>
    <row r="28" ht="10.5" customHeight="1">
      <c r="A28" s="630" t="s">
        <v>235</v>
      </c>
      <c r="B28" s="632">
        <v>9.0</v>
      </c>
      <c r="C28" s="635" t="s">
        <v>83</v>
      </c>
      <c r="D28" s="668">
        <v>550488.18</v>
      </c>
      <c r="E28" s="668">
        <v>1450848.3199999998</v>
      </c>
      <c r="F28" s="668">
        <v>1347854.56</v>
      </c>
      <c r="G28" s="668">
        <v>963134.3599999999</v>
      </c>
      <c r="H28" s="668">
        <v>1920154.5299999998</v>
      </c>
      <c r="I28" s="668">
        <v>1966948.7700000003</v>
      </c>
      <c r="J28" s="668">
        <v>1952822.83</v>
      </c>
      <c r="K28" s="668">
        <v>1991500.7199999997</v>
      </c>
      <c r="L28" s="668">
        <v>2083070.88</v>
      </c>
      <c r="M28" s="668">
        <v>2099267.91</v>
      </c>
      <c r="N28" s="668">
        <v>2154536.62</v>
      </c>
      <c r="O28" s="668">
        <v>2158996.09</v>
      </c>
      <c r="P28" s="669">
        <v>1.9752071579999994E7</v>
      </c>
      <c r="Q28" s="4"/>
      <c r="R28" s="91"/>
      <c r="S28" s="4"/>
      <c r="T28" s="4"/>
      <c r="U28" s="4"/>
      <c r="V28" s="4"/>
      <c r="W28" s="4"/>
      <c r="X28" s="4"/>
      <c r="Y28" s="4"/>
      <c r="Z28" s="4"/>
    </row>
    <row r="29" ht="10.5" customHeight="1">
      <c r="A29" s="4"/>
      <c r="B29" s="632">
        <v>10.0</v>
      </c>
      <c r="C29" s="635" t="s">
        <v>84</v>
      </c>
      <c r="D29" s="668">
        <v>0.0</v>
      </c>
      <c r="E29" s="668">
        <v>0.0</v>
      </c>
      <c r="F29" s="668">
        <v>0.0</v>
      </c>
      <c r="G29" s="668">
        <v>0.0</v>
      </c>
      <c r="H29" s="668">
        <v>0.0</v>
      </c>
      <c r="I29" s="668">
        <v>0.0</v>
      </c>
      <c r="J29" s="668">
        <v>0.0</v>
      </c>
      <c r="K29" s="668">
        <v>0.0</v>
      </c>
      <c r="L29" s="668">
        <v>0.0</v>
      </c>
      <c r="M29" s="668">
        <v>0.0</v>
      </c>
      <c r="N29" s="668">
        <v>0.0</v>
      </c>
      <c r="O29" s="668">
        <v>0.0</v>
      </c>
      <c r="P29" s="670">
        <v>0.0</v>
      </c>
      <c r="Q29" s="4"/>
      <c r="R29" s="91"/>
      <c r="S29" s="4"/>
      <c r="T29" s="4"/>
      <c r="U29" s="4"/>
      <c r="V29" s="4"/>
      <c r="W29" s="4"/>
      <c r="X29" s="4"/>
      <c r="Y29" s="4"/>
      <c r="Z29" s="4"/>
    </row>
    <row r="30" ht="10.5" customHeight="1">
      <c r="A30" s="4"/>
      <c r="B30" s="632"/>
      <c r="C30" s="635" t="s">
        <v>236</v>
      </c>
      <c r="D30" s="637">
        <v>22289.72</v>
      </c>
      <c r="E30" s="637">
        <v>8215.44</v>
      </c>
      <c r="F30" s="637">
        <v>4795.14</v>
      </c>
      <c r="G30" s="637">
        <v>4158.78</v>
      </c>
      <c r="H30" s="637">
        <v>5246.49</v>
      </c>
      <c r="I30" s="637">
        <v>7693.33</v>
      </c>
      <c r="J30" s="637">
        <v>5780.64</v>
      </c>
      <c r="K30" s="637">
        <v>7172.91</v>
      </c>
      <c r="L30" s="637">
        <v>10210.82</v>
      </c>
      <c r="M30" s="637">
        <v>6792.99</v>
      </c>
      <c r="N30" s="637">
        <v>4232.05</v>
      </c>
      <c r="O30" s="637">
        <v>6461.91</v>
      </c>
      <c r="P30" s="669">
        <v>93050.22</v>
      </c>
      <c r="Q30" s="4"/>
      <c r="R30" s="91"/>
      <c r="S30" s="4"/>
      <c r="T30" s="4"/>
      <c r="U30" s="4"/>
      <c r="V30" s="4"/>
      <c r="W30" s="4"/>
      <c r="X30" s="4"/>
      <c r="Y30" s="4"/>
      <c r="Z30" s="4"/>
    </row>
    <row r="31" ht="10.5" customHeight="1">
      <c r="A31" s="4"/>
      <c r="B31" s="632"/>
      <c r="C31" s="635" t="s">
        <v>237</v>
      </c>
      <c r="D31" s="637">
        <v>111088.0</v>
      </c>
      <c r="E31" s="637">
        <v>107233.0</v>
      </c>
      <c r="F31" s="637">
        <v>107843.0</v>
      </c>
      <c r="G31" s="637">
        <v>104047.0</v>
      </c>
      <c r="H31" s="637">
        <v>101746.0</v>
      </c>
      <c r="I31" s="637">
        <v>100907.0</v>
      </c>
      <c r="J31" s="637">
        <v>98642.0</v>
      </c>
      <c r="K31" s="637">
        <v>96400.0</v>
      </c>
      <c r="L31" s="637">
        <v>94181.0</v>
      </c>
      <c r="M31" s="637">
        <v>93377.0</v>
      </c>
      <c r="N31" s="637">
        <v>90504.0</v>
      </c>
      <c r="O31" s="637">
        <v>89717.0</v>
      </c>
      <c r="P31" s="669">
        <v>1195685.0</v>
      </c>
      <c r="Q31" s="4"/>
      <c r="R31" s="91"/>
      <c r="S31" s="4"/>
      <c r="T31" s="4"/>
      <c r="U31" s="4"/>
      <c r="V31" s="4"/>
      <c r="W31" s="4"/>
      <c r="X31" s="4"/>
      <c r="Y31" s="4"/>
      <c r="Z31" s="4"/>
    </row>
    <row r="32" ht="10.5" customHeight="1">
      <c r="A32" s="630" t="s">
        <v>238</v>
      </c>
      <c r="B32" s="632">
        <v>11.0</v>
      </c>
      <c r="C32" s="635" t="s">
        <v>239</v>
      </c>
      <c r="D32" s="668">
        <v>461689.9</v>
      </c>
      <c r="E32" s="668">
        <v>1351830.7599999998</v>
      </c>
      <c r="F32" s="668">
        <v>1244806.7</v>
      </c>
      <c r="G32" s="668">
        <v>863246.1399999999</v>
      </c>
      <c r="H32" s="668">
        <v>1823655.0199999998</v>
      </c>
      <c r="I32" s="668">
        <v>1873735.1000000003</v>
      </c>
      <c r="J32" s="668">
        <v>1859961.47</v>
      </c>
      <c r="K32" s="668">
        <v>1902273.6299999997</v>
      </c>
      <c r="L32" s="668">
        <v>1999100.7</v>
      </c>
      <c r="M32" s="668">
        <v>2012683.9000000004</v>
      </c>
      <c r="N32" s="668">
        <v>2068264.67</v>
      </c>
      <c r="O32" s="668">
        <v>2075741.0</v>
      </c>
      <c r="P32" s="669">
        <v>1.8649436799999997E7</v>
      </c>
      <c r="Q32" s="4"/>
      <c r="R32" s="91"/>
      <c r="S32" s="4"/>
      <c r="T32" s="4"/>
      <c r="U32" s="4"/>
      <c r="V32" s="4"/>
      <c r="W32" s="4"/>
      <c r="X32" s="4"/>
      <c r="Y32" s="4"/>
      <c r="Z32" s="4"/>
    </row>
    <row r="33" ht="10.5" customHeight="1">
      <c r="A33" s="630" t="s">
        <v>240</v>
      </c>
      <c r="B33" s="632">
        <v>12.0</v>
      </c>
      <c r="C33" s="635" t="s">
        <v>241</v>
      </c>
      <c r="D33" s="668">
        <v>208221.85</v>
      </c>
      <c r="E33" s="668">
        <v>209722.53</v>
      </c>
      <c r="F33" s="668">
        <v>200702.16</v>
      </c>
      <c r="G33" s="668">
        <v>236012.13</v>
      </c>
      <c r="H33" s="668">
        <v>276103.5</v>
      </c>
      <c r="I33" s="668">
        <v>277007.04</v>
      </c>
      <c r="J33" s="668">
        <v>277087.41</v>
      </c>
      <c r="K33" s="668">
        <v>289250.49</v>
      </c>
      <c r="L33" s="668">
        <v>291944.6</v>
      </c>
      <c r="M33" s="668">
        <v>297199.38</v>
      </c>
      <c r="N33" s="668">
        <v>297930.88</v>
      </c>
      <c r="O33" s="668">
        <v>299233.11</v>
      </c>
      <c r="P33" s="669">
        <v>2869626.1399999997</v>
      </c>
      <c r="Q33" s="4"/>
      <c r="R33" s="91"/>
      <c r="S33" s="4"/>
      <c r="T33" s="4"/>
      <c r="U33" s="4"/>
      <c r="V33" s="4"/>
      <c r="W33" s="4"/>
      <c r="X33" s="4"/>
      <c r="Y33" s="4"/>
      <c r="Z33" s="4"/>
    </row>
    <row r="34" ht="10.5" customHeight="1">
      <c r="A34" s="630" t="s">
        <v>242</v>
      </c>
      <c r="B34" s="632">
        <v>13.0</v>
      </c>
      <c r="C34" s="635" t="s">
        <v>243</v>
      </c>
      <c r="D34" s="679">
        <v>253468.05000000002</v>
      </c>
      <c r="E34" s="679">
        <v>1142108.2299999997</v>
      </c>
      <c r="F34" s="679">
        <v>1044104.5399999999</v>
      </c>
      <c r="G34" s="679">
        <v>627234.0099999999</v>
      </c>
      <c r="H34" s="679">
        <v>1547551.5199999998</v>
      </c>
      <c r="I34" s="679">
        <v>1596728.0600000003</v>
      </c>
      <c r="J34" s="668">
        <v>1582874.06</v>
      </c>
      <c r="K34" s="668">
        <v>1613023.1399999997</v>
      </c>
      <c r="L34" s="668">
        <v>1707156.1</v>
      </c>
      <c r="M34" s="680">
        <v>1715484.5200000005</v>
      </c>
      <c r="N34" s="668">
        <v>1770333.79</v>
      </c>
      <c r="O34" s="668">
        <v>1776507.8900000001</v>
      </c>
      <c r="P34" s="681">
        <v>1.5779810659999996E7</v>
      </c>
      <c r="Q34" s="137"/>
      <c r="R34" s="91"/>
      <c r="S34" s="4"/>
      <c r="T34" s="4"/>
      <c r="U34" s="4"/>
      <c r="V34" s="4"/>
      <c r="W34" s="4"/>
      <c r="X34" s="4"/>
      <c r="Y34" s="4"/>
      <c r="Z34" s="4"/>
    </row>
    <row r="35" ht="10.5" customHeight="1">
      <c r="A35" s="4"/>
      <c r="B35" s="4"/>
      <c r="C35" s="664"/>
      <c r="D35" s="682">
        <v>0.0</v>
      </c>
      <c r="E35" s="682">
        <v>0.0</v>
      </c>
      <c r="F35" s="682">
        <v>0.0</v>
      </c>
      <c r="G35" s="682">
        <v>0.0</v>
      </c>
      <c r="H35" s="682">
        <v>0.0</v>
      </c>
      <c r="I35" s="682">
        <v>0.0</v>
      </c>
      <c r="J35" s="682">
        <v>0.0</v>
      </c>
      <c r="K35" s="682">
        <v>0.0</v>
      </c>
      <c r="L35" s="682">
        <v>0.0</v>
      </c>
      <c r="M35" s="682">
        <v>0.0</v>
      </c>
      <c r="N35" s="682">
        <v>0.0</v>
      </c>
      <c r="O35" s="682">
        <v>0.0</v>
      </c>
      <c r="P35" s="91">
        <v>0.0</v>
      </c>
      <c r="Q35" s="137"/>
      <c r="R35" s="4"/>
      <c r="S35" s="4"/>
      <c r="T35" s="4"/>
      <c r="U35" s="4"/>
      <c r="V35" s="4"/>
      <c r="W35" s="4"/>
      <c r="X35" s="4"/>
      <c r="Y35" s="4"/>
      <c r="Z35" s="4"/>
    </row>
    <row r="36" ht="10.5" customHeight="1">
      <c r="A36" s="4"/>
      <c r="B36" s="4"/>
      <c r="C36" s="664"/>
      <c r="D36" s="683"/>
      <c r="E36" s="4"/>
      <c r="F36" s="4"/>
      <c r="G36" s="4"/>
      <c r="H36" s="4"/>
      <c r="I36" s="4"/>
      <c r="J36" s="684"/>
      <c r="K36" s="4"/>
      <c r="L36" s="4"/>
      <c r="M36" s="91">
        <f>SUM(D34:M34)</f>
        <v>12829732.23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.5" customHeight="1">
      <c r="A37" s="4"/>
      <c r="B37" s="78" t="s">
        <v>224</v>
      </c>
      <c r="C37" s="686" t="s">
        <v>225</v>
      </c>
      <c r="D37" s="78" t="s">
        <v>58</v>
      </c>
      <c r="E37" s="78" t="s">
        <v>59</v>
      </c>
      <c r="F37" s="78" t="s">
        <v>60</v>
      </c>
      <c r="G37" s="78" t="s">
        <v>61</v>
      </c>
      <c r="H37" s="78" t="s">
        <v>62</v>
      </c>
      <c r="I37" s="78" t="s">
        <v>63</v>
      </c>
      <c r="J37" s="78" t="s">
        <v>64</v>
      </c>
      <c r="K37" s="78" t="s">
        <v>65</v>
      </c>
      <c r="L37" s="78" t="s">
        <v>66</v>
      </c>
      <c r="M37" s="78" t="s">
        <v>67</v>
      </c>
      <c r="N37" s="78" t="s">
        <v>68</v>
      </c>
      <c r="O37" s="78" t="s">
        <v>69</v>
      </c>
      <c r="P37" s="78" t="s">
        <v>70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.5" customHeight="1">
      <c r="A38" s="630" t="s">
        <v>226</v>
      </c>
      <c r="B38" s="632">
        <v>1.0</v>
      </c>
      <c r="C38" s="635" t="s">
        <v>40</v>
      </c>
      <c r="D38" s="688">
        <v>1717832.29</v>
      </c>
      <c r="E38" s="680">
        <v>1790624.83</v>
      </c>
      <c r="F38" s="680">
        <v>1974258.03</v>
      </c>
      <c r="G38" s="680">
        <v>2138173.83</v>
      </c>
      <c r="H38" s="680">
        <v>2138173.83</v>
      </c>
      <c r="I38" s="680">
        <v>2473580.47</v>
      </c>
      <c r="J38" s="668">
        <v>2480696.78</v>
      </c>
      <c r="K38" s="668">
        <v>2492086.99</v>
      </c>
      <c r="L38" s="668">
        <v>2508979.65</v>
      </c>
      <c r="M38" s="668">
        <v>2518986.21</v>
      </c>
      <c r="N38" s="668">
        <v>2535404.88</v>
      </c>
      <c r="O38" s="668">
        <v>2541316.92</v>
      </c>
      <c r="P38" s="669">
        <f t="shared" ref="P38:P52" si="3">SUM(D38:O38)</f>
        <v>27310114.71</v>
      </c>
      <c r="Q38" s="4"/>
      <c r="R38" s="91"/>
      <c r="S38" s="4"/>
      <c r="T38" s="4"/>
      <c r="U38" s="4"/>
      <c r="V38" s="4"/>
      <c r="W38" s="4"/>
      <c r="X38" s="4"/>
      <c r="Y38" s="4"/>
      <c r="Z38" s="4"/>
    </row>
    <row r="39" ht="10.5" customHeight="1">
      <c r="A39" s="630" t="s">
        <v>227</v>
      </c>
      <c r="B39" s="632">
        <v>2.0</v>
      </c>
      <c r="C39" s="635" t="s">
        <v>71</v>
      </c>
      <c r="D39" s="688">
        <v>62700.88</v>
      </c>
      <c r="E39" s="680">
        <v>65357.8</v>
      </c>
      <c r="F39" s="680">
        <v>72060.42</v>
      </c>
      <c r="G39" s="680">
        <v>78043.34</v>
      </c>
      <c r="H39" s="680">
        <v>78043.34</v>
      </c>
      <c r="I39" s="680">
        <v>90285.68</v>
      </c>
      <c r="J39" s="668">
        <v>90545.43</v>
      </c>
      <c r="K39" s="668">
        <v>90961.18</v>
      </c>
      <c r="L39" s="668">
        <v>91577.76</v>
      </c>
      <c r="M39" s="668">
        <v>91943.0</v>
      </c>
      <c r="N39" s="668">
        <v>92542.28</v>
      </c>
      <c r="O39" s="668">
        <v>92758.07</v>
      </c>
      <c r="P39" s="669">
        <f t="shared" si="3"/>
        <v>996819.18</v>
      </c>
      <c r="Q39" s="4"/>
      <c r="R39" s="91"/>
      <c r="S39" s="4"/>
      <c r="T39" s="4"/>
      <c r="U39" s="4"/>
      <c r="V39" s="4"/>
      <c r="W39" s="4"/>
      <c r="X39" s="4"/>
      <c r="Y39" s="4"/>
      <c r="Z39" s="4"/>
    </row>
    <row r="40" ht="10.5" customHeight="1">
      <c r="A40" s="630" t="s">
        <v>229</v>
      </c>
      <c r="B40" s="632">
        <v>3.0</v>
      </c>
      <c r="C40" s="635" t="s">
        <v>72</v>
      </c>
      <c r="D40" s="688">
        <v>1655131.4100000001</v>
      </c>
      <c r="E40" s="680">
        <v>1725267.03</v>
      </c>
      <c r="F40" s="680">
        <v>1902197.61</v>
      </c>
      <c r="G40" s="680">
        <v>2060130.49</v>
      </c>
      <c r="H40" s="680">
        <v>2060130.49</v>
      </c>
      <c r="I40" s="680">
        <v>2383294.79</v>
      </c>
      <c r="J40" s="668">
        <v>2390151.3499999996</v>
      </c>
      <c r="K40" s="668">
        <v>2401125.81</v>
      </c>
      <c r="L40" s="668">
        <v>2417401.89</v>
      </c>
      <c r="M40" s="668">
        <v>2427043.21</v>
      </c>
      <c r="N40" s="668">
        <v>2442862.6</v>
      </c>
      <c r="O40" s="668">
        <v>2448558.85</v>
      </c>
      <c r="P40" s="669">
        <f t="shared" si="3"/>
        <v>26313295.53</v>
      </c>
      <c r="Q40" s="4"/>
      <c r="R40" s="91"/>
      <c r="S40" s="4"/>
      <c r="T40" s="4"/>
      <c r="U40" s="4"/>
      <c r="V40" s="4"/>
      <c r="W40" s="4"/>
      <c r="X40" s="4"/>
      <c r="Y40" s="4"/>
      <c r="Z40" s="4"/>
    </row>
    <row r="41" ht="10.5" customHeight="1">
      <c r="A41" s="630" t="s">
        <v>230</v>
      </c>
      <c r="B41" s="632">
        <v>4.0</v>
      </c>
      <c r="C41" s="635" t="s">
        <v>73</v>
      </c>
      <c r="D41" s="688">
        <v>0.0</v>
      </c>
      <c r="E41" s="680">
        <v>0.0</v>
      </c>
      <c r="F41" s="680">
        <v>0.0</v>
      </c>
      <c r="G41" s="680">
        <v>0.0</v>
      </c>
      <c r="H41" s="680">
        <v>0.0</v>
      </c>
      <c r="I41" s="680">
        <v>0.0</v>
      </c>
      <c r="J41" s="668">
        <v>0.0</v>
      </c>
      <c r="K41" s="668">
        <v>0.0</v>
      </c>
      <c r="L41" s="668">
        <v>0.0</v>
      </c>
      <c r="M41" s="668">
        <v>0.0</v>
      </c>
      <c r="N41" s="668">
        <v>0.0</v>
      </c>
      <c r="O41" s="668">
        <v>0.0</v>
      </c>
      <c r="P41" s="669">
        <f t="shared" si="3"/>
        <v>0</v>
      </c>
      <c r="Q41" s="4"/>
      <c r="R41" s="91"/>
      <c r="S41" s="4"/>
      <c r="T41" s="4"/>
      <c r="U41" s="4"/>
      <c r="V41" s="4"/>
      <c r="W41" s="4"/>
      <c r="X41" s="4"/>
      <c r="Y41" s="4"/>
      <c r="Z41" s="4"/>
    </row>
    <row r="42" ht="10.5" customHeight="1">
      <c r="A42" s="630" t="s">
        <v>231</v>
      </c>
      <c r="B42" s="632">
        <v>5.0</v>
      </c>
      <c r="C42" s="635" t="s">
        <v>75</v>
      </c>
      <c r="D42" s="688">
        <v>1655131.4100000001</v>
      </c>
      <c r="E42" s="680">
        <v>1725267.03</v>
      </c>
      <c r="F42" s="680">
        <v>1902197.61</v>
      </c>
      <c r="G42" s="680">
        <v>2060130.49</v>
      </c>
      <c r="H42" s="680">
        <v>2060130.49</v>
      </c>
      <c r="I42" s="680">
        <v>2383294.79</v>
      </c>
      <c r="J42" s="668">
        <v>2390151.3499999996</v>
      </c>
      <c r="K42" s="668">
        <v>2401125.81</v>
      </c>
      <c r="L42" s="668">
        <v>2417401.89</v>
      </c>
      <c r="M42" s="668">
        <v>2427043.21</v>
      </c>
      <c r="N42" s="668">
        <v>2442862.6</v>
      </c>
      <c r="O42" s="668">
        <v>2448558.85</v>
      </c>
      <c r="P42" s="669">
        <f t="shared" si="3"/>
        <v>26313295.53</v>
      </c>
      <c r="Q42" s="4"/>
      <c r="R42" s="91"/>
      <c r="S42" s="4"/>
      <c r="T42" s="4"/>
      <c r="U42" s="4"/>
      <c r="V42" s="4"/>
      <c r="W42" s="4"/>
      <c r="X42" s="4"/>
      <c r="Y42" s="4"/>
      <c r="Z42" s="4"/>
    </row>
    <row r="43" ht="10.5" customHeight="1">
      <c r="A43" s="652" t="s">
        <v>232</v>
      </c>
      <c r="B43" s="653">
        <v>6.0</v>
      </c>
      <c r="C43" s="654" t="s">
        <v>77</v>
      </c>
      <c r="D43" s="691">
        <v>938566.61</v>
      </c>
      <c r="E43" s="692">
        <v>156231.24</v>
      </c>
      <c r="F43" s="692">
        <v>127900.28</v>
      </c>
      <c r="G43" s="692">
        <v>820056.85</v>
      </c>
      <c r="H43" s="692">
        <v>156332.35</v>
      </c>
      <c r="I43" s="692">
        <v>197390.68</v>
      </c>
      <c r="J43" s="672">
        <v>158529.51</v>
      </c>
      <c r="K43" s="672">
        <v>157976.11</v>
      </c>
      <c r="L43" s="672">
        <v>163981.22</v>
      </c>
      <c r="M43" s="672">
        <v>156402.53</v>
      </c>
      <c r="N43" s="672">
        <v>158836.16</v>
      </c>
      <c r="O43" s="672">
        <v>177158.36</v>
      </c>
      <c r="P43" s="669">
        <f t="shared" si="3"/>
        <v>3369361.9</v>
      </c>
      <c r="Q43" s="655"/>
      <c r="R43" s="656"/>
      <c r="S43" s="655"/>
      <c r="T43" s="655"/>
      <c r="U43" s="655"/>
      <c r="V43" s="655"/>
      <c r="W43" s="655"/>
      <c r="X43" s="655"/>
      <c r="Y43" s="655"/>
      <c r="Z43" s="655"/>
    </row>
    <row r="44" ht="10.5" customHeight="1">
      <c r="A44" s="657" t="s">
        <v>233</v>
      </c>
      <c r="B44" s="658">
        <v>7.0</v>
      </c>
      <c r="C44" s="659" t="s">
        <v>80</v>
      </c>
      <c r="D44" s="693">
        <v>716564.8000000002</v>
      </c>
      <c r="E44" s="694">
        <v>1569035.79</v>
      </c>
      <c r="F44" s="694">
        <v>1774297.33</v>
      </c>
      <c r="G44" s="694">
        <v>1240073.6400000001</v>
      </c>
      <c r="H44" s="694">
        <v>1903798.14</v>
      </c>
      <c r="I44" s="694">
        <v>2185904.11</v>
      </c>
      <c r="J44" s="674">
        <v>2231621.84</v>
      </c>
      <c r="K44" s="674">
        <v>2243149.7</v>
      </c>
      <c r="L44" s="674">
        <v>2253420.67</v>
      </c>
      <c r="M44" s="674">
        <v>2270640.68</v>
      </c>
      <c r="N44" s="674">
        <v>2284026.44</v>
      </c>
      <c r="O44" s="674">
        <v>2271400.49</v>
      </c>
      <c r="P44" s="669">
        <f t="shared" si="3"/>
        <v>22943933.63</v>
      </c>
      <c r="Q44" s="661"/>
      <c r="R44" s="662"/>
      <c r="S44" s="661"/>
      <c r="T44" s="661"/>
      <c r="U44" s="661"/>
      <c r="V44" s="661"/>
      <c r="W44" s="661"/>
      <c r="X44" s="661"/>
      <c r="Y44" s="661"/>
      <c r="Z44" s="661"/>
    </row>
    <row r="45" ht="10.5" customHeight="1">
      <c r="A45" s="630" t="s">
        <v>234</v>
      </c>
      <c r="B45" s="632">
        <v>8.0</v>
      </c>
      <c r="C45" s="635" t="s">
        <v>82</v>
      </c>
      <c r="D45" s="688">
        <v>104049.05</v>
      </c>
      <c r="E45" s="680">
        <v>104049.05</v>
      </c>
      <c r="F45" s="680">
        <v>104049.05</v>
      </c>
      <c r="G45" s="680">
        <v>115733.47</v>
      </c>
      <c r="H45" s="680">
        <v>116047.83</v>
      </c>
      <c r="I45" s="680">
        <v>116047.83</v>
      </c>
      <c r="J45" s="668">
        <v>120436.08</v>
      </c>
      <c r="K45" s="668">
        <v>120565.68</v>
      </c>
      <c r="L45" s="668">
        <v>120565.68</v>
      </c>
      <c r="M45" s="668">
        <v>120623.02</v>
      </c>
      <c r="N45" s="668">
        <v>120623.02</v>
      </c>
      <c r="O45" s="668">
        <v>122533.6</v>
      </c>
      <c r="P45" s="669">
        <f t="shared" si="3"/>
        <v>1385323.36</v>
      </c>
      <c r="Q45" s="4"/>
      <c r="R45" s="91"/>
      <c r="S45" s="4"/>
      <c r="T45" s="4"/>
      <c r="U45" s="4"/>
      <c r="V45" s="4"/>
      <c r="W45" s="4"/>
      <c r="X45" s="4"/>
      <c r="Y45" s="4"/>
      <c r="Z45" s="4"/>
    </row>
    <row r="46" ht="9.0" customHeight="1">
      <c r="A46" s="630" t="s">
        <v>235</v>
      </c>
      <c r="B46" s="632">
        <v>9.0</v>
      </c>
      <c r="C46" s="635" t="s">
        <v>83</v>
      </c>
      <c r="D46" s="688">
        <v>612515.7500000001</v>
      </c>
      <c r="E46" s="680">
        <v>1464986.74</v>
      </c>
      <c r="F46" s="680">
        <v>1670248.28</v>
      </c>
      <c r="G46" s="680">
        <v>1124340.1700000002</v>
      </c>
      <c r="H46" s="680">
        <v>1787750.3099999998</v>
      </c>
      <c r="I46" s="680">
        <v>2069856.2799999998</v>
      </c>
      <c r="J46" s="668">
        <v>2111185.76</v>
      </c>
      <c r="K46" s="668">
        <v>2122584.02</v>
      </c>
      <c r="L46" s="668">
        <v>2132854.9899999998</v>
      </c>
      <c r="M46" s="668">
        <v>2150017.66</v>
      </c>
      <c r="N46" s="668">
        <v>2163403.42</v>
      </c>
      <c r="O46" s="668">
        <v>2148866.89</v>
      </c>
      <c r="P46" s="669">
        <f t="shared" si="3"/>
        <v>21558610.27</v>
      </c>
      <c r="Q46" s="4"/>
      <c r="R46" s="91"/>
      <c r="S46" s="4"/>
      <c r="T46" s="4"/>
      <c r="U46" s="4"/>
      <c r="V46" s="4"/>
      <c r="W46" s="4"/>
      <c r="X46" s="4"/>
      <c r="Y46" s="4"/>
      <c r="Z46" s="4"/>
    </row>
    <row r="47" ht="10.5" customHeight="1">
      <c r="A47" s="4"/>
      <c r="B47" s="632">
        <v>10.0</v>
      </c>
      <c r="C47" s="635" t="s">
        <v>84</v>
      </c>
      <c r="D47" s="688">
        <v>0.0</v>
      </c>
      <c r="E47" s="680">
        <v>0.0</v>
      </c>
      <c r="F47" s="680">
        <v>0.0</v>
      </c>
      <c r="G47" s="680">
        <v>0.0</v>
      </c>
      <c r="H47" s="680">
        <v>0.0</v>
      </c>
      <c r="I47" s="680">
        <v>0.0</v>
      </c>
      <c r="J47" s="668">
        <v>0.0</v>
      </c>
      <c r="K47" s="668">
        <v>0.0</v>
      </c>
      <c r="L47" s="668">
        <v>0.0</v>
      </c>
      <c r="M47" s="668">
        <v>0.0</v>
      </c>
      <c r="N47" s="668">
        <v>0.0</v>
      </c>
      <c r="O47" s="668">
        <v>0.0</v>
      </c>
      <c r="P47" s="669">
        <f t="shared" si="3"/>
        <v>0</v>
      </c>
      <c r="Q47" s="4"/>
      <c r="R47" s="91"/>
      <c r="S47" s="4"/>
      <c r="T47" s="4"/>
      <c r="U47" s="4"/>
      <c r="V47" s="4"/>
      <c r="W47" s="4"/>
      <c r="X47" s="4"/>
      <c r="Y47" s="4"/>
      <c r="Z47" s="4"/>
    </row>
    <row r="48" ht="10.5" customHeight="1">
      <c r="A48" s="4"/>
      <c r="B48" s="632"/>
      <c r="C48" s="635" t="s">
        <v>236</v>
      </c>
      <c r="D48" s="688">
        <v>38872.9</v>
      </c>
      <c r="E48" s="695">
        <v>36724.18</v>
      </c>
      <c r="F48" s="695">
        <v>42038.39</v>
      </c>
      <c r="G48" s="695">
        <v>46635.92</v>
      </c>
      <c r="H48" s="695">
        <v>102594.06</v>
      </c>
      <c r="I48" s="695">
        <v>87867.79</v>
      </c>
      <c r="J48" s="637">
        <v>82543.22</v>
      </c>
      <c r="K48" s="637">
        <v>105441.13</v>
      </c>
      <c r="L48" s="637">
        <v>84177.83</v>
      </c>
      <c r="M48" s="637">
        <v>59905.41</v>
      </c>
      <c r="N48" s="637">
        <v>37697.98</v>
      </c>
      <c r="O48" s="637">
        <v>21831.66</v>
      </c>
      <c r="P48" s="669">
        <f t="shared" si="3"/>
        <v>746330.47</v>
      </c>
      <c r="Q48" s="4"/>
      <c r="R48" s="91"/>
      <c r="S48" s="4"/>
      <c r="T48" s="4"/>
      <c r="U48" s="4"/>
      <c r="V48" s="4"/>
      <c r="W48" s="4"/>
      <c r="X48" s="4"/>
      <c r="Y48" s="4"/>
      <c r="Z48" s="4"/>
    </row>
    <row r="49" ht="10.5" customHeight="1">
      <c r="A49" s="4"/>
      <c r="B49" s="632"/>
      <c r="C49" s="635" t="s">
        <v>237</v>
      </c>
      <c r="D49" s="688">
        <v>97982.15</v>
      </c>
      <c r="E49" s="695">
        <v>86186.18</v>
      </c>
      <c r="F49" s="695">
        <v>103148.13</v>
      </c>
      <c r="G49" s="695">
        <v>139972.91</v>
      </c>
      <c r="H49" s="695">
        <v>217555.01</v>
      </c>
      <c r="I49" s="695">
        <v>230331.47</v>
      </c>
      <c r="J49" s="637">
        <v>299543.0</v>
      </c>
      <c r="K49" s="637">
        <v>361785.0</v>
      </c>
      <c r="L49" s="637">
        <v>355566.0</v>
      </c>
      <c r="M49" s="637">
        <v>354762.0</v>
      </c>
      <c r="N49" s="637">
        <v>345889.0</v>
      </c>
      <c r="O49" s="637">
        <v>345102.0</v>
      </c>
      <c r="P49" s="669">
        <f t="shared" si="3"/>
        <v>2937822.85</v>
      </c>
      <c r="Q49" s="4"/>
      <c r="R49" s="91"/>
      <c r="S49" s="4"/>
      <c r="T49" s="4"/>
      <c r="U49" s="4"/>
      <c r="V49" s="4"/>
      <c r="W49" s="4"/>
      <c r="X49" s="4"/>
      <c r="Y49" s="4"/>
      <c r="Z49" s="4"/>
    </row>
    <row r="50" ht="10.5" customHeight="1">
      <c r="A50" s="630" t="s">
        <v>238</v>
      </c>
      <c r="B50" s="632">
        <v>11.0</v>
      </c>
      <c r="C50" s="635" t="s">
        <v>239</v>
      </c>
      <c r="D50" s="688">
        <v>553406.5000000001</v>
      </c>
      <c r="E50" s="680">
        <v>1415524.74</v>
      </c>
      <c r="F50" s="680">
        <v>1616508.35</v>
      </c>
      <c r="G50" s="680">
        <v>1031003.18</v>
      </c>
      <c r="H50" s="680">
        <v>1672789.3599999999</v>
      </c>
      <c r="I50" s="680">
        <v>1927392.5999999999</v>
      </c>
      <c r="J50" s="668">
        <v>1894185.98</v>
      </c>
      <c r="K50" s="668">
        <v>1866240.15</v>
      </c>
      <c r="L50" s="668">
        <v>1861466.8199999998</v>
      </c>
      <c r="M50" s="668">
        <v>1855161.0700000003</v>
      </c>
      <c r="N50" s="668">
        <v>1855212.4</v>
      </c>
      <c r="O50" s="668">
        <v>1825596.5500000003</v>
      </c>
      <c r="P50" s="669">
        <f t="shared" si="3"/>
        <v>19374487.7</v>
      </c>
      <c r="Q50" s="4"/>
      <c r="R50" s="91"/>
      <c r="S50" s="4"/>
      <c r="T50" s="4"/>
      <c r="U50" s="4"/>
      <c r="V50" s="4"/>
      <c r="W50" s="4"/>
      <c r="X50" s="4"/>
      <c r="Y50" s="4"/>
      <c r="Z50" s="4"/>
    </row>
    <row r="51" ht="10.5" customHeight="1">
      <c r="A51" s="630" t="s">
        <v>240</v>
      </c>
      <c r="B51" s="632">
        <v>12.0</v>
      </c>
      <c r="C51" s="635" t="s">
        <v>241</v>
      </c>
      <c r="D51" s="688">
        <v>208526.26</v>
      </c>
      <c r="E51" s="680">
        <v>216297.87</v>
      </c>
      <c r="F51" s="680">
        <v>242153.72</v>
      </c>
      <c r="G51" s="680">
        <v>265219.31</v>
      </c>
      <c r="H51" s="680">
        <v>284245.29</v>
      </c>
      <c r="I51" s="680">
        <v>319379.83</v>
      </c>
      <c r="J51" s="668">
        <v>318421.15</v>
      </c>
      <c r="K51" s="668">
        <v>327569.62</v>
      </c>
      <c r="L51" s="668">
        <v>322361.81</v>
      </c>
      <c r="M51" s="668">
        <v>315306.78</v>
      </c>
      <c r="N51" s="668">
        <v>309721.24</v>
      </c>
      <c r="O51" s="668">
        <v>305034.24</v>
      </c>
      <c r="P51" s="669">
        <f t="shared" si="3"/>
        <v>3434237.12</v>
      </c>
      <c r="Q51" s="4"/>
      <c r="R51" s="91"/>
      <c r="S51" s="4"/>
      <c r="T51" s="4"/>
      <c r="U51" s="4"/>
      <c r="V51" s="4"/>
      <c r="W51" s="4"/>
      <c r="X51" s="4"/>
      <c r="Y51" s="4"/>
      <c r="Z51" s="4"/>
    </row>
    <row r="52" ht="10.5" customHeight="1">
      <c r="A52" s="630" t="s">
        <v>242</v>
      </c>
      <c r="B52" s="632">
        <v>13.0</v>
      </c>
      <c r="C52" s="635" t="s">
        <v>243</v>
      </c>
      <c r="D52" s="696">
        <v>344880.2400000001</v>
      </c>
      <c r="E52" s="697">
        <v>1199226.87</v>
      </c>
      <c r="F52" s="697">
        <v>1374354.6300000001</v>
      </c>
      <c r="G52" s="697">
        <v>765783.8700000001</v>
      </c>
      <c r="H52" s="697">
        <v>1388544.0699999998</v>
      </c>
      <c r="I52" s="697">
        <v>1608012.7699999998</v>
      </c>
      <c r="J52" s="679">
        <v>1575764.83</v>
      </c>
      <c r="K52" s="679">
        <v>1538670.5299999998</v>
      </c>
      <c r="L52" s="679">
        <v>1539105.0099999998</v>
      </c>
      <c r="M52" s="679">
        <v>1539854.2900000003</v>
      </c>
      <c r="N52" s="679">
        <v>1545491.16</v>
      </c>
      <c r="O52" s="679">
        <v>1520562.3100000003</v>
      </c>
      <c r="P52" s="681">
        <f t="shared" si="3"/>
        <v>15940250.58</v>
      </c>
      <c r="Q52" s="4"/>
      <c r="R52" s="91"/>
      <c r="S52" s="4"/>
      <c r="T52" s="4"/>
      <c r="U52" s="4"/>
      <c r="V52" s="4"/>
      <c r="W52" s="4"/>
      <c r="X52" s="4"/>
      <c r="Y52" s="4"/>
      <c r="Z52" s="4"/>
    </row>
    <row r="53" ht="10.5" customHeight="1">
      <c r="A53" s="4"/>
      <c r="B53" s="4"/>
      <c r="C53" s="664"/>
      <c r="D53" s="682">
        <v>0.0</v>
      </c>
      <c r="E53" s="682">
        <v>0.0</v>
      </c>
      <c r="F53" s="682">
        <v>0.0</v>
      </c>
      <c r="G53" s="682">
        <v>0.0</v>
      </c>
      <c r="H53" s="682">
        <v>0.0</v>
      </c>
      <c r="I53" s="682">
        <v>0.0</v>
      </c>
      <c r="J53" s="682">
        <v>0.0</v>
      </c>
      <c r="K53" s="682">
        <v>0.0</v>
      </c>
      <c r="L53" s="682">
        <v>0.0</v>
      </c>
      <c r="M53" s="682">
        <v>0.0</v>
      </c>
      <c r="N53" s="682">
        <v>0.0</v>
      </c>
      <c r="O53" s="682">
        <v>0.0</v>
      </c>
      <c r="P53" s="91">
        <v>0.0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0.5" customHeight="1">
      <c r="A54" s="4"/>
      <c r="B54" s="4"/>
      <c r="C54" s="664"/>
      <c r="D54" s="683"/>
      <c r="E54" s="665"/>
      <c r="F54" s="91"/>
      <c r="G54" s="91"/>
      <c r="H54" s="91"/>
      <c r="I54" s="91"/>
      <c r="J54" s="91"/>
      <c r="K54" s="91"/>
      <c r="L54" s="91"/>
      <c r="M54" s="91">
        <f>SUM(D52:M52)</f>
        <v>12874197.11</v>
      </c>
      <c r="N54" s="91"/>
      <c r="O54" s="91"/>
      <c r="P54" s="137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0.5" customHeight="1">
      <c r="A55" s="4"/>
      <c r="B55" s="4"/>
      <c r="C55" s="664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0.5" customHeight="1">
      <c r="A56" s="4"/>
      <c r="B56" s="4"/>
      <c r="C56" s="664"/>
      <c r="D56" s="91"/>
      <c r="E56" s="91"/>
      <c r="F56" s="91"/>
      <c r="G56" s="91"/>
      <c r="H56" s="91"/>
      <c r="I56" s="684">
        <f>SUM(D16:I16)</f>
        <v>10381016.17</v>
      </c>
      <c r="J56" s="91"/>
      <c r="K56" s="91"/>
      <c r="L56" s="91"/>
      <c r="M56" s="91"/>
      <c r="N56" s="91"/>
      <c r="O56" s="91"/>
      <c r="P56" s="91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0.5" customHeight="1">
      <c r="A57" s="4"/>
      <c r="B57" s="4"/>
      <c r="C57" s="664"/>
      <c r="D57" s="91"/>
      <c r="E57" s="4"/>
      <c r="F57" s="4"/>
      <c r="G57" s="4"/>
      <c r="H57" s="4"/>
      <c r="I57" s="684">
        <f>SUM(D34:I34)</f>
        <v>6211194.41</v>
      </c>
      <c r="J57" s="4"/>
      <c r="K57" s="4"/>
      <c r="L57" s="4"/>
      <c r="M57" s="4"/>
      <c r="N57" s="4"/>
      <c r="O57" s="4"/>
      <c r="P57" s="91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0.5" customHeight="1">
      <c r="A58" s="4"/>
      <c r="B58" s="4"/>
      <c r="C58" s="664"/>
      <c r="D58" s="91"/>
      <c r="E58" s="4"/>
      <c r="F58" s="4"/>
      <c r="G58" s="4"/>
      <c r="H58" s="4"/>
      <c r="I58" s="684">
        <f>SUM(D52:I52)</f>
        <v>6680802.45</v>
      </c>
      <c r="J58" s="4"/>
      <c r="K58" s="4"/>
      <c r="L58" s="4"/>
      <c r="M58" s="4"/>
      <c r="N58" s="4"/>
      <c r="O58" s="4"/>
      <c r="P58" s="91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0.5" customHeight="1">
      <c r="A59" s="4"/>
      <c r="B59" s="4"/>
      <c r="C59" s="66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0.5" customHeight="1">
      <c r="A60" s="4"/>
      <c r="B60" s="4"/>
      <c r="C60" s="66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0.5" customHeight="1">
      <c r="A61" s="4"/>
      <c r="B61" s="4"/>
      <c r="C61" s="66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0.5" customHeight="1">
      <c r="A62" s="4"/>
      <c r="B62" s="4"/>
      <c r="C62" s="66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0.5" customHeight="1">
      <c r="A63" s="4"/>
      <c r="B63" s="4"/>
      <c r="C63" s="66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0.5" customHeight="1">
      <c r="A64" s="4"/>
      <c r="B64" s="4"/>
      <c r="C64" s="66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0.5" customHeight="1">
      <c r="A65" s="4"/>
      <c r="B65" s="4"/>
      <c r="C65" s="66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0.5" customHeight="1">
      <c r="A66" s="4"/>
      <c r="B66" s="4"/>
      <c r="C66" s="66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0.5" customHeight="1">
      <c r="A67" s="4"/>
      <c r="B67" s="4"/>
      <c r="C67" s="66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0.5" customHeight="1">
      <c r="A68" s="4"/>
      <c r="B68" s="4"/>
      <c r="C68" s="66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0.5" customHeight="1">
      <c r="A69" s="4"/>
      <c r="B69" s="4"/>
      <c r="C69" s="66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0.5" customHeight="1">
      <c r="A70" s="4"/>
      <c r="B70" s="4"/>
      <c r="C70" s="66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0.5" customHeight="1">
      <c r="A71" s="4"/>
      <c r="B71" s="4"/>
      <c r="C71" s="66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0.5" customHeight="1">
      <c r="A72" s="4"/>
      <c r="B72" s="4"/>
      <c r="C72" s="66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0.5" customHeight="1">
      <c r="A73" s="4"/>
      <c r="B73" s="4"/>
      <c r="C73" s="66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0.5" customHeight="1">
      <c r="A74" s="4"/>
      <c r="B74" s="4"/>
      <c r="C74" s="66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0.5" customHeight="1">
      <c r="A75" s="4"/>
      <c r="B75" s="4"/>
      <c r="C75" s="66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0.5" customHeight="1">
      <c r="A76" s="4"/>
      <c r="B76" s="4"/>
      <c r="C76" s="66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0.5" customHeight="1">
      <c r="A77" s="4"/>
      <c r="B77" s="4"/>
      <c r="C77" s="66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0.5" customHeight="1">
      <c r="A78" s="4"/>
      <c r="B78" s="4"/>
      <c r="C78" s="66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0.5" customHeight="1">
      <c r="A79" s="4"/>
      <c r="B79" s="4"/>
      <c r="C79" s="66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0.5" customHeight="1">
      <c r="A80" s="4"/>
      <c r="B80" s="4"/>
      <c r="C80" s="66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0.5" customHeight="1">
      <c r="A81" s="4"/>
      <c r="B81" s="4"/>
      <c r="C81" s="66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0.5" customHeight="1">
      <c r="A82" s="4"/>
      <c r="B82" s="4"/>
      <c r="C82" s="66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0.5" customHeight="1">
      <c r="A83" s="4"/>
      <c r="B83" s="4"/>
      <c r="C83" s="66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0.5" customHeight="1">
      <c r="A84" s="4"/>
      <c r="B84" s="4"/>
      <c r="C84" s="66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0.5" customHeight="1">
      <c r="A85" s="4"/>
      <c r="B85" s="4"/>
      <c r="C85" s="66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0.5" customHeight="1">
      <c r="A86" s="4"/>
      <c r="B86" s="4"/>
      <c r="C86" s="66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0.5" customHeight="1">
      <c r="A87" s="4"/>
      <c r="B87" s="4"/>
      <c r="C87" s="66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0.5" customHeight="1">
      <c r="A88" s="4"/>
      <c r="B88" s="4"/>
      <c r="C88" s="66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0.5" customHeight="1">
      <c r="A89" s="4"/>
      <c r="B89" s="4"/>
      <c r="C89" s="66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0.5" customHeight="1">
      <c r="A90" s="4"/>
      <c r="B90" s="4"/>
      <c r="C90" s="66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0.5" customHeight="1">
      <c r="A91" s="4"/>
      <c r="B91" s="4"/>
      <c r="C91" s="66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0.5" customHeight="1">
      <c r="A92" s="4"/>
      <c r="B92" s="4"/>
      <c r="C92" s="66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0.5" customHeight="1">
      <c r="A93" s="4"/>
      <c r="B93" s="4"/>
      <c r="C93" s="66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0.5" customHeight="1">
      <c r="A94" s="4"/>
      <c r="B94" s="4"/>
      <c r="C94" s="66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0.5" customHeight="1">
      <c r="A95" s="4"/>
      <c r="B95" s="4"/>
      <c r="C95" s="66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0.5" customHeight="1">
      <c r="A96" s="4"/>
      <c r="B96" s="4"/>
      <c r="C96" s="66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0.5" customHeight="1">
      <c r="A97" s="4"/>
      <c r="B97" s="4"/>
      <c r="C97" s="66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0.5" customHeight="1">
      <c r="A98" s="4"/>
      <c r="B98" s="4"/>
      <c r="C98" s="66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0.5" customHeight="1">
      <c r="A99" s="4"/>
      <c r="B99" s="4"/>
      <c r="C99" s="66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customHeight="1">
      <c r="A100" s="4"/>
      <c r="B100" s="4"/>
      <c r="C100" s="66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customHeight="1">
      <c r="A101" s="4"/>
      <c r="B101" s="4"/>
      <c r="C101" s="66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customHeight="1">
      <c r="A102" s="4"/>
      <c r="B102" s="4"/>
      <c r="C102" s="66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0.5" customHeight="1">
      <c r="A103" s="4"/>
      <c r="B103" s="4"/>
      <c r="C103" s="66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0.5" customHeight="1">
      <c r="A104" s="4"/>
      <c r="B104" s="4"/>
      <c r="C104" s="66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0.5" customHeight="1">
      <c r="A105" s="4"/>
      <c r="B105" s="4"/>
      <c r="C105" s="66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0.5" customHeight="1">
      <c r="A106" s="4"/>
      <c r="B106" s="4"/>
      <c r="C106" s="66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s="4"/>
      <c r="B107" s="4"/>
      <c r="C107" s="66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s="4"/>
      <c r="B108" s="4"/>
      <c r="C108" s="66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0.5" customHeight="1">
      <c r="A109" s="4"/>
      <c r="B109" s="4"/>
      <c r="C109" s="66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0.5" customHeight="1">
      <c r="A110" s="4"/>
      <c r="B110" s="4"/>
      <c r="C110" s="66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0.5" customHeight="1">
      <c r="A111" s="4"/>
      <c r="B111" s="4"/>
      <c r="C111" s="66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0.5" customHeight="1">
      <c r="A112" s="4"/>
      <c r="B112" s="4"/>
      <c r="C112" s="66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0.5" customHeight="1">
      <c r="A113" s="4"/>
      <c r="B113" s="4"/>
      <c r="C113" s="66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0.5" customHeight="1">
      <c r="A114" s="4"/>
      <c r="B114" s="4"/>
      <c r="C114" s="66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s="4"/>
      <c r="B115" s="4"/>
      <c r="C115" s="66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0.5" customHeight="1">
      <c r="A116" s="4"/>
      <c r="B116" s="4"/>
      <c r="C116" s="66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0.5" customHeight="1">
      <c r="A117" s="4"/>
      <c r="B117" s="4"/>
      <c r="C117" s="66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0.5" customHeight="1">
      <c r="A118" s="4"/>
      <c r="B118" s="4"/>
      <c r="C118" s="66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0.5" customHeight="1">
      <c r="A119" s="4"/>
      <c r="B119" s="4"/>
      <c r="C119" s="66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0.5" customHeight="1">
      <c r="A120" s="4"/>
      <c r="B120" s="4"/>
      <c r="C120" s="66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0.5" customHeight="1">
      <c r="A121" s="4"/>
      <c r="B121" s="4"/>
      <c r="C121" s="66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0.5" customHeight="1">
      <c r="A122" s="4"/>
      <c r="B122" s="4"/>
      <c r="C122" s="66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0.5" customHeight="1">
      <c r="A123" s="4"/>
      <c r="B123" s="4"/>
      <c r="C123" s="66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0.5" customHeight="1">
      <c r="A124" s="4"/>
      <c r="B124" s="4"/>
      <c r="C124" s="66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0.5" customHeight="1">
      <c r="A125" s="4"/>
      <c r="B125" s="4"/>
      <c r="C125" s="66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0.5" customHeight="1">
      <c r="A126" s="4"/>
      <c r="B126" s="4"/>
      <c r="C126" s="66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0.5" customHeight="1">
      <c r="A127" s="4"/>
      <c r="B127" s="4"/>
      <c r="C127" s="66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0.5" customHeight="1">
      <c r="A128" s="4"/>
      <c r="B128" s="4"/>
      <c r="C128" s="66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0.5" customHeight="1">
      <c r="A129" s="4"/>
      <c r="B129" s="4"/>
      <c r="C129" s="66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0.5" customHeight="1">
      <c r="A130" s="4"/>
      <c r="B130" s="4"/>
      <c r="C130" s="66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0.5" customHeight="1">
      <c r="A131" s="4"/>
      <c r="B131" s="4"/>
      <c r="C131" s="66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0.5" customHeight="1">
      <c r="A132" s="4"/>
      <c r="B132" s="4"/>
      <c r="C132" s="66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0.5" customHeight="1">
      <c r="A133" s="4"/>
      <c r="B133" s="4"/>
      <c r="C133" s="66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0.5" customHeight="1">
      <c r="A134" s="4"/>
      <c r="B134" s="4"/>
      <c r="C134" s="66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0.5" customHeight="1">
      <c r="A135" s="4"/>
      <c r="B135" s="4"/>
      <c r="C135" s="66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0.5" customHeight="1">
      <c r="A136" s="4"/>
      <c r="B136" s="4"/>
      <c r="C136" s="66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0.5" customHeight="1">
      <c r="A137" s="4"/>
      <c r="B137" s="4"/>
      <c r="C137" s="66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0.5" customHeight="1">
      <c r="A138" s="4"/>
      <c r="B138" s="4"/>
      <c r="C138" s="66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0.5" customHeight="1">
      <c r="A139" s="4"/>
      <c r="B139" s="4"/>
      <c r="C139" s="66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0.5" customHeight="1">
      <c r="A140" s="4"/>
      <c r="B140" s="4"/>
      <c r="C140" s="66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0.5" customHeight="1">
      <c r="A141" s="4"/>
      <c r="B141" s="4"/>
      <c r="C141" s="66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0.5" customHeight="1">
      <c r="A142" s="4"/>
      <c r="B142" s="4"/>
      <c r="C142" s="66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0.5" customHeight="1">
      <c r="A143" s="4"/>
      <c r="B143" s="4"/>
      <c r="C143" s="66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0.5" customHeight="1">
      <c r="A144" s="4"/>
      <c r="B144" s="4"/>
      <c r="C144" s="66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0.5" customHeight="1">
      <c r="A145" s="4"/>
      <c r="B145" s="4"/>
      <c r="C145" s="66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0.5" customHeight="1">
      <c r="A146" s="4"/>
      <c r="B146" s="4"/>
      <c r="C146" s="66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0.5" customHeight="1">
      <c r="A147" s="4"/>
      <c r="B147" s="4"/>
      <c r="C147" s="66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0.5" customHeight="1">
      <c r="A148" s="4"/>
      <c r="B148" s="4"/>
      <c r="C148" s="66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0.5" customHeight="1">
      <c r="A149" s="4"/>
      <c r="B149" s="4"/>
      <c r="C149" s="66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0.5" customHeight="1">
      <c r="A150" s="4"/>
      <c r="B150" s="4"/>
      <c r="C150" s="66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0.5" customHeight="1">
      <c r="A151" s="4"/>
      <c r="B151" s="4"/>
      <c r="C151" s="66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0.5" customHeight="1">
      <c r="A152" s="4"/>
      <c r="B152" s="4"/>
      <c r="C152" s="66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0.5" customHeight="1">
      <c r="A153" s="4"/>
      <c r="B153" s="4"/>
      <c r="C153" s="66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0.5" customHeight="1">
      <c r="A154" s="4"/>
      <c r="B154" s="4"/>
      <c r="C154" s="66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s="4"/>
      <c r="B155" s="4"/>
      <c r="C155" s="66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0.5" customHeight="1">
      <c r="A156" s="4"/>
      <c r="B156" s="4"/>
      <c r="C156" s="66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0.5" customHeight="1">
      <c r="A157" s="4"/>
      <c r="B157" s="4"/>
      <c r="C157" s="66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0.5" customHeight="1">
      <c r="A158" s="4"/>
      <c r="B158" s="4"/>
      <c r="C158" s="66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0.5" customHeight="1">
      <c r="A159" s="4"/>
      <c r="B159" s="4"/>
      <c r="C159" s="66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0.5" customHeight="1">
      <c r="A160" s="4"/>
      <c r="B160" s="4"/>
      <c r="C160" s="66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0.5" customHeight="1">
      <c r="A161" s="4"/>
      <c r="B161" s="4"/>
      <c r="C161" s="66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0.5" customHeight="1">
      <c r="A162" s="4"/>
      <c r="B162" s="4"/>
      <c r="C162" s="66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0.5" customHeight="1">
      <c r="A163" s="4"/>
      <c r="B163" s="4"/>
      <c r="C163" s="66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0.5" customHeight="1">
      <c r="A164" s="4"/>
      <c r="B164" s="4"/>
      <c r="C164" s="66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s="4"/>
      <c r="B165" s="4"/>
      <c r="C165" s="66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0.5" customHeight="1">
      <c r="A166" s="4"/>
      <c r="B166" s="4"/>
      <c r="C166" s="66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s="4"/>
      <c r="B167" s="4"/>
      <c r="C167" s="66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s="4"/>
      <c r="B168" s="4"/>
      <c r="C168" s="66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s="4"/>
      <c r="B169" s="4"/>
      <c r="C169" s="66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s="4"/>
      <c r="B170" s="4"/>
      <c r="C170" s="66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s="4"/>
      <c r="B171" s="4"/>
      <c r="C171" s="66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s="4"/>
      <c r="B172" s="4"/>
      <c r="C172" s="66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s="4"/>
      <c r="B173" s="4"/>
      <c r="C173" s="66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s="4"/>
      <c r="B174" s="4"/>
      <c r="C174" s="66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s="4"/>
      <c r="B175" s="4"/>
      <c r="C175" s="66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s="4"/>
      <c r="B176" s="4"/>
      <c r="C176" s="66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s="4"/>
      <c r="B177" s="4"/>
      <c r="C177" s="66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0.5" customHeight="1">
      <c r="A178" s="4"/>
      <c r="B178" s="4"/>
      <c r="C178" s="724">
        <f>-D7</f>
        <v>-127381.35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0.5" customHeight="1">
      <c r="A179" s="4"/>
      <c r="B179" s="4"/>
      <c r="C179" s="66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0.5" customHeight="1">
      <c r="A180" s="4"/>
      <c r="B180" s="4"/>
      <c r="C180" s="66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0.5" customHeight="1">
      <c r="A181" s="4"/>
      <c r="B181" s="4"/>
      <c r="C181" s="66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0.5" customHeight="1">
      <c r="A182" s="4"/>
      <c r="B182" s="4"/>
      <c r="C182" s="66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0.5" customHeight="1">
      <c r="A183" s="4"/>
      <c r="B183" s="4"/>
      <c r="C183" s="66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0.5" customHeight="1">
      <c r="A184" s="4"/>
      <c r="B184" s="4"/>
      <c r="C184" s="66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0.5" customHeight="1">
      <c r="A185" s="4"/>
      <c r="B185" s="4"/>
      <c r="C185" s="66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0.5" customHeight="1">
      <c r="A186" s="4"/>
      <c r="B186" s="4"/>
      <c r="C186" s="66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0.5" customHeight="1">
      <c r="A187" s="4"/>
      <c r="B187" s="4"/>
      <c r="C187" s="66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0.5" customHeight="1">
      <c r="A188" s="4"/>
      <c r="B188" s="4"/>
      <c r="C188" s="66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4"/>
      <c r="B189" s="4"/>
      <c r="C189" s="66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0.5" customHeight="1">
      <c r="A190" s="4"/>
      <c r="B190" s="4"/>
      <c r="C190" s="66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4"/>
      <c r="B191" s="4"/>
      <c r="C191" s="66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0.5" customHeight="1">
      <c r="A192" s="4"/>
      <c r="B192" s="4"/>
      <c r="C192" s="66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4"/>
      <c r="B193" s="4"/>
      <c r="C193" s="66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4"/>
      <c r="B194" s="4"/>
      <c r="C194" s="66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0.5" customHeight="1">
      <c r="A195" s="4"/>
      <c r="B195" s="4"/>
      <c r="C195" s="66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0.5" customHeight="1">
      <c r="A196" s="4"/>
      <c r="B196" s="4"/>
      <c r="C196" s="66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0.5" customHeight="1">
      <c r="A197" s="4"/>
      <c r="B197" s="4"/>
      <c r="C197" s="66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0.5" customHeight="1">
      <c r="A198" s="4"/>
      <c r="B198" s="4"/>
      <c r="C198" s="66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0.5" customHeight="1">
      <c r="A199" s="4"/>
      <c r="B199" s="4"/>
      <c r="C199" s="66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0.5" customHeight="1">
      <c r="A200" s="4"/>
      <c r="B200" s="4"/>
      <c r="C200" s="66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0.5" customHeight="1">
      <c r="A201" s="4"/>
      <c r="B201" s="4"/>
      <c r="C201" s="66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0.5" customHeight="1">
      <c r="A202" s="4"/>
      <c r="B202" s="4"/>
      <c r="C202" s="66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0.5" customHeight="1">
      <c r="A203" s="4"/>
      <c r="B203" s="4"/>
      <c r="C203" s="66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0.5" customHeight="1">
      <c r="A204" s="4"/>
      <c r="B204" s="4"/>
      <c r="C204" s="66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0.5" customHeight="1">
      <c r="A205" s="4"/>
      <c r="B205" s="4"/>
      <c r="C205" s="66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0.5" customHeight="1">
      <c r="A206" s="4"/>
      <c r="B206" s="4"/>
      <c r="C206" s="66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0.5" customHeight="1">
      <c r="A207" s="4"/>
      <c r="B207" s="4"/>
      <c r="C207" s="66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0.5" customHeight="1">
      <c r="A208" s="4"/>
      <c r="B208" s="4"/>
      <c r="C208" s="66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0.5" customHeight="1">
      <c r="A209" s="4"/>
      <c r="B209" s="4"/>
      <c r="C209" s="66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0.5" customHeight="1">
      <c r="A210" s="4"/>
      <c r="B210" s="4"/>
      <c r="C210" s="66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4"/>
      <c r="B211" s="4"/>
      <c r="C211" s="66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0.5" customHeight="1">
      <c r="A212" s="4"/>
      <c r="B212" s="4"/>
      <c r="C212" s="66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4"/>
      <c r="B213" s="4"/>
      <c r="C213" s="66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0.5" customHeight="1">
      <c r="A214" s="4"/>
      <c r="B214" s="4"/>
      <c r="C214" s="66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0.5" customHeight="1">
      <c r="A215" s="4"/>
      <c r="B215" s="4"/>
      <c r="C215" s="66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0.5" customHeight="1">
      <c r="A216" s="4"/>
      <c r="B216" s="4"/>
      <c r="C216" s="66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0.5" customHeight="1">
      <c r="A217" s="4"/>
      <c r="B217" s="4"/>
      <c r="C217" s="66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0.5" customHeight="1">
      <c r="A218" s="4"/>
      <c r="B218" s="4"/>
      <c r="C218" s="66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0.5" customHeight="1">
      <c r="A219" s="4"/>
      <c r="B219" s="4"/>
      <c r="C219" s="66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0.5" customHeight="1">
      <c r="A220" s="4"/>
      <c r="B220" s="4"/>
      <c r="C220" s="66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0.5" customHeight="1">
      <c r="A221" s="4"/>
      <c r="B221" s="4"/>
      <c r="C221" s="66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0.5" customHeight="1">
      <c r="A222" s="4"/>
      <c r="B222" s="4"/>
      <c r="C222" s="66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0.5" customHeight="1">
      <c r="A223" s="4"/>
      <c r="B223" s="4"/>
      <c r="C223" s="66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0.5" customHeight="1">
      <c r="A224" s="4"/>
      <c r="B224" s="4"/>
      <c r="C224" s="66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0.5" customHeight="1">
      <c r="A225" s="4"/>
      <c r="B225" s="4"/>
      <c r="C225" s="66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0.5" customHeight="1">
      <c r="A226" s="4"/>
      <c r="B226" s="4"/>
      <c r="C226" s="66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0.5" customHeight="1">
      <c r="A227" s="4"/>
      <c r="B227" s="4"/>
      <c r="C227" s="66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0.5" customHeight="1">
      <c r="A228" s="4"/>
      <c r="B228" s="4"/>
      <c r="C228" s="66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0.5" customHeight="1">
      <c r="A229" s="4"/>
      <c r="B229" s="4"/>
      <c r="C229" s="66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0.5" customHeight="1">
      <c r="A230" s="4"/>
      <c r="B230" s="4"/>
      <c r="C230" s="66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0.5" customHeight="1">
      <c r="A231" s="4"/>
      <c r="B231" s="4"/>
      <c r="C231" s="66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0.5" customHeight="1">
      <c r="A232" s="4"/>
      <c r="B232" s="4"/>
      <c r="C232" s="66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0.5" customHeight="1">
      <c r="A233" s="4"/>
      <c r="B233" s="4"/>
      <c r="C233" s="66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0.5" customHeight="1">
      <c r="A234" s="4"/>
      <c r="B234" s="4"/>
      <c r="C234" s="66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0.5" customHeight="1">
      <c r="A235" s="4"/>
      <c r="B235" s="4"/>
      <c r="C235" s="66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0.5" customHeight="1">
      <c r="A236" s="4"/>
      <c r="B236" s="4"/>
      <c r="C236" s="66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0.5" customHeight="1">
      <c r="A237" s="4"/>
      <c r="B237" s="4"/>
      <c r="C237" s="66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.5" customHeight="1">
      <c r="A238" s="4"/>
      <c r="B238" s="4"/>
      <c r="C238" s="66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0.5" customHeight="1">
      <c r="A239" s="4"/>
      <c r="B239" s="4"/>
      <c r="C239" s="66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0.5" customHeight="1">
      <c r="A240" s="4"/>
      <c r="B240" s="4"/>
      <c r="C240" s="66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0.5" customHeight="1">
      <c r="A241" s="4"/>
      <c r="B241" s="4"/>
      <c r="C241" s="66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0.5" customHeight="1">
      <c r="A242" s="4"/>
      <c r="B242" s="4"/>
      <c r="C242" s="66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0.5" customHeight="1">
      <c r="A243" s="4"/>
      <c r="B243" s="4"/>
      <c r="C243" s="66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0.5" customHeight="1">
      <c r="A244" s="4"/>
      <c r="B244" s="4"/>
      <c r="C244" s="66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0.5" customHeight="1">
      <c r="A245" s="4"/>
      <c r="B245" s="4"/>
      <c r="C245" s="66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0.5" customHeight="1">
      <c r="A246" s="4"/>
      <c r="B246" s="4"/>
      <c r="C246" s="66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0.5" customHeight="1">
      <c r="A247" s="4"/>
      <c r="B247" s="4"/>
      <c r="C247" s="66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0.5" customHeight="1">
      <c r="A248" s="4"/>
      <c r="B248" s="4"/>
      <c r="C248" s="66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0.5" customHeight="1">
      <c r="A249" s="4"/>
      <c r="B249" s="4"/>
      <c r="C249" s="66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0.5" customHeight="1">
      <c r="A250" s="4"/>
      <c r="B250" s="4"/>
      <c r="C250" s="66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0.5" customHeight="1">
      <c r="A251" s="4"/>
      <c r="B251" s="4"/>
      <c r="C251" s="66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0.5" customHeight="1">
      <c r="A252" s="4"/>
      <c r="B252" s="4"/>
      <c r="C252" s="66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0.5" customHeight="1">
      <c r="A253" s="4"/>
      <c r="B253" s="4"/>
      <c r="C253" s="66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0.5" customHeight="1">
      <c r="A254" s="4"/>
      <c r="B254" s="4"/>
      <c r="C254" s="66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0.5" customHeight="1">
      <c r="A255" s="4"/>
      <c r="B255" s="4"/>
      <c r="C255" s="66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0.5" customHeight="1">
      <c r="A256" s="4"/>
      <c r="B256" s="4"/>
      <c r="C256" s="66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0.5" customHeight="1">
      <c r="A257" s="4"/>
      <c r="B257" s="4"/>
      <c r="C257" s="66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0.5" customHeight="1">
      <c r="A258" s="4"/>
      <c r="B258" s="4"/>
      <c r="C258" s="66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0.5" customHeight="1">
      <c r="A259" s="4"/>
      <c r="B259" s="4"/>
      <c r="C259" s="66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0.5" customHeight="1">
      <c r="A260" s="4"/>
      <c r="B260" s="4"/>
      <c r="C260" s="66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0.5" customHeight="1">
      <c r="A261" s="4"/>
      <c r="B261" s="4"/>
      <c r="C261" s="66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0.5" customHeight="1">
      <c r="A262" s="4"/>
      <c r="B262" s="4"/>
      <c r="C262" s="66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0.5" customHeight="1">
      <c r="A263" s="4"/>
      <c r="B263" s="4"/>
      <c r="C263" s="66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0.5" customHeight="1">
      <c r="A264" s="4"/>
      <c r="B264" s="4"/>
      <c r="C264" s="66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0.5" customHeight="1">
      <c r="A265" s="4"/>
      <c r="B265" s="4"/>
      <c r="C265" s="66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0.5" customHeight="1">
      <c r="A266" s="4"/>
      <c r="B266" s="4"/>
      <c r="C266" s="66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0.5" customHeight="1">
      <c r="A267" s="4"/>
      <c r="B267" s="4"/>
      <c r="C267" s="66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0.5" customHeight="1">
      <c r="A268" s="4"/>
      <c r="B268" s="4"/>
      <c r="C268" s="66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0.5" customHeight="1">
      <c r="A269" s="4"/>
      <c r="B269" s="4"/>
      <c r="C269" s="66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0.5" customHeight="1">
      <c r="A270" s="4"/>
      <c r="B270" s="4"/>
      <c r="C270" s="66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0.5" customHeight="1">
      <c r="A271" s="4"/>
      <c r="B271" s="4"/>
      <c r="C271" s="66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0.5" customHeight="1">
      <c r="A272" s="4"/>
      <c r="B272" s="4"/>
      <c r="C272" s="66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0.5" customHeight="1">
      <c r="A273" s="4"/>
      <c r="B273" s="4"/>
      <c r="C273" s="66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0.5" customHeight="1">
      <c r="A274" s="4"/>
      <c r="B274" s="4"/>
      <c r="C274" s="66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0.5" customHeight="1">
      <c r="A275" s="4"/>
      <c r="B275" s="4"/>
      <c r="C275" s="66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0.5" customHeight="1">
      <c r="A276" s="4"/>
      <c r="B276" s="4"/>
      <c r="C276" s="66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0.5" customHeight="1">
      <c r="A277" s="4"/>
      <c r="B277" s="4"/>
      <c r="C277" s="66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0.5" customHeight="1">
      <c r="A278" s="4"/>
      <c r="B278" s="4"/>
      <c r="C278" s="66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0.5" customHeight="1">
      <c r="A279" s="4"/>
      <c r="B279" s="4"/>
      <c r="C279" s="66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0.5" customHeight="1">
      <c r="A280" s="4"/>
      <c r="B280" s="4"/>
      <c r="C280" s="66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0.5" customHeight="1">
      <c r="A281" s="4"/>
      <c r="B281" s="4"/>
      <c r="C281" s="66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0.5" customHeight="1">
      <c r="A282" s="4"/>
      <c r="B282" s="4"/>
      <c r="C282" s="66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0.5" customHeight="1">
      <c r="A283" s="4"/>
      <c r="B283" s="4"/>
      <c r="C283" s="66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0.5" customHeight="1">
      <c r="A284" s="4"/>
      <c r="B284" s="4"/>
      <c r="C284" s="66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0.5" customHeight="1">
      <c r="A285" s="4"/>
      <c r="B285" s="4"/>
      <c r="C285" s="66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0.5" customHeight="1">
      <c r="A286" s="4"/>
      <c r="B286" s="4"/>
      <c r="C286" s="66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0.5" customHeight="1">
      <c r="A287" s="4"/>
      <c r="B287" s="4"/>
      <c r="C287" s="66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0.5" customHeight="1">
      <c r="A288" s="4"/>
      <c r="B288" s="4"/>
      <c r="C288" s="66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0.5" customHeight="1">
      <c r="A289" s="4"/>
      <c r="B289" s="4"/>
      <c r="C289" s="66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0.5" customHeight="1">
      <c r="A290" s="4"/>
      <c r="B290" s="4"/>
      <c r="C290" s="66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0.5" customHeight="1">
      <c r="A291" s="4"/>
      <c r="B291" s="4"/>
      <c r="C291" s="66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0.5" customHeight="1">
      <c r="A292" s="4"/>
      <c r="B292" s="4"/>
      <c r="C292" s="66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0.5" customHeight="1">
      <c r="A293" s="4"/>
      <c r="B293" s="4"/>
      <c r="C293" s="66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0.5" customHeight="1">
      <c r="A294" s="4"/>
      <c r="B294" s="4"/>
      <c r="C294" s="66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0.5" customHeight="1">
      <c r="A295" s="4"/>
      <c r="B295" s="4"/>
      <c r="C295" s="66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0.5" customHeight="1">
      <c r="A296" s="4"/>
      <c r="B296" s="4"/>
      <c r="C296" s="66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0.5" customHeight="1">
      <c r="A297" s="4"/>
      <c r="B297" s="4"/>
      <c r="C297" s="66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0.5" customHeight="1">
      <c r="A298" s="4"/>
      <c r="B298" s="4"/>
      <c r="C298" s="66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0.5" customHeight="1">
      <c r="A299" s="4"/>
      <c r="B299" s="4"/>
      <c r="C299" s="66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0.5" customHeight="1">
      <c r="A300" s="4"/>
      <c r="B300" s="4"/>
      <c r="C300" s="66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0.5" customHeight="1">
      <c r="A301" s="4"/>
      <c r="B301" s="4"/>
      <c r="C301" s="66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0.5" customHeight="1">
      <c r="A302" s="4"/>
      <c r="B302" s="4"/>
      <c r="C302" s="66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0.5" customHeight="1">
      <c r="A303" s="4"/>
      <c r="B303" s="4"/>
      <c r="C303" s="66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0.5" customHeight="1">
      <c r="A304" s="4"/>
      <c r="B304" s="4"/>
      <c r="C304" s="66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0.5" customHeight="1">
      <c r="A305" s="4"/>
      <c r="B305" s="4"/>
      <c r="C305" s="66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0.5" customHeight="1">
      <c r="A306" s="4"/>
      <c r="B306" s="4"/>
      <c r="C306" s="66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0.5" customHeight="1">
      <c r="A307" s="4"/>
      <c r="B307" s="4"/>
      <c r="C307" s="66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0.5" customHeight="1">
      <c r="A308" s="4"/>
      <c r="B308" s="4"/>
      <c r="C308" s="66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0.5" customHeight="1">
      <c r="A309" s="4"/>
      <c r="B309" s="4"/>
      <c r="C309" s="66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0.5" customHeight="1">
      <c r="A310" s="4"/>
      <c r="B310" s="4"/>
      <c r="C310" s="66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0.5" customHeight="1">
      <c r="A311" s="4"/>
      <c r="B311" s="4"/>
      <c r="C311" s="66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0.5" customHeight="1">
      <c r="A312" s="4"/>
      <c r="B312" s="4"/>
      <c r="C312" s="66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0.5" customHeight="1">
      <c r="A313" s="4"/>
      <c r="B313" s="4"/>
      <c r="C313" s="66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0.5" customHeight="1">
      <c r="A314" s="4"/>
      <c r="B314" s="4"/>
      <c r="C314" s="66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0.5" customHeight="1">
      <c r="A315" s="4"/>
      <c r="B315" s="4"/>
      <c r="C315" s="66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0.5" customHeight="1">
      <c r="A316" s="4"/>
      <c r="B316" s="4"/>
      <c r="C316" s="66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0.5" customHeight="1">
      <c r="A317" s="4"/>
      <c r="B317" s="4"/>
      <c r="C317" s="66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0.5" customHeight="1">
      <c r="A318" s="4"/>
      <c r="B318" s="4"/>
      <c r="C318" s="66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0.5" customHeight="1">
      <c r="A319" s="4"/>
      <c r="B319" s="4"/>
      <c r="C319" s="66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0.5" customHeight="1">
      <c r="A320" s="4"/>
      <c r="B320" s="4"/>
      <c r="C320" s="66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0.5" customHeight="1">
      <c r="A321" s="4"/>
      <c r="B321" s="4"/>
      <c r="C321" s="66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0.5" customHeight="1">
      <c r="A322" s="4"/>
      <c r="B322" s="4"/>
      <c r="C322" s="66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0.5" customHeight="1">
      <c r="A323" s="4"/>
      <c r="B323" s="4"/>
      <c r="C323" s="66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0.5" customHeight="1">
      <c r="A324" s="4"/>
      <c r="B324" s="4"/>
      <c r="C324" s="66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0.5" customHeight="1">
      <c r="A325" s="4"/>
      <c r="B325" s="4"/>
      <c r="C325" s="66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0.5" customHeight="1">
      <c r="A326" s="4"/>
      <c r="B326" s="4"/>
      <c r="C326" s="66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0.5" customHeight="1">
      <c r="A327" s="4"/>
      <c r="B327" s="4"/>
      <c r="C327" s="66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0.5" customHeight="1">
      <c r="A328" s="4"/>
      <c r="B328" s="4"/>
      <c r="C328" s="66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0.5" customHeight="1">
      <c r="A329" s="4"/>
      <c r="B329" s="4"/>
      <c r="C329" s="66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0.5" customHeight="1">
      <c r="A330" s="4"/>
      <c r="B330" s="4"/>
      <c r="C330" s="66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0.5" customHeight="1">
      <c r="A331" s="4"/>
      <c r="B331" s="4"/>
      <c r="C331" s="66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0.5" customHeight="1">
      <c r="A332" s="4"/>
      <c r="B332" s="4"/>
      <c r="C332" s="66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0.5" customHeight="1">
      <c r="A333" s="4"/>
      <c r="B333" s="4"/>
      <c r="C333" s="66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0.5" customHeight="1">
      <c r="A334" s="4"/>
      <c r="B334" s="4"/>
      <c r="C334" s="66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0.5" customHeight="1">
      <c r="A335" s="4"/>
      <c r="B335" s="4"/>
      <c r="C335" s="66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0.5" customHeight="1">
      <c r="A336" s="4"/>
      <c r="B336" s="4"/>
      <c r="C336" s="66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0.5" customHeight="1">
      <c r="A337" s="4"/>
      <c r="B337" s="4"/>
      <c r="C337" s="66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0.5" customHeight="1">
      <c r="A338" s="4"/>
      <c r="B338" s="4"/>
      <c r="C338" s="66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0.5" customHeight="1">
      <c r="A339" s="4"/>
      <c r="B339" s="4"/>
      <c r="C339" s="66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0.5" customHeight="1">
      <c r="A340" s="4"/>
      <c r="B340" s="4"/>
      <c r="C340" s="66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0.5" customHeight="1">
      <c r="A341" s="4"/>
      <c r="B341" s="4"/>
      <c r="C341" s="66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0.5" customHeight="1">
      <c r="A342" s="4"/>
      <c r="B342" s="4"/>
      <c r="C342" s="66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0.5" customHeight="1">
      <c r="A343" s="4"/>
      <c r="B343" s="4"/>
      <c r="C343" s="66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0.5" customHeight="1">
      <c r="A344" s="4"/>
      <c r="B344" s="4"/>
      <c r="C344" s="66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0.5" customHeight="1">
      <c r="A345" s="4"/>
      <c r="B345" s="4"/>
      <c r="C345" s="66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0.5" customHeight="1">
      <c r="A346" s="4"/>
      <c r="B346" s="4"/>
      <c r="C346" s="66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0.5" customHeight="1">
      <c r="A347" s="4"/>
      <c r="B347" s="4"/>
      <c r="C347" s="66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0.5" customHeight="1">
      <c r="A348" s="4"/>
      <c r="B348" s="4"/>
      <c r="C348" s="66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0.5" customHeight="1">
      <c r="A349" s="4"/>
      <c r="B349" s="4"/>
      <c r="C349" s="66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0.5" customHeight="1">
      <c r="A350" s="4"/>
      <c r="B350" s="4"/>
      <c r="C350" s="66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0.5" customHeight="1">
      <c r="A351" s="4"/>
      <c r="B351" s="4"/>
      <c r="C351" s="66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0.5" customHeight="1">
      <c r="A352" s="4"/>
      <c r="B352" s="4"/>
      <c r="C352" s="66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0.5" customHeight="1">
      <c r="A353" s="4"/>
      <c r="B353" s="4"/>
      <c r="C353" s="66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0.5" customHeight="1">
      <c r="A354" s="4"/>
      <c r="B354" s="4"/>
      <c r="C354" s="66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0.5" customHeight="1">
      <c r="A355" s="4"/>
      <c r="B355" s="4"/>
      <c r="C355" s="66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0.5" customHeight="1">
      <c r="A356" s="4"/>
      <c r="B356" s="4"/>
      <c r="C356" s="66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0.5" customHeight="1">
      <c r="A357" s="4"/>
      <c r="B357" s="4"/>
      <c r="C357" s="66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0.5" customHeight="1">
      <c r="A358" s="4"/>
      <c r="B358" s="4"/>
      <c r="C358" s="66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0.5" customHeight="1">
      <c r="A359" s="4"/>
      <c r="B359" s="4"/>
      <c r="C359" s="66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0.5" customHeight="1">
      <c r="A360" s="4"/>
      <c r="B360" s="4"/>
      <c r="C360" s="66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0.5" customHeight="1">
      <c r="A361" s="4"/>
      <c r="B361" s="4"/>
      <c r="C361" s="66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0.5" customHeight="1">
      <c r="A362" s="4"/>
      <c r="B362" s="4"/>
      <c r="C362" s="66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0.5" customHeight="1">
      <c r="A363" s="4"/>
      <c r="B363" s="4"/>
      <c r="C363" s="66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0.5" customHeight="1">
      <c r="A364" s="4"/>
      <c r="B364" s="4"/>
      <c r="C364" s="66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0.5" customHeight="1">
      <c r="A365" s="4"/>
      <c r="B365" s="4"/>
      <c r="C365" s="66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0.5" customHeight="1">
      <c r="A366" s="4"/>
      <c r="B366" s="4"/>
      <c r="C366" s="66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0.5" customHeight="1">
      <c r="A367" s="4"/>
      <c r="B367" s="4"/>
      <c r="C367" s="66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0.5" customHeight="1">
      <c r="A368" s="4"/>
      <c r="B368" s="4"/>
      <c r="C368" s="66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0.5" customHeight="1">
      <c r="A369" s="4"/>
      <c r="B369" s="4"/>
      <c r="C369" s="66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0.5" customHeight="1">
      <c r="A370" s="4"/>
      <c r="B370" s="4"/>
      <c r="C370" s="66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0.5" customHeight="1">
      <c r="A371" s="4"/>
      <c r="B371" s="4"/>
      <c r="C371" s="66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0.5" customHeight="1">
      <c r="A372" s="4"/>
      <c r="B372" s="4"/>
      <c r="C372" s="66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0.5" customHeight="1">
      <c r="A373" s="4"/>
      <c r="B373" s="4"/>
      <c r="C373" s="66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0.5" customHeight="1">
      <c r="A374" s="4"/>
      <c r="B374" s="4"/>
      <c r="C374" s="66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0.5" customHeight="1">
      <c r="A375" s="4"/>
      <c r="B375" s="4"/>
      <c r="C375" s="66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0.5" customHeight="1">
      <c r="A376" s="4"/>
      <c r="B376" s="4"/>
      <c r="C376" s="66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0.5" customHeight="1">
      <c r="A377" s="4"/>
      <c r="B377" s="4"/>
      <c r="C377" s="66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0.5" customHeight="1">
      <c r="A378" s="4"/>
      <c r="B378" s="4"/>
      <c r="C378" s="66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0.5" customHeight="1">
      <c r="A379" s="4"/>
      <c r="B379" s="4"/>
      <c r="C379" s="66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0.5" customHeight="1">
      <c r="A380" s="4"/>
      <c r="B380" s="4"/>
      <c r="C380" s="66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0.5" customHeight="1">
      <c r="A381" s="4"/>
      <c r="B381" s="4"/>
      <c r="C381" s="66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0.5" customHeight="1">
      <c r="A382" s="4"/>
      <c r="B382" s="4"/>
      <c r="C382" s="66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0.5" customHeight="1">
      <c r="A383" s="4"/>
      <c r="B383" s="4"/>
      <c r="C383" s="66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0.5" customHeight="1">
      <c r="A384" s="4"/>
      <c r="B384" s="4"/>
      <c r="C384" s="66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0.5" customHeight="1">
      <c r="A385" s="4"/>
      <c r="B385" s="4"/>
      <c r="C385" s="66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0.5" customHeight="1">
      <c r="A386" s="4"/>
      <c r="B386" s="4"/>
      <c r="C386" s="66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0.5" customHeight="1">
      <c r="A387" s="4"/>
      <c r="B387" s="4"/>
      <c r="C387" s="66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0.5" customHeight="1">
      <c r="A388" s="4"/>
      <c r="B388" s="4"/>
      <c r="C388" s="66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0.5" customHeight="1">
      <c r="A389" s="4"/>
      <c r="B389" s="4"/>
      <c r="C389" s="66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0.5" customHeight="1">
      <c r="A390" s="4"/>
      <c r="B390" s="4"/>
      <c r="C390" s="66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0.5" customHeight="1">
      <c r="A391" s="4"/>
      <c r="B391" s="4"/>
      <c r="C391" s="66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0.5" customHeight="1">
      <c r="A392" s="4"/>
      <c r="B392" s="4"/>
      <c r="C392" s="66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0.5" customHeight="1">
      <c r="A393" s="4"/>
      <c r="B393" s="4"/>
      <c r="C393" s="66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0.5" customHeight="1">
      <c r="A394" s="4"/>
      <c r="B394" s="4"/>
      <c r="C394" s="66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0.5" customHeight="1">
      <c r="A395" s="4"/>
      <c r="B395" s="4"/>
      <c r="C395" s="66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0.5" customHeight="1">
      <c r="A396" s="4"/>
      <c r="B396" s="4"/>
      <c r="C396" s="66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0.5" customHeight="1">
      <c r="A397" s="4"/>
      <c r="B397" s="4"/>
      <c r="C397" s="66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0.5" customHeight="1">
      <c r="A398" s="4"/>
      <c r="B398" s="4"/>
      <c r="C398" s="66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0.5" customHeight="1">
      <c r="A399" s="4"/>
      <c r="B399" s="4"/>
      <c r="C399" s="66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0.5" customHeight="1">
      <c r="A400" s="4"/>
      <c r="B400" s="4"/>
      <c r="C400" s="66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0.5" customHeight="1">
      <c r="A401" s="4"/>
      <c r="B401" s="4"/>
      <c r="C401" s="66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0.5" customHeight="1">
      <c r="A402" s="4"/>
      <c r="B402" s="4"/>
      <c r="C402" s="66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0.5" customHeight="1">
      <c r="A403" s="4"/>
      <c r="B403" s="4"/>
      <c r="C403" s="66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0.5" customHeight="1">
      <c r="A404" s="4"/>
      <c r="B404" s="4"/>
      <c r="C404" s="66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0.5" customHeight="1">
      <c r="A405" s="4"/>
      <c r="B405" s="4"/>
      <c r="C405" s="66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0.5" customHeight="1">
      <c r="A406" s="4"/>
      <c r="B406" s="4"/>
      <c r="C406" s="66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0.5" customHeight="1">
      <c r="A407" s="4"/>
      <c r="B407" s="4"/>
      <c r="C407" s="66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0.5" customHeight="1">
      <c r="A408" s="4"/>
      <c r="B408" s="4"/>
      <c r="C408" s="66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0.5" customHeight="1">
      <c r="A409" s="4"/>
      <c r="B409" s="4"/>
      <c r="C409" s="66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0.5" customHeight="1">
      <c r="A410" s="4"/>
      <c r="B410" s="4"/>
      <c r="C410" s="66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0.5" customHeight="1">
      <c r="A411" s="4"/>
      <c r="B411" s="4"/>
      <c r="C411" s="66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0.5" customHeight="1">
      <c r="A412" s="4"/>
      <c r="B412" s="4"/>
      <c r="C412" s="66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0.5" customHeight="1">
      <c r="A413" s="4"/>
      <c r="B413" s="4"/>
      <c r="C413" s="66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0.5" customHeight="1">
      <c r="A414" s="4"/>
      <c r="B414" s="4"/>
      <c r="C414" s="66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0.5" customHeight="1">
      <c r="A415" s="4"/>
      <c r="B415" s="4"/>
      <c r="C415" s="66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0.5" customHeight="1">
      <c r="A416" s="4"/>
      <c r="B416" s="4"/>
      <c r="C416" s="66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0.5" customHeight="1">
      <c r="A417" s="4"/>
      <c r="B417" s="4"/>
      <c r="C417" s="66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0.5" customHeight="1">
      <c r="A418" s="4"/>
      <c r="B418" s="4"/>
      <c r="C418" s="66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0.5" customHeight="1">
      <c r="A419" s="4"/>
      <c r="B419" s="4"/>
      <c r="C419" s="66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0.5" customHeight="1">
      <c r="A420" s="4"/>
      <c r="B420" s="4"/>
      <c r="C420" s="66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0.5" customHeight="1">
      <c r="A421" s="4"/>
      <c r="B421" s="4"/>
      <c r="C421" s="66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0.5" customHeight="1">
      <c r="A422" s="4"/>
      <c r="B422" s="4"/>
      <c r="C422" s="66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0.5" customHeight="1">
      <c r="A423" s="4"/>
      <c r="B423" s="4"/>
      <c r="C423" s="66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0.5" customHeight="1">
      <c r="A424" s="4"/>
      <c r="B424" s="4"/>
      <c r="C424" s="66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0.5" customHeight="1">
      <c r="A425" s="4"/>
      <c r="B425" s="4"/>
      <c r="C425" s="66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0.5" customHeight="1">
      <c r="A426" s="4"/>
      <c r="B426" s="4"/>
      <c r="C426" s="66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0.5" customHeight="1">
      <c r="A427" s="4"/>
      <c r="B427" s="4"/>
      <c r="C427" s="66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0.5" customHeight="1">
      <c r="A428" s="4"/>
      <c r="B428" s="4"/>
      <c r="C428" s="66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0.5" customHeight="1">
      <c r="A429" s="4"/>
      <c r="B429" s="4"/>
      <c r="C429" s="66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0.5" customHeight="1">
      <c r="A430" s="4"/>
      <c r="B430" s="4"/>
      <c r="C430" s="66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0.5" customHeight="1">
      <c r="A431" s="4"/>
      <c r="B431" s="4"/>
      <c r="C431" s="66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0.5" customHeight="1">
      <c r="A432" s="4"/>
      <c r="B432" s="4"/>
      <c r="C432" s="66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0.5" customHeight="1">
      <c r="A433" s="4"/>
      <c r="B433" s="4"/>
      <c r="C433" s="66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0.5" customHeight="1">
      <c r="A434" s="4"/>
      <c r="B434" s="4"/>
      <c r="C434" s="66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0.5" customHeight="1">
      <c r="A435" s="4"/>
      <c r="B435" s="4"/>
      <c r="C435" s="66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0.5" customHeight="1">
      <c r="A436" s="4"/>
      <c r="B436" s="4"/>
      <c r="C436" s="66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0.5" customHeight="1">
      <c r="A437" s="4"/>
      <c r="B437" s="4"/>
      <c r="C437" s="66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0.5" customHeight="1">
      <c r="A438" s="4"/>
      <c r="B438" s="4"/>
      <c r="C438" s="66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0.5" customHeight="1">
      <c r="A439" s="4"/>
      <c r="B439" s="4"/>
      <c r="C439" s="66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0.5" customHeight="1">
      <c r="A440" s="4"/>
      <c r="B440" s="4"/>
      <c r="C440" s="66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0.5" customHeight="1">
      <c r="A441" s="4"/>
      <c r="B441" s="4"/>
      <c r="C441" s="66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0.5" customHeight="1">
      <c r="A442" s="4"/>
      <c r="B442" s="4"/>
      <c r="C442" s="66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0.5" customHeight="1">
      <c r="A443" s="4"/>
      <c r="B443" s="4"/>
      <c r="C443" s="66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0.5" customHeight="1">
      <c r="A444" s="4"/>
      <c r="B444" s="4"/>
      <c r="C444" s="66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0.5" customHeight="1">
      <c r="A445" s="4"/>
      <c r="B445" s="4"/>
      <c r="C445" s="66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0.5" customHeight="1">
      <c r="A446" s="4"/>
      <c r="B446" s="4"/>
      <c r="C446" s="66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0.5" customHeight="1">
      <c r="A447" s="4"/>
      <c r="B447" s="4"/>
      <c r="C447" s="66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0.5" customHeight="1">
      <c r="A448" s="4"/>
      <c r="B448" s="4"/>
      <c r="C448" s="66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0.5" customHeight="1">
      <c r="A449" s="4"/>
      <c r="B449" s="4"/>
      <c r="C449" s="66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0.5" customHeight="1">
      <c r="A450" s="4"/>
      <c r="B450" s="4"/>
      <c r="C450" s="66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0.5" customHeight="1">
      <c r="A451" s="4"/>
      <c r="B451" s="4"/>
      <c r="C451" s="66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0.5" customHeight="1">
      <c r="A452" s="4"/>
      <c r="B452" s="4"/>
      <c r="C452" s="66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0.5" customHeight="1">
      <c r="A453" s="4"/>
      <c r="B453" s="4"/>
      <c r="C453" s="66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0.5" customHeight="1">
      <c r="A454" s="4"/>
      <c r="B454" s="4"/>
      <c r="C454" s="66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0.5" customHeight="1">
      <c r="A455" s="4"/>
      <c r="B455" s="4"/>
      <c r="C455" s="66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0.5" customHeight="1">
      <c r="A456" s="4"/>
      <c r="B456" s="4"/>
      <c r="C456" s="66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0.5" customHeight="1">
      <c r="A457" s="4"/>
      <c r="B457" s="4"/>
      <c r="C457" s="66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0.5" customHeight="1">
      <c r="A458" s="4"/>
      <c r="B458" s="4"/>
      <c r="C458" s="66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0.5" customHeight="1">
      <c r="A459" s="4"/>
      <c r="B459" s="4"/>
      <c r="C459" s="66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0.5" customHeight="1">
      <c r="A460" s="4"/>
      <c r="B460" s="4"/>
      <c r="C460" s="66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0.5" customHeight="1">
      <c r="A461" s="4"/>
      <c r="B461" s="4"/>
      <c r="C461" s="66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0.5" customHeight="1">
      <c r="A462" s="4"/>
      <c r="B462" s="4"/>
      <c r="C462" s="66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0.5" customHeight="1">
      <c r="A463" s="4"/>
      <c r="B463" s="4"/>
      <c r="C463" s="66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0.5" customHeight="1">
      <c r="A464" s="4"/>
      <c r="B464" s="4"/>
      <c r="C464" s="66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0.5" customHeight="1">
      <c r="A465" s="4"/>
      <c r="B465" s="4"/>
      <c r="C465" s="66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0.5" customHeight="1">
      <c r="A466" s="4"/>
      <c r="B466" s="4"/>
      <c r="C466" s="66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0.5" customHeight="1">
      <c r="A467" s="4"/>
      <c r="B467" s="4"/>
      <c r="C467" s="66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0.5" customHeight="1">
      <c r="A468" s="4"/>
      <c r="B468" s="4"/>
      <c r="C468" s="66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0.5" customHeight="1">
      <c r="A469" s="4"/>
      <c r="B469" s="4"/>
      <c r="C469" s="66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0.5" customHeight="1">
      <c r="A470" s="4"/>
      <c r="B470" s="4"/>
      <c r="C470" s="66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0.5" customHeight="1">
      <c r="A471" s="4"/>
      <c r="B471" s="4"/>
      <c r="C471" s="66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0.5" customHeight="1">
      <c r="A472" s="4"/>
      <c r="B472" s="4"/>
      <c r="C472" s="66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0.5" customHeight="1">
      <c r="A473" s="4"/>
      <c r="B473" s="4"/>
      <c r="C473" s="66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0.5" customHeight="1">
      <c r="A474" s="4"/>
      <c r="B474" s="4"/>
      <c r="C474" s="66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0.5" customHeight="1">
      <c r="A475" s="4"/>
      <c r="B475" s="4"/>
      <c r="C475" s="66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0.5" customHeight="1">
      <c r="A476" s="4"/>
      <c r="B476" s="4"/>
      <c r="C476" s="66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0.5" customHeight="1">
      <c r="A477" s="4"/>
      <c r="B477" s="4"/>
      <c r="C477" s="66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0.5" customHeight="1">
      <c r="A478" s="4"/>
      <c r="B478" s="4"/>
      <c r="C478" s="66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0.5" customHeight="1">
      <c r="A479" s="4"/>
      <c r="B479" s="4"/>
      <c r="C479" s="66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0.5" customHeight="1">
      <c r="A480" s="4"/>
      <c r="B480" s="4"/>
      <c r="C480" s="66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0.5" customHeight="1">
      <c r="A481" s="4"/>
      <c r="B481" s="4"/>
      <c r="C481" s="66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0.5" customHeight="1">
      <c r="A482" s="4"/>
      <c r="B482" s="4"/>
      <c r="C482" s="66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0.5" customHeight="1">
      <c r="A483" s="4"/>
      <c r="B483" s="4"/>
      <c r="C483" s="66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0.5" customHeight="1">
      <c r="A484" s="4"/>
      <c r="B484" s="4"/>
      <c r="C484" s="66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0.5" customHeight="1">
      <c r="A485" s="4"/>
      <c r="B485" s="4"/>
      <c r="C485" s="66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0.5" customHeight="1">
      <c r="A486" s="4"/>
      <c r="B486" s="4"/>
      <c r="C486" s="66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0.5" customHeight="1">
      <c r="A487" s="4"/>
      <c r="B487" s="4"/>
      <c r="C487" s="66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0.5" customHeight="1">
      <c r="A488" s="4"/>
      <c r="B488" s="4"/>
      <c r="C488" s="66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0.5" customHeight="1">
      <c r="A489" s="4"/>
      <c r="B489" s="4"/>
      <c r="C489" s="66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0.5" customHeight="1">
      <c r="A490" s="4"/>
      <c r="B490" s="4"/>
      <c r="C490" s="66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0.5" customHeight="1">
      <c r="A491" s="4"/>
      <c r="B491" s="4"/>
      <c r="C491" s="66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0.5" customHeight="1">
      <c r="A492" s="4"/>
      <c r="B492" s="4"/>
      <c r="C492" s="66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0.5" customHeight="1">
      <c r="A493" s="4"/>
      <c r="B493" s="4"/>
      <c r="C493" s="66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0.5" customHeight="1">
      <c r="A494" s="4"/>
      <c r="B494" s="4"/>
      <c r="C494" s="66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0.5" customHeight="1">
      <c r="A495" s="4"/>
      <c r="B495" s="4"/>
      <c r="C495" s="66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0.5" customHeight="1">
      <c r="A496" s="4"/>
      <c r="B496" s="4"/>
      <c r="C496" s="66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0.5" customHeight="1">
      <c r="A497" s="4"/>
      <c r="B497" s="4"/>
      <c r="C497" s="66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0.5" customHeight="1">
      <c r="A498" s="4"/>
      <c r="B498" s="4"/>
      <c r="C498" s="66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0.5" customHeight="1">
      <c r="A499" s="4"/>
      <c r="B499" s="4"/>
      <c r="C499" s="66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0.5" customHeight="1">
      <c r="A500" s="4"/>
      <c r="B500" s="4"/>
      <c r="C500" s="66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0.5" customHeight="1">
      <c r="A501" s="4"/>
      <c r="B501" s="4"/>
      <c r="C501" s="66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0.5" customHeight="1">
      <c r="A502" s="4"/>
      <c r="B502" s="4"/>
      <c r="C502" s="66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0.5" customHeight="1">
      <c r="A503" s="4"/>
      <c r="B503" s="4"/>
      <c r="C503" s="66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0.5" customHeight="1">
      <c r="A504" s="4"/>
      <c r="B504" s="4"/>
      <c r="C504" s="66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0.5" customHeight="1">
      <c r="A505" s="4"/>
      <c r="B505" s="4"/>
      <c r="C505" s="66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0.5" customHeight="1">
      <c r="A506" s="4"/>
      <c r="B506" s="4"/>
      <c r="C506" s="66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0.5" customHeight="1">
      <c r="A507" s="4"/>
      <c r="B507" s="4"/>
      <c r="C507" s="66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0.5" customHeight="1">
      <c r="A508" s="4"/>
      <c r="B508" s="4"/>
      <c r="C508" s="66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0.5" customHeight="1">
      <c r="A509" s="4"/>
      <c r="B509" s="4"/>
      <c r="C509" s="66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0.5" customHeight="1">
      <c r="A510" s="4"/>
      <c r="B510" s="4"/>
      <c r="C510" s="66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0.5" customHeight="1">
      <c r="A511" s="4"/>
      <c r="B511" s="4"/>
      <c r="C511" s="66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0.5" customHeight="1">
      <c r="A512" s="4"/>
      <c r="B512" s="4"/>
      <c r="C512" s="66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0.5" customHeight="1">
      <c r="A513" s="4"/>
      <c r="B513" s="4"/>
      <c r="C513" s="66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0.5" customHeight="1">
      <c r="A514" s="4"/>
      <c r="B514" s="4"/>
      <c r="C514" s="66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0.5" customHeight="1">
      <c r="A515" s="4"/>
      <c r="B515" s="4"/>
      <c r="C515" s="66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0.5" customHeight="1">
      <c r="A516" s="4"/>
      <c r="B516" s="4"/>
      <c r="C516" s="66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0.5" customHeight="1">
      <c r="A517" s="4"/>
      <c r="B517" s="4"/>
      <c r="C517" s="66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0.5" customHeight="1">
      <c r="A518" s="4"/>
      <c r="B518" s="4"/>
      <c r="C518" s="66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0.5" customHeight="1">
      <c r="A519" s="4"/>
      <c r="B519" s="4"/>
      <c r="C519" s="66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0.5" customHeight="1">
      <c r="A520" s="4"/>
      <c r="B520" s="4"/>
      <c r="C520" s="66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0.5" customHeight="1">
      <c r="A521" s="4"/>
      <c r="B521" s="4"/>
      <c r="C521" s="66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0.5" customHeight="1">
      <c r="A522" s="4"/>
      <c r="B522" s="4"/>
      <c r="C522" s="66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0.5" customHeight="1">
      <c r="A523" s="4"/>
      <c r="B523" s="4"/>
      <c r="C523" s="66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0.5" customHeight="1">
      <c r="A524" s="4"/>
      <c r="B524" s="4"/>
      <c r="C524" s="66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0.5" customHeight="1">
      <c r="A525" s="4"/>
      <c r="B525" s="4"/>
      <c r="C525" s="66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0.5" customHeight="1">
      <c r="A526" s="4"/>
      <c r="B526" s="4"/>
      <c r="C526" s="66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0.5" customHeight="1">
      <c r="A527" s="4"/>
      <c r="B527" s="4"/>
      <c r="C527" s="66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0.5" customHeight="1">
      <c r="A528" s="4"/>
      <c r="B528" s="4"/>
      <c r="C528" s="66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0.5" customHeight="1">
      <c r="A529" s="4"/>
      <c r="B529" s="4"/>
      <c r="C529" s="66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0.5" customHeight="1">
      <c r="A530" s="4"/>
      <c r="B530" s="4"/>
      <c r="C530" s="66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0.5" customHeight="1">
      <c r="A531" s="4"/>
      <c r="B531" s="4"/>
      <c r="C531" s="66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0.5" customHeight="1">
      <c r="A532" s="4"/>
      <c r="B532" s="4"/>
      <c r="C532" s="66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0.5" customHeight="1">
      <c r="A533" s="4"/>
      <c r="B533" s="4"/>
      <c r="C533" s="66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0.5" customHeight="1">
      <c r="A534" s="4"/>
      <c r="B534" s="4"/>
      <c r="C534" s="66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0.5" customHeight="1">
      <c r="A535" s="4"/>
      <c r="B535" s="4"/>
      <c r="C535" s="66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0.5" customHeight="1">
      <c r="A536" s="4"/>
      <c r="B536" s="4"/>
      <c r="C536" s="66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0.5" customHeight="1">
      <c r="A537" s="4"/>
      <c r="B537" s="4"/>
      <c r="C537" s="66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0.5" customHeight="1">
      <c r="A538" s="4"/>
      <c r="B538" s="4"/>
      <c r="C538" s="66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0.5" customHeight="1">
      <c r="A539" s="4"/>
      <c r="B539" s="4"/>
      <c r="C539" s="66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0.5" customHeight="1">
      <c r="A540" s="4"/>
      <c r="B540" s="4"/>
      <c r="C540" s="66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0.5" customHeight="1">
      <c r="A541" s="4"/>
      <c r="B541" s="4"/>
      <c r="C541" s="66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0.5" customHeight="1">
      <c r="A542" s="4"/>
      <c r="B542" s="4"/>
      <c r="C542" s="66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0.5" customHeight="1">
      <c r="A543" s="4"/>
      <c r="B543" s="4"/>
      <c r="C543" s="66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0.5" customHeight="1">
      <c r="A544" s="4"/>
      <c r="B544" s="4"/>
      <c r="C544" s="66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0.5" customHeight="1">
      <c r="A545" s="4"/>
      <c r="B545" s="4"/>
      <c r="C545" s="66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0.5" customHeight="1">
      <c r="A546" s="4"/>
      <c r="B546" s="4"/>
      <c r="C546" s="66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0.5" customHeight="1">
      <c r="A547" s="4"/>
      <c r="B547" s="4"/>
      <c r="C547" s="66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0.5" customHeight="1">
      <c r="A548" s="4"/>
      <c r="B548" s="4"/>
      <c r="C548" s="66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0.5" customHeight="1">
      <c r="A549" s="4"/>
      <c r="B549" s="4"/>
      <c r="C549" s="66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0.5" customHeight="1">
      <c r="A550" s="4"/>
      <c r="B550" s="4"/>
      <c r="C550" s="66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0.5" customHeight="1">
      <c r="A551" s="4"/>
      <c r="B551" s="4"/>
      <c r="C551" s="66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0.5" customHeight="1">
      <c r="A552" s="4"/>
      <c r="B552" s="4"/>
      <c r="C552" s="66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0.5" customHeight="1">
      <c r="A553" s="4"/>
      <c r="B553" s="4"/>
      <c r="C553" s="66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0.5" customHeight="1">
      <c r="A554" s="4"/>
      <c r="B554" s="4"/>
      <c r="C554" s="66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0.5" customHeight="1">
      <c r="A555" s="4"/>
      <c r="B555" s="4"/>
      <c r="C555" s="66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0.5" customHeight="1">
      <c r="A556" s="4"/>
      <c r="B556" s="4"/>
      <c r="C556" s="66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0.5" customHeight="1">
      <c r="A557" s="4"/>
      <c r="B557" s="4"/>
      <c r="C557" s="66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0.5" customHeight="1">
      <c r="A558" s="4"/>
      <c r="B558" s="4"/>
      <c r="C558" s="66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0.5" customHeight="1">
      <c r="A559" s="4"/>
      <c r="B559" s="4"/>
      <c r="C559" s="66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0.5" customHeight="1">
      <c r="A560" s="4"/>
      <c r="B560" s="4"/>
      <c r="C560" s="66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0.5" customHeight="1">
      <c r="A561" s="4"/>
      <c r="B561" s="4"/>
      <c r="C561" s="66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0.5" customHeight="1">
      <c r="A562" s="4"/>
      <c r="B562" s="4"/>
      <c r="C562" s="66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0.5" customHeight="1">
      <c r="A563" s="4"/>
      <c r="B563" s="4"/>
      <c r="C563" s="66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0.5" customHeight="1">
      <c r="A564" s="4"/>
      <c r="B564" s="4"/>
      <c r="C564" s="66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0.5" customHeight="1">
      <c r="A565" s="4"/>
      <c r="B565" s="4"/>
      <c r="C565" s="66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0.5" customHeight="1">
      <c r="A566" s="4"/>
      <c r="B566" s="4"/>
      <c r="C566" s="66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0.5" customHeight="1">
      <c r="A567" s="4"/>
      <c r="B567" s="4"/>
      <c r="C567" s="66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0.5" customHeight="1">
      <c r="A568" s="4"/>
      <c r="B568" s="4"/>
      <c r="C568" s="66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0.5" customHeight="1">
      <c r="A569" s="4"/>
      <c r="B569" s="4"/>
      <c r="C569" s="66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0.5" customHeight="1">
      <c r="A570" s="4"/>
      <c r="B570" s="4"/>
      <c r="C570" s="66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0.5" customHeight="1">
      <c r="A571" s="4"/>
      <c r="B571" s="4"/>
      <c r="C571" s="66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0.5" customHeight="1">
      <c r="A572" s="4"/>
      <c r="B572" s="4"/>
      <c r="C572" s="66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0.5" customHeight="1">
      <c r="A573" s="4"/>
      <c r="B573" s="4"/>
      <c r="C573" s="66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0.5" customHeight="1">
      <c r="A574" s="4"/>
      <c r="B574" s="4"/>
      <c r="C574" s="66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0.5" customHeight="1">
      <c r="A575" s="4"/>
      <c r="B575" s="4"/>
      <c r="C575" s="66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0.5" customHeight="1">
      <c r="A576" s="4"/>
      <c r="B576" s="4"/>
      <c r="C576" s="66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0.5" customHeight="1">
      <c r="A577" s="4"/>
      <c r="B577" s="4"/>
      <c r="C577" s="66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0.5" customHeight="1">
      <c r="A578" s="4"/>
      <c r="B578" s="4"/>
      <c r="C578" s="66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0.5" customHeight="1">
      <c r="A579" s="4"/>
      <c r="B579" s="4"/>
      <c r="C579" s="66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0.5" customHeight="1">
      <c r="A580" s="4"/>
      <c r="B580" s="4"/>
      <c r="C580" s="66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0.5" customHeight="1">
      <c r="A581" s="4"/>
      <c r="B581" s="4"/>
      <c r="C581" s="66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0.5" customHeight="1">
      <c r="A582" s="4"/>
      <c r="B582" s="4"/>
      <c r="C582" s="66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0.5" customHeight="1">
      <c r="A583" s="4"/>
      <c r="B583" s="4"/>
      <c r="C583" s="66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0.5" customHeight="1">
      <c r="A584" s="4"/>
      <c r="B584" s="4"/>
      <c r="C584" s="66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0.5" customHeight="1">
      <c r="A585" s="4"/>
      <c r="B585" s="4"/>
      <c r="C585" s="66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0.5" customHeight="1">
      <c r="A586" s="4"/>
      <c r="B586" s="4"/>
      <c r="C586" s="66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0.5" customHeight="1">
      <c r="A587" s="4"/>
      <c r="B587" s="4"/>
      <c r="C587" s="66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0.5" customHeight="1">
      <c r="A588" s="4"/>
      <c r="B588" s="4"/>
      <c r="C588" s="66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0.5" customHeight="1">
      <c r="A589" s="4"/>
      <c r="B589" s="4"/>
      <c r="C589" s="66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0.5" customHeight="1">
      <c r="A590" s="4"/>
      <c r="B590" s="4"/>
      <c r="C590" s="66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0.5" customHeight="1">
      <c r="A591" s="4"/>
      <c r="B591" s="4"/>
      <c r="C591" s="66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0.5" customHeight="1">
      <c r="A592" s="4"/>
      <c r="B592" s="4"/>
      <c r="C592" s="66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0.5" customHeight="1">
      <c r="A593" s="4"/>
      <c r="B593" s="4"/>
      <c r="C593" s="66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0.5" customHeight="1">
      <c r="A594" s="4"/>
      <c r="B594" s="4"/>
      <c r="C594" s="66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0.5" customHeight="1">
      <c r="A595" s="4"/>
      <c r="B595" s="4"/>
      <c r="C595" s="66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0.5" customHeight="1">
      <c r="A596" s="4"/>
      <c r="B596" s="4"/>
      <c r="C596" s="66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0.5" customHeight="1">
      <c r="A597" s="4"/>
      <c r="B597" s="4"/>
      <c r="C597" s="66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0.5" customHeight="1">
      <c r="A598" s="4"/>
      <c r="B598" s="4"/>
      <c r="C598" s="66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0.5" customHeight="1">
      <c r="A599" s="4"/>
      <c r="B599" s="4"/>
      <c r="C599" s="66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0.5" customHeight="1">
      <c r="A600" s="4"/>
      <c r="B600" s="4"/>
      <c r="C600" s="66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0.5" customHeight="1">
      <c r="A601" s="4"/>
      <c r="B601" s="4"/>
      <c r="C601" s="66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0.5" customHeight="1">
      <c r="A602" s="4"/>
      <c r="B602" s="4"/>
      <c r="C602" s="66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0.5" customHeight="1">
      <c r="A603" s="4"/>
      <c r="B603" s="4"/>
      <c r="C603" s="66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0.5" customHeight="1">
      <c r="A604" s="4"/>
      <c r="B604" s="4"/>
      <c r="C604" s="66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0.5" customHeight="1">
      <c r="A605" s="4"/>
      <c r="B605" s="4"/>
      <c r="C605" s="66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0.5" customHeight="1">
      <c r="A606" s="4"/>
      <c r="B606" s="4"/>
      <c r="C606" s="66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0.5" customHeight="1">
      <c r="A607" s="4"/>
      <c r="B607" s="4"/>
      <c r="C607" s="66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0.5" customHeight="1">
      <c r="A608" s="4"/>
      <c r="B608" s="4"/>
      <c r="C608" s="66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0.5" customHeight="1">
      <c r="A609" s="4"/>
      <c r="B609" s="4"/>
      <c r="C609" s="66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0.5" customHeight="1">
      <c r="A610" s="4"/>
      <c r="B610" s="4"/>
      <c r="C610" s="66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0.5" customHeight="1">
      <c r="A611" s="4"/>
      <c r="B611" s="4"/>
      <c r="C611" s="66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0.5" customHeight="1">
      <c r="A612" s="4"/>
      <c r="B612" s="4"/>
      <c r="C612" s="66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0.5" customHeight="1">
      <c r="A613" s="4"/>
      <c r="B613" s="4"/>
      <c r="C613" s="66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0.5" customHeight="1">
      <c r="A614" s="4"/>
      <c r="B614" s="4"/>
      <c r="C614" s="66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0.5" customHeight="1">
      <c r="A615" s="4"/>
      <c r="B615" s="4"/>
      <c r="C615" s="66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0.5" customHeight="1">
      <c r="A616" s="4"/>
      <c r="B616" s="4"/>
      <c r="C616" s="66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0.5" customHeight="1">
      <c r="A617" s="4"/>
      <c r="B617" s="4"/>
      <c r="C617" s="66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0.5" customHeight="1">
      <c r="A618" s="4"/>
      <c r="B618" s="4"/>
      <c r="C618" s="66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0.5" customHeight="1">
      <c r="A619" s="4"/>
      <c r="B619" s="4"/>
      <c r="C619" s="66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0.5" customHeight="1">
      <c r="A620" s="4"/>
      <c r="B620" s="4"/>
      <c r="C620" s="66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0.5" customHeight="1">
      <c r="A621" s="4"/>
      <c r="B621" s="4"/>
      <c r="C621" s="66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0.5" customHeight="1">
      <c r="A622" s="4"/>
      <c r="B622" s="4"/>
      <c r="C622" s="66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0.5" customHeight="1">
      <c r="A623" s="4"/>
      <c r="B623" s="4"/>
      <c r="C623" s="66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0.5" customHeight="1">
      <c r="A624" s="4"/>
      <c r="B624" s="4"/>
      <c r="C624" s="66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0.5" customHeight="1">
      <c r="A625" s="4"/>
      <c r="B625" s="4"/>
      <c r="C625" s="66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0.5" customHeight="1">
      <c r="A626" s="4"/>
      <c r="B626" s="4"/>
      <c r="C626" s="66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0.5" customHeight="1">
      <c r="A627" s="4"/>
      <c r="B627" s="4"/>
      <c r="C627" s="66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0.5" customHeight="1">
      <c r="A628" s="4"/>
      <c r="B628" s="4"/>
      <c r="C628" s="66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0.5" customHeight="1">
      <c r="A629" s="4"/>
      <c r="B629" s="4"/>
      <c r="C629" s="66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0.5" customHeight="1">
      <c r="A630" s="4"/>
      <c r="B630" s="4"/>
      <c r="C630" s="66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0.5" customHeight="1">
      <c r="A631" s="4"/>
      <c r="B631" s="4"/>
      <c r="C631" s="66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0.5" customHeight="1">
      <c r="A632" s="4"/>
      <c r="B632" s="4"/>
      <c r="C632" s="66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0.5" customHeight="1">
      <c r="A633" s="4"/>
      <c r="B633" s="4"/>
      <c r="C633" s="66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0.5" customHeight="1">
      <c r="A634" s="4"/>
      <c r="B634" s="4"/>
      <c r="C634" s="66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0.5" customHeight="1">
      <c r="A635" s="4"/>
      <c r="B635" s="4"/>
      <c r="C635" s="66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0.5" customHeight="1">
      <c r="A636" s="4"/>
      <c r="B636" s="4"/>
      <c r="C636" s="66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0.5" customHeight="1">
      <c r="A637" s="4"/>
      <c r="B637" s="4"/>
      <c r="C637" s="66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0.5" customHeight="1">
      <c r="A638" s="4"/>
      <c r="B638" s="4"/>
      <c r="C638" s="66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0.5" customHeight="1">
      <c r="A639" s="4"/>
      <c r="B639" s="4"/>
      <c r="C639" s="66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0.5" customHeight="1">
      <c r="A640" s="4"/>
      <c r="B640" s="4"/>
      <c r="C640" s="66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0.5" customHeight="1">
      <c r="A641" s="4"/>
      <c r="B641" s="4"/>
      <c r="C641" s="66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0.5" customHeight="1">
      <c r="A642" s="4"/>
      <c r="B642" s="4"/>
      <c r="C642" s="66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0.5" customHeight="1">
      <c r="A643" s="4"/>
      <c r="B643" s="4"/>
      <c r="C643" s="66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0.5" customHeight="1">
      <c r="A644" s="4"/>
      <c r="B644" s="4"/>
      <c r="C644" s="66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0.5" customHeight="1">
      <c r="A645" s="4"/>
      <c r="B645" s="4"/>
      <c r="C645" s="66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0.5" customHeight="1">
      <c r="A646" s="4"/>
      <c r="B646" s="4"/>
      <c r="C646" s="66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0.5" customHeight="1">
      <c r="A647" s="4"/>
      <c r="B647" s="4"/>
      <c r="C647" s="66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0.5" customHeight="1">
      <c r="A648" s="4"/>
      <c r="B648" s="4"/>
      <c r="C648" s="66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0.5" customHeight="1">
      <c r="A649" s="4"/>
      <c r="B649" s="4"/>
      <c r="C649" s="66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0.5" customHeight="1">
      <c r="A650" s="4"/>
      <c r="B650" s="4"/>
      <c r="C650" s="66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0.5" customHeight="1">
      <c r="A651" s="4"/>
      <c r="B651" s="4"/>
      <c r="C651" s="66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0.5" customHeight="1">
      <c r="A652" s="4"/>
      <c r="B652" s="4"/>
      <c r="C652" s="66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0.5" customHeight="1">
      <c r="A653" s="4"/>
      <c r="B653" s="4"/>
      <c r="C653" s="66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0.5" customHeight="1">
      <c r="A654" s="4"/>
      <c r="B654" s="4"/>
      <c r="C654" s="66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0.5" customHeight="1">
      <c r="A655" s="4"/>
      <c r="B655" s="4"/>
      <c r="C655" s="66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0.5" customHeight="1">
      <c r="A656" s="4"/>
      <c r="B656" s="4"/>
      <c r="C656" s="66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0.5" customHeight="1">
      <c r="A657" s="4"/>
      <c r="B657" s="4"/>
      <c r="C657" s="66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0.5" customHeight="1">
      <c r="A658" s="4"/>
      <c r="B658" s="4"/>
      <c r="C658" s="66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0.5" customHeight="1">
      <c r="A659" s="4"/>
      <c r="B659" s="4"/>
      <c r="C659" s="66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0.5" customHeight="1">
      <c r="A660" s="4"/>
      <c r="B660" s="4"/>
      <c r="C660" s="66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0.5" customHeight="1">
      <c r="A661" s="4"/>
      <c r="B661" s="4"/>
      <c r="C661" s="66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0.5" customHeight="1">
      <c r="A662" s="4"/>
      <c r="B662" s="4"/>
      <c r="C662" s="66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0.5" customHeight="1">
      <c r="A663" s="4"/>
      <c r="B663" s="4"/>
      <c r="C663" s="66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0.5" customHeight="1">
      <c r="A664" s="4"/>
      <c r="B664" s="4"/>
      <c r="C664" s="66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0.5" customHeight="1">
      <c r="A665" s="4"/>
      <c r="B665" s="4"/>
      <c r="C665" s="66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0.5" customHeight="1">
      <c r="A666" s="4"/>
      <c r="B666" s="4"/>
      <c r="C666" s="66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0.5" customHeight="1">
      <c r="A667" s="4"/>
      <c r="B667" s="4"/>
      <c r="C667" s="66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0.5" customHeight="1">
      <c r="A668" s="4"/>
      <c r="B668" s="4"/>
      <c r="C668" s="66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0.5" customHeight="1">
      <c r="A669" s="4"/>
      <c r="B669" s="4"/>
      <c r="C669" s="66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0.5" customHeight="1">
      <c r="A670" s="4"/>
      <c r="B670" s="4"/>
      <c r="C670" s="66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0.5" customHeight="1">
      <c r="A671" s="4"/>
      <c r="B671" s="4"/>
      <c r="C671" s="66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0.5" customHeight="1">
      <c r="A672" s="4"/>
      <c r="B672" s="4"/>
      <c r="C672" s="66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0.5" customHeight="1">
      <c r="A673" s="4"/>
      <c r="B673" s="4"/>
      <c r="C673" s="66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0.5" customHeight="1">
      <c r="A674" s="4"/>
      <c r="B674" s="4"/>
      <c r="C674" s="66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0.5" customHeight="1">
      <c r="A675" s="4"/>
      <c r="B675" s="4"/>
      <c r="C675" s="66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0.5" customHeight="1">
      <c r="A676" s="4"/>
      <c r="B676" s="4"/>
      <c r="C676" s="66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0.5" customHeight="1">
      <c r="A677" s="4"/>
      <c r="B677" s="4"/>
      <c r="C677" s="66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0.5" customHeight="1">
      <c r="A678" s="4"/>
      <c r="B678" s="4"/>
      <c r="C678" s="66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0.5" customHeight="1">
      <c r="A679" s="4"/>
      <c r="B679" s="4"/>
      <c r="C679" s="66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0.5" customHeight="1">
      <c r="A680" s="4"/>
      <c r="B680" s="4"/>
      <c r="C680" s="66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0.5" customHeight="1">
      <c r="A681" s="4"/>
      <c r="B681" s="4"/>
      <c r="C681" s="66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0.5" customHeight="1">
      <c r="A682" s="4"/>
      <c r="B682" s="4"/>
      <c r="C682" s="66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0.5" customHeight="1">
      <c r="A683" s="4"/>
      <c r="B683" s="4"/>
      <c r="C683" s="66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0.5" customHeight="1">
      <c r="A684" s="4"/>
      <c r="B684" s="4"/>
      <c r="C684" s="66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0.5" customHeight="1">
      <c r="A685" s="4"/>
      <c r="B685" s="4"/>
      <c r="C685" s="66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0.5" customHeight="1">
      <c r="A686" s="4"/>
      <c r="B686" s="4"/>
      <c r="C686" s="66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0.5" customHeight="1">
      <c r="A687" s="4"/>
      <c r="B687" s="4"/>
      <c r="C687" s="66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0.5" customHeight="1">
      <c r="A688" s="4"/>
      <c r="B688" s="4"/>
      <c r="C688" s="66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0.5" customHeight="1">
      <c r="A689" s="4"/>
      <c r="B689" s="4"/>
      <c r="C689" s="66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0.5" customHeight="1">
      <c r="A690" s="4"/>
      <c r="B690" s="4"/>
      <c r="C690" s="66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0.5" customHeight="1">
      <c r="A691" s="4"/>
      <c r="B691" s="4"/>
      <c r="C691" s="66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0.5" customHeight="1">
      <c r="A692" s="4"/>
      <c r="B692" s="4"/>
      <c r="C692" s="66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0.5" customHeight="1">
      <c r="A693" s="4"/>
      <c r="B693" s="4"/>
      <c r="C693" s="66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0.5" customHeight="1">
      <c r="A694" s="4"/>
      <c r="B694" s="4"/>
      <c r="C694" s="66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0.5" customHeight="1">
      <c r="A695" s="4"/>
      <c r="B695" s="4"/>
      <c r="C695" s="66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0.5" customHeight="1">
      <c r="A696" s="4"/>
      <c r="B696" s="4"/>
      <c r="C696" s="66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0.5" customHeight="1">
      <c r="A697" s="4"/>
      <c r="B697" s="4"/>
      <c r="C697" s="66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0.5" customHeight="1">
      <c r="A698" s="4"/>
      <c r="B698" s="4"/>
      <c r="C698" s="66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0.5" customHeight="1">
      <c r="A699" s="4"/>
      <c r="B699" s="4"/>
      <c r="C699" s="66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0.5" customHeight="1">
      <c r="A700" s="4"/>
      <c r="B700" s="4"/>
      <c r="C700" s="66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0.5" customHeight="1">
      <c r="A701" s="4"/>
      <c r="B701" s="4"/>
      <c r="C701" s="66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0.5" customHeight="1">
      <c r="A702" s="4"/>
      <c r="B702" s="4"/>
      <c r="C702" s="66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0.5" customHeight="1">
      <c r="A703" s="4"/>
      <c r="B703" s="4"/>
      <c r="C703" s="66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0.5" customHeight="1">
      <c r="A704" s="4"/>
      <c r="B704" s="4"/>
      <c r="C704" s="66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0.5" customHeight="1">
      <c r="A705" s="4"/>
      <c r="B705" s="4"/>
      <c r="C705" s="66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0.5" customHeight="1">
      <c r="A706" s="4"/>
      <c r="B706" s="4"/>
      <c r="C706" s="66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0.5" customHeight="1">
      <c r="A707" s="4"/>
      <c r="B707" s="4"/>
      <c r="C707" s="66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0.5" customHeight="1">
      <c r="A708" s="4"/>
      <c r="B708" s="4"/>
      <c r="C708" s="66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0.5" customHeight="1">
      <c r="A709" s="4"/>
      <c r="B709" s="4"/>
      <c r="C709" s="66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0.5" customHeight="1">
      <c r="A710" s="4"/>
      <c r="B710" s="4"/>
      <c r="C710" s="66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0.5" customHeight="1">
      <c r="A711" s="4"/>
      <c r="B711" s="4"/>
      <c r="C711" s="66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0.5" customHeight="1">
      <c r="A712" s="4"/>
      <c r="B712" s="4"/>
      <c r="C712" s="66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0.5" customHeight="1">
      <c r="A713" s="4"/>
      <c r="B713" s="4"/>
      <c r="C713" s="66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0.5" customHeight="1">
      <c r="A714" s="4"/>
      <c r="B714" s="4"/>
      <c r="C714" s="66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0.5" customHeight="1">
      <c r="A715" s="4"/>
      <c r="B715" s="4"/>
      <c r="C715" s="66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0.5" customHeight="1">
      <c r="A716" s="4"/>
      <c r="B716" s="4"/>
      <c r="C716" s="66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0.5" customHeight="1">
      <c r="A717" s="4"/>
      <c r="B717" s="4"/>
      <c r="C717" s="66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0.5" customHeight="1">
      <c r="A718" s="4"/>
      <c r="B718" s="4"/>
      <c r="C718" s="66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0.5" customHeight="1">
      <c r="A719" s="4"/>
      <c r="B719" s="4"/>
      <c r="C719" s="66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0.5" customHeight="1">
      <c r="A720" s="4"/>
      <c r="B720" s="4"/>
      <c r="C720" s="66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0.5" customHeight="1">
      <c r="A721" s="4"/>
      <c r="B721" s="4"/>
      <c r="C721" s="66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0.5" customHeight="1">
      <c r="A722" s="4"/>
      <c r="B722" s="4"/>
      <c r="C722" s="66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0.5" customHeight="1">
      <c r="A723" s="4"/>
      <c r="B723" s="4"/>
      <c r="C723" s="66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0.5" customHeight="1">
      <c r="A724" s="4"/>
      <c r="B724" s="4"/>
      <c r="C724" s="66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0.5" customHeight="1">
      <c r="A725" s="4"/>
      <c r="B725" s="4"/>
      <c r="C725" s="66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0.5" customHeight="1">
      <c r="A726" s="4"/>
      <c r="B726" s="4"/>
      <c r="C726" s="66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0.5" customHeight="1">
      <c r="A727" s="4"/>
      <c r="B727" s="4"/>
      <c r="C727" s="66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0.5" customHeight="1">
      <c r="A728" s="4"/>
      <c r="B728" s="4"/>
      <c r="C728" s="66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0.5" customHeight="1">
      <c r="A729" s="4"/>
      <c r="B729" s="4"/>
      <c r="C729" s="66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0.5" customHeight="1">
      <c r="A730" s="4"/>
      <c r="B730" s="4"/>
      <c r="C730" s="66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0.5" customHeight="1">
      <c r="A731" s="4"/>
      <c r="B731" s="4"/>
      <c r="C731" s="66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0.5" customHeight="1">
      <c r="A732" s="4"/>
      <c r="B732" s="4"/>
      <c r="C732" s="66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0.5" customHeight="1">
      <c r="A733" s="4"/>
      <c r="B733" s="4"/>
      <c r="C733" s="66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0.5" customHeight="1">
      <c r="A734" s="4"/>
      <c r="B734" s="4"/>
      <c r="C734" s="66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0.5" customHeight="1">
      <c r="A735" s="4"/>
      <c r="B735" s="4"/>
      <c r="C735" s="66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0.5" customHeight="1">
      <c r="A736" s="4"/>
      <c r="B736" s="4"/>
      <c r="C736" s="66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0.5" customHeight="1">
      <c r="A737" s="4"/>
      <c r="B737" s="4"/>
      <c r="C737" s="66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0.5" customHeight="1">
      <c r="A738" s="4"/>
      <c r="B738" s="4"/>
      <c r="C738" s="66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0.5" customHeight="1">
      <c r="A739" s="4"/>
      <c r="B739" s="4"/>
      <c r="C739" s="66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0.5" customHeight="1">
      <c r="A740" s="4"/>
      <c r="B740" s="4"/>
      <c r="C740" s="66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0.5" customHeight="1">
      <c r="A741" s="4"/>
      <c r="B741" s="4"/>
      <c r="C741" s="66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0.5" customHeight="1">
      <c r="A742" s="4"/>
      <c r="B742" s="4"/>
      <c r="C742" s="66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0.5" customHeight="1">
      <c r="A743" s="4"/>
      <c r="B743" s="4"/>
      <c r="C743" s="66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0.5" customHeight="1">
      <c r="A744" s="4"/>
      <c r="B744" s="4"/>
      <c r="C744" s="66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0.5" customHeight="1">
      <c r="A745" s="4"/>
      <c r="B745" s="4"/>
      <c r="C745" s="66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0.5" customHeight="1">
      <c r="A746" s="4"/>
      <c r="B746" s="4"/>
      <c r="C746" s="66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0.5" customHeight="1">
      <c r="A747" s="4"/>
      <c r="B747" s="4"/>
      <c r="C747" s="66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0.5" customHeight="1">
      <c r="A748" s="4"/>
      <c r="B748" s="4"/>
      <c r="C748" s="66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0.5" customHeight="1">
      <c r="A749" s="4"/>
      <c r="B749" s="4"/>
      <c r="C749" s="66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0.5" customHeight="1">
      <c r="A750" s="4"/>
      <c r="B750" s="4"/>
      <c r="C750" s="66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0.5" customHeight="1">
      <c r="A751" s="4"/>
      <c r="B751" s="4"/>
      <c r="C751" s="66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0.5" customHeight="1">
      <c r="A752" s="4"/>
      <c r="B752" s="4"/>
      <c r="C752" s="66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0.5" customHeight="1">
      <c r="A753" s="4"/>
      <c r="B753" s="4"/>
      <c r="C753" s="66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0.5" customHeight="1">
      <c r="A754" s="4"/>
      <c r="B754" s="4"/>
      <c r="C754" s="66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0.5" customHeight="1">
      <c r="A755" s="4"/>
      <c r="B755" s="4"/>
      <c r="C755" s="66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0.5" customHeight="1">
      <c r="A756" s="4"/>
      <c r="B756" s="4"/>
      <c r="C756" s="66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0.5" customHeight="1">
      <c r="A757" s="4"/>
      <c r="B757" s="4"/>
      <c r="C757" s="66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0.5" customHeight="1">
      <c r="A758" s="4"/>
      <c r="B758" s="4"/>
      <c r="C758" s="66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0.5" customHeight="1">
      <c r="A759" s="4"/>
      <c r="B759" s="4"/>
      <c r="C759" s="66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0.5" customHeight="1">
      <c r="A760" s="4"/>
      <c r="B760" s="4"/>
      <c r="C760" s="66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0.5" customHeight="1">
      <c r="A761" s="4"/>
      <c r="B761" s="4"/>
      <c r="C761" s="66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0.5" customHeight="1">
      <c r="A762" s="4"/>
      <c r="B762" s="4"/>
      <c r="C762" s="66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0.5" customHeight="1">
      <c r="A763" s="4"/>
      <c r="B763" s="4"/>
      <c r="C763" s="66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0.5" customHeight="1">
      <c r="A764" s="4"/>
      <c r="B764" s="4"/>
      <c r="C764" s="66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0.5" customHeight="1">
      <c r="A765" s="4"/>
      <c r="B765" s="4"/>
      <c r="C765" s="66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0.5" customHeight="1">
      <c r="A766" s="4"/>
      <c r="B766" s="4"/>
      <c r="C766" s="66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0.5" customHeight="1">
      <c r="A767" s="4"/>
      <c r="B767" s="4"/>
      <c r="C767" s="66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0.5" customHeight="1">
      <c r="A768" s="4"/>
      <c r="B768" s="4"/>
      <c r="C768" s="66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0.5" customHeight="1">
      <c r="A769" s="4"/>
      <c r="B769" s="4"/>
      <c r="C769" s="66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0.5" customHeight="1">
      <c r="A770" s="4"/>
      <c r="B770" s="4"/>
      <c r="C770" s="66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0.5" customHeight="1">
      <c r="A771" s="4"/>
      <c r="B771" s="4"/>
      <c r="C771" s="66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0.5" customHeight="1">
      <c r="A772" s="4"/>
      <c r="B772" s="4"/>
      <c r="C772" s="66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0.5" customHeight="1">
      <c r="A773" s="4"/>
      <c r="B773" s="4"/>
      <c r="C773" s="66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0.5" customHeight="1">
      <c r="A774" s="4"/>
      <c r="B774" s="4"/>
      <c r="C774" s="66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0.5" customHeight="1">
      <c r="A775" s="4"/>
      <c r="B775" s="4"/>
      <c r="C775" s="66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0.5" customHeight="1">
      <c r="A776" s="4"/>
      <c r="B776" s="4"/>
      <c r="C776" s="66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0.5" customHeight="1">
      <c r="A777" s="4"/>
      <c r="B777" s="4"/>
      <c r="C777" s="66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0.5" customHeight="1">
      <c r="A778" s="4"/>
      <c r="B778" s="4"/>
      <c r="C778" s="66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0.5" customHeight="1">
      <c r="A779" s="4"/>
      <c r="B779" s="4"/>
      <c r="C779" s="66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0.5" customHeight="1">
      <c r="A780" s="4"/>
      <c r="B780" s="4"/>
      <c r="C780" s="66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0.5" customHeight="1">
      <c r="A781" s="4"/>
      <c r="B781" s="4"/>
      <c r="C781" s="66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0.5" customHeight="1">
      <c r="A782" s="4"/>
      <c r="B782" s="4"/>
      <c r="C782" s="66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0.5" customHeight="1">
      <c r="A783" s="4"/>
      <c r="B783" s="4"/>
      <c r="C783" s="66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0.5" customHeight="1">
      <c r="A784" s="4"/>
      <c r="B784" s="4"/>
      <c r="C784" s="66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0.5" customHeight="1">
      <c r="A785" s="4"/>
      <c r="B785" s="4"/>
      <c r="C785" s="66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0.5" customHeight="1">
      <c r="A786" s="4"/>
      <c r="B786" s="4"/>
      <c r="C786" s="66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0.5" customHeight="1">
      <c r="A787" s="4"/>
      <c r="B787" s="4"/>
      <c r="C787" s="66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0.5" customHeight="1">
      <c r="A788" s="4"/>
      <c r="B788" s="4"/>
      <c r="C788" s="66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0.5" customHeight="1">
      <c r="A789" s="4"/>
      <c r="B789" s="4"/>
      <c r="C789" s="66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0.5" customHeight="1">
      <c r="A790" s="4"/>
      <c r="B790" s="4"/>
      <c r="C790" s="66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0.5" customHeight="1">
      <c r="A791" s="4"/>
      <c r="B791" s="4"/>
      <c r="C791" s="66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0.5" customHeight="1">
      <c r="A792" s="4"/>
      <c r="B792" s="4"/>
      <c r="C792" s="66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0.5" customHeight="1">
      <c r="A793" s="4"/>
      <c r="B793" s="4"/>
      <c r="C793" s="66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0.5" customHeight="1">
      <c r="A794" s="4"/>
      <c r="B794" s="4"/>
      <c r="C794" s="66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0.5" customHeight="1">
      <c r="A795" s="4"/>
      <c r="B795" s="4"/>
      <c r="C795" s="66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0.5" customHeight="1">
      <c r="A796" s="4"/>
      <c r="B796" s="4"/>
      <c r="C796" s="66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0.5" customHeight="1">
      <c r="A797" s="4"/>
      <c r="B797" s="4"/>
      <c r="C797" s="66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0.5" customHeight="1">
      <c r="A798" s="4"/>
      <c r="B798" s="4"/>
      <c r="C798" s="66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0.5" customHeight="1">
      <c r="A799" s="4"/>
      <c r="B799" s="4"/>
      <c r="C799" s="66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0.5" customHeight="1">
      <c r="A800" s="4"/>
      <c r="B800" s="4"/>
      <c r="C800" s="66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0.5" customHeight="1">
      <c r="A801" s="4"/>
      <c r="B801" s="4"/>
      <c r="C801" s="66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0.5" customHeight="1">
      <c r="A802" s="4"/>
      <c r="B802" s="4"/>
      <c r="C802" s="66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0.5" customHeight="1">
      <c r="A803" s="4"/>
      <c r="B803" s="4"/>
      <c r="C803" s="66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0.5" customHeight="1">
      <c r="A804" s="4"/>
      <c r="B804" s="4"/>
      <c r="C804" s="66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0.5" customHeight="1">
      <c r="A805" s="4"/>
      <c r="B805" s="4"/>
      <c r="C805" s="66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0.5" customHeight="1">
      <c r="A806" s="4"/>
      <c r="B806" s="4"/>
      <c r="C806" s="66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0.5" customHeight="1">
      <c r="A807" s="4"/>
      <c r="B807" s="4"/>
      <c r="C807" s="66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0.5" customHeight="1">
      <c r="A808" s="4"/>
      <c r="B808" s="4"/>
      <c r="C808" s="66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0.5" customHeight="1">
      <c r="A809" s="4"/>
      <c r="B809" s="4"/>
      <c r="C809" s="66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0.5" customHeight="1">
      <c r="A810" s="4"/>
      <c r="B810" s="4"/>
      <c r="C810" s="66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0.5" customHeight="1">
      <c r="A811" s="4"/>
      <c r="B811" s="4"/>
      <c r="C811" s="66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0.5" customHeight="1">
      <c r="A812" s="4"/>
      <c r="B812" s="4"/>
      <c r="C812" s="66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0.5" customHeight="1">
      <c r="A813" s="4"/>
      <c r="B813" s="4"/>
      <c r="C813" s="66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0.5" customHeight="1">
      <c r="A814" s="4"/>
      <c r="B814" s="4"/>
      <c r="C814" s="66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0.5" customHeight="1">
      <c r="A815" s="4"/>
      <c r="B815" s="4"/>
      <c r="C815" s="66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0.5" customHeight="1">
      <c r="A816" s="4"/>
      <c r="B816" s="4"/>
      <c r="C816" s="66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0.5" customHeight="1">
      <c r="A817" s="4"/>
      <c r="B817" s="4"/>
      <c r="C817" s="66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0.5" customHeight="1">
      <c r="A818" s="4"/>
      <c r="B818" s="4"/>
      <c r="C818" s="66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0.5" customHeight="1">
      <c r="A819" s="4"/>
      <c r="B819" s="4"/>
      <c r="C819" s="66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0.5" customHeight="1">
      <c r="A820" s="4"/>
      <c r="B820" s="4"/>
      <c r="C820" s="66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0.5" customHeight="1">
      <c r="A821" s="4"/>
      <c r="B821" s="4"/>
      <c r="C821" s="66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0.5" customHeight="1">
      <c r="A822" s="4"/>
      <c r="B822" s="4"/>
      <c r="C822" s="66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0.5" customHeight="1">
      <c r="A823" s="4"/>
      <c r="B823" s="4"/>
      <c r="C823" s="66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0.5" customHeight="1">
      <c r="A824" s="4"/>
      <c r="B824" s="4"/>
      <c r="C824" s="66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0.5" customHeight="1">
      <c r="A825" s="4"/>
      <c r="B825" s="4"/>
      <c r="C825" s="66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0.5" customHeight="1">
      <c r="A826" s="4"/>
      <c r="B826" s="4"/>
      <c r="C826" s="66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0.5" customHeight="1">
      <c r="A827" s="4"/>
      <c r="B827" s="4"/>
      <c r="C827" s="66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0.5" customHeight="1">
      <c r="A828" s="4"/>
      <c r="B828" s="4"/>
      <c r="C828" s="66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0.5" customHeight="1">
      <c r="A829" s="4"/>
      <c r="B829" s="4"/>
      <c r="C829" s="66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0.5" customHeight="1">
      <c r="A830" s="4"/>
      <c r="B830" s="4"/>
      <c r="C830" s="66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0.5" customHeight="1">
      <c r="A831" s="4"/>
      <c r="B831" s="4"/>
      <c r="C831" s="66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0.5" customHeight="1">
      <c r="A832" s="4"/>
      <c r="B832" s="4"/>
      <c r="C832" s="66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0.5" customHeight="1">
      <c r="A833" s="4"/>
      <c r="B833" s="4"/>
      <c r="C833" s="66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0.5" customHeight="1">
      <c r="A834" s="4"/>
      <c r="B834" s="4"/>
      <c r="C834" s="66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0.5" customHeight="1">
      <c r="A835" s="4"/>
      <c r="B835" s="4"/>
      <c r="C835" s="66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0.5" customHeight="1">
      <c r="A836" s="4"/>
      <c r="B836" s="4"/>
      <c r="C836" s="66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0.5" customHeight="1">
      <c r="A837" s="4"/>
      <c r="B837" s="4"/>
      <c r="C837" s="66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0.5" customHeight="1">
      <c r="A838" s="4"/>
      <c r="B838" s="4"/>
      <c r="C838" s="66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0.5" customHeight="1">
      <c r="A839" s="4"/>
      <c r="B839" s="4"/>
      <c r="C839" s="66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0.5" customHeight="1">
      <c r="A840" s="4"/>
      <c r="B840" s="4"/>
      <c r="C840" s="66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0.5" customHeight="1">
      <c r="A841" s="4"/>
      <c r="B841" s="4"/>
      <c r="C841" s="66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0.5" customHeight="1">
      <c r="A842" s="4"/>
      <c r="B842" s="4"/>
      <c r="C842" s="66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0.5" customHeight="1">
      <c r="A843" s="4"/>
      <c r="B843" s="4"/>
      <c r="C843" s="66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0.5" customHeight="1">
      <c r="A844" s="4"/>
      <c r="B844" s="4"/>
      <c r="C844" s="66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0.5" customHeight="1">
      <c r="A845" s="4"/>
      <c r="B845" s="4"/>
      <c r="C845" s="66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0.5" customHeight="1">
      <c r="A846" s="4"/>
      <c r="B846" s="4"/>
      <c r="C846" s="66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0.5" customHeight="1">
      <c r="A847" s="4"/>
      <c r="B847" s="4"/>
      <c r="C847" s="66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0.5" customHeight="1">
      <c r="A848" s="4"/>
      <c r="B848" s="4"/>
      <c r="C848" s="66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0.5" customHeight="1">
      <c r="A849" s="4"/>
      <c r="B849" s="4"/>
      <c r="C849" s="66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0.5" customHeight="1">
      <c r="A850" s="4"/>
      <c r="B850" s="4"/>
      <c r="C850" s="66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0.5" customHeight="1">
      <c r="A851" s="4"/>
      <c r="B851" s="4"/>
      <c r="C851" s="66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0.5" customHeight="1">
      <c r="A852" s="4"/>
      <c r="B852" s="4"/>
      <c r="C852" s="66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0.5" customHeight="1">
      <c r="A853" s="4"/>
      <c r="B853" s="4"/>
      <c r="C853" s="66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0.5" customHeight="1">
      <c r="A854" s="4"/>
      <c r="B854" s="4"/>
      <c r="C854" s="66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0.5" customHeight="1">
      <c r="A855" s="4"/>
      <c r="B855" s="4"/>
      <c r="C855" s="66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0.5" customHeight="1">
      <c r="A856" s="4"/>
      <c r="B856" s="4"/>
      <c r="C856" s="66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0.5" customHeight="1">
      <c r="A857" s="4"/>
      <c r="B857" s="4"/>
      <c r="C857" s="66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0.5" customHeight="1">
      <c r="A858" s="4"/>
      <c r="B858" s="4"/>
      <c r="C858" s="66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0.5" customHeight="1">
      <c r="A859" s="4"/>
      <c r="B859" s="4"/>
      <c r="C859" s="66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0.5" customHeight="1">
      <c r="A860" s="4"/>
      <c r="B860" s="4"/>
      <c r="C860" s="66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0.5" customHeight="1">
      <c r="A861" s="4"/>
      <c r="B861" s="4"/>
      <c r="C861" s="66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0.5" customHeight="1">
      <c r="A862" s="4"/>
      <c r="B862" s="4"/>
      <c r="C862" s="66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0.5" customHeight="1">
      <c r="A863" s="4"/>
      <c r="B863" s="4"/>
      <c r="C863" s="66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0.5" customHeight="1">
      <c r="A864" s="4"/>
      <c r="B864" s="4"/>
      <c r="C864" s="66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0.5" customHeight="1">
      <c r="A865" s="4"/>
      <c r="B865" s="4"/>
      <c r="C865" s="66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0.5" customHeight="1">
      <c r="A866" s="4"/>
      <c r="B866" s="4"/>
      <c r="C866" s="66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0.5" customHeight="1">
      <c r="A867" s="4"/>
      <c r="B867" s="4"/>
      <c r="C867" s="66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0.5" customHeight="1">
      <c r="A868" s="4"/>
      <c r="B868" s="4"/>
      <c r="C868" s="66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0.5" customHeight="1">
      <c r="A869" s="4"/>
      <c r="B869" s="4"/>
      <c r="C869" s="66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0.5" customHeight="1">
      <c r="A870" s="4"/>
      <c r="B870" s="4"/>
      <c r="C870" s="66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0.5" customHeight="1">
      <c r="A871" s="4"/>
      <c r="B871" s="4"/>
      <c r="C871" s="66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0.5" customHeight="1">
      <c r="A872" s="4"/>
      <c r="B872" s="4"/>
      <c r="C872" s="66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0.5" customHeight="1">
      <c r="A873" s="4"/>
      <c r="B873" s="4"/>
      <c r="C873" s="66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0.5" customHeight="1">
      <c r="A874" s="4"/>
      <c r="B874" s="4"/>
      <c r="C874" s="66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0.5" customHeight="1">
      <c r="A875" s="4"/>
      <c r="B875" s="4"/>
      <c r="C875" s="66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0.5" customHeight="1">
      <c r="A876" s="4"/>
      <c r="B876" s="4"/>
      <c r="C876" s="66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0.5" customHeight="1">
      <c r="A877" s="4"/>
      <c r="B877" s="4"/>
      <c r="C877" s="66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0.5" customHeight="1">
      <c r="A878" s="4"/>
      <c r="B878" s="4"/>
      <c r="C878" s="66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0.5" customHeight="1">
      <c r="A879" s="4"/>
      <c r="B879" s="4"/>
      <c r="C879" s="66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0.5" customHeight="1">
      <c r="A880" s="4"/>
      <c r="B880" s="4"/>
      <c r="C880" s="66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0.5" customHeight="1">
      <c r="A881" s="4"/>
      <c r="B881" s="4"/>
      <c r="C881" s="66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0.5" customHeight="1">
      <c r="A882" s="4"/>
      <c r="B882" s="4"/>
      <c r="C882" s="66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0.5" customHeight="1">
      <c r="A883" s="4"/>
      <c r="B883" s="4"/>
      <c r="C883" s="66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0.5" customHeight="1">
      <c r="A884" s="4"/>
      <c r="B884" s="4"/>
      <c r="C884" s="66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0.5" customHeight="1">
      <c r="A885" s="4"/>
      <c r="B885" s="4"/>
      <c r="C885" s="66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0.5" customHeight="1">
      <c r="A886" s="4"/>
      <c r="B886" s="4"/>
      <c r="C886" s="66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0.5" customHeight="1">
      <c r="A887" s="4"/>
      <c r="B887" s="4"/>
      <c r="C887" s="66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0.5" customHeight="1">
      <c r="A888" s="4"/>
      <c r="B888" s="4"/>
      <c r="C888" s="66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0.5" customHeight="1">
      <c r="A889" s="4"/>
      <c r="B889" s="4"/>
      <c r="C889" s="66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0.5" customHeight="1">
      <c r="A890" s="4"/>
      <c r="B890" s="4"/>
      <c r="C890" s="66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0.5" customHeight="1">
      <c r="A891" s="4"/>
      <c r="B891" s="4"/>
      <c r="C891" s="66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0.5" customHeight="1">
      <c r="A892" s="4"/>
      <c r="B892" s="4"/>
      <c r="C892" s="66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0.5" customHeight="1">
      <c r="A893" s="4"/>
      <c r="B893" s="4"/>
      <c r="C893" s="66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0.5" customHeight="1">
      <c r="A894" s="4"/>
      <c r="B894" s="4"/>
      <c r="C894" s="66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0.5" customHeight="1">
      <c r="A895" s="4"/>
      <c r="B895" s="4"/>
      <c r="C895" s="66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0.5" customHeight="1">
      <c r="A896" s="4"/>
      <c r="B896" s="4"/>
      <c r="C896" s="66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0.5" customHeight="1">
      <c r="A897" s="4"/>
      <c r="B897" s="4"/>
      <c r="C897" s="66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0.5" customHeight="1">
      <c r="A898" s="4"/>
      <c r="B898" s="4"/>
      <c r="C898" s="66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0.5" customHeight="1">
      <c r="A899" s="4"/>
      <c r="B899" s="4"/>
      <c r="C899" s="66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0.5" customHeight="1">
      <c r="A900" s="4"/>
      <c r="B900" s="4"/>
      <c r="C900" s="66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0.5" customHeight="1">
      <c r="A901" s="4"/>
      <c r="B901" s="4"/>
      <c r="C901" s="66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0.5" customHeight="1">
      <c r="A902" s="4"/>
      <c r="B902" s="4"/>
      <c r="C902" s="66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0.5" customHeight="1">
      <c r="A903" s="4"/>
      <c r="B903" s="4"/>
      <c r="C903" s="66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0.5" customHeight="1">
      <c r="A904" s="4"/>
      <c r="B904" s="4"/>
      <c r="C904" s="66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0.5" customHeight="1">
      <c r="A905" s="4"/>
      <c r="B905" s="4"/>
      <c r="C905" s="66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0.5" customHeight="1">
      <c r="A906" s="4"/>
      <c r="B906" s="4"/>
      <c r="C906" s="66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0.5" customHeight="1">
      <c r="A907" s="4"/>
      <c r="B907" s="4"/>
      <c r="C907" s="66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0.5" customHeight="1">
      <c r="A908" s="4"/>
      <c r="B908" s="4"/>
      <c r="C908" s="66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0.5" customHeight="1">
      <c r="A909" s="4"/>
      <c r="B909" s="4"/>
      <c r="C909" s="66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0.5" customHeight="1">
      <c r="A910" s="4"/>
      <c r="B910" s="4"/>
      <c r="C910" s="66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0.5" customHeight="1">
      <c r="A911" s="4"/>
      <c r="B911" s="4"/>
      <c r="C911" s="66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0.5" customHeight="1">
      <c r="A912" s="4"/>
      <c r="B912" s="4"/>
      <c r="C912" s="66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0.5" customHeight="1">
      <c r="A913" s="4"/>
      <c r="B913" s="4"/>
      <c r="C913" s="66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0.5" customHeight="1">
      <c r="A914" s="4"/>
      <c r="B914" s="4"/>
      <c r="C914" s="66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0.5" customHeight="1">
      <c r="A915" s="4"/>
      <c r="B915" s="4"/>
      <c r="C915" s="66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0.5" customHeight="1">
      <c r="A916" s="4"/>
      <c r="B916" s="4"/>
      <c r="C916" s="66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0.5" customHeight="1">
      <c r="A917" s="4"/>
      <c r="B917" s="4"/>
      <c r="C917" s="66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0.5" customHeight="1">
      <c r="A918" s="4"/>
      <c r="B918" s="4"/>
      <c r="C918" s="66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0.5" customHeight="1">
      <c r="A919" s="4"/>
      <c r="B919" s="4"/>
      <c r="C919" s="66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0.5" customHeight="1">
      <c r="A920" s="4"/>
      <c r="B920" s="4"/>
      <c r="C920" s="66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0.5" customHeight="1">
      <c r="A921" s="4"/>
      <c r="B921" s="4"/>
      <c r="C921" s="66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0.5" customHeight="1">
      <c r="A922" s="4"/>
      <c r="B922" s="4"/>
      <c r="C922" s="66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0.5" customHeight="1">
      <c r="A923" s="4"/>
      <c r="B923" s="4"/>
      <c r="C923" s="66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0.5" customHeight="1">
      <c r="A924" s="4"/>
      <c r="B924" s="4"/>
      <c r="C924" s="66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0.5" customHeight="1">
      <c r="A925" s="4"/>
      <c r="B925" s="4"/>
      <c r="C925" s="66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0.5" customHeight="1">
      <c r="A926" s="4"/>
      <c r="B926" s="4"/>
      <c r="C926" s="66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0.5" customHeight="1">
      <c r="A927" s="4"/>
      <c r="B927" s="4"/>
      <c r="C927" s="66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0.5" customHeight="1">
      <c r="A928" s="4"/>
      <c r="B928" s="4"/>
      <c r="C928" s="66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0.5" customHeight="1">
      <c r="A929" s="4"/>
      <c r="B929" s="4"/>
      <c r="C929" s="66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0.5" customHeight="1">
      <c r="A930" s="4"/>
      <c r="B930" s="4"/>
      <c r="C930" s="66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0.5" customHeight="1">
      <c r="A931" s="4"/>
      <c r="B931" s="4"/>
      <c r="C931" s="66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0.5" customHeight="1">
      <c r="A932" s="4"/>
      <c r="B932" s="4"/>
      <c r="C932" s="66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0.5" customHeight="1">
      <c r="A933" s="4"/>
      <c r="B933" s="4"/>
      <c r="C933" s="66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0.5" customHeight="1">
      <c r="A934" s="4"/>
      <c r="B934" s="4"/>
      <c r="C934" s="66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0.5" customHeight="1">
      <c r="A935" s="4"/>
      <c r="B935" s="4"/>
      <c r="C935" s="66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0.5" customHeight="1">
      <c r="A936" s="4"/>
      <c r="B936" s="4"/>
      <c r="C936" s="66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0.5" customHeight="1">
      <c r="A937" s="4"/>
      <c r="B937" s="4"/>
      <c r="C937" s="66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0.5" customHeight="1">
      <c r="A938" s="4"/>
      <c r="B938" s="4"/>
      <c r="C938" s="66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0.5" customHeight="1">
      <c r="A939" s="4"/>
      <c r="B939" s="4"/>
      <c r="C939" s="66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0.5" customHeight="1">
      <c r="A940" s="4"/>
      <c r="B940" s="4"/>
      <c r="C940" s="66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0.5" customHeight="1">
      <c r="A941" s="4"/>
      <c r="B941" s="4"/>
      <c r="C941" s="66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0.5" customHeight="1">
      <c r="A942" s="4"/>
      <c r="B942" s="4"/>
      <c r="C942" s="66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0.5" customHeight="1">
      <c r="A943" s="4"/>
      <c r="B943" s="4"/>
      <c r="C943" s="66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0.5" customHeight="1">
      <c r="A944" s="4"/>
      <c r="B944" s="4"/>
      <c r="C944" s="66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0.5" customHeight="1">
      <c r="A945" s="4"/>
      <c r="B945" s="4"/>
      <c r="C945" s="66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0.5" customHeight="1">
      <c r="A946" s="4"/>
      <c r="B946" s="4"/>
      <c r="C946" s="66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0.5" customHeight="1">
      <c r="A947" s="4"/>
      <c r="B947" s="4"/>
      <c r="C947" s="66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0.5" customHeight="1">
      <c r="A948" s="4"/>
      <c r="B948" s="4"/>
      <c r="C948" s="66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0.5" customHeight="1">
      <c r="A949" s="4"/>
      <c r="B949" s="4"/>
      <c r="C949" s="66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0.5" customHeight="1">
      <c r="A950" s="4"/>
      <c r="B950" s="4"/>
      <c r="C950" s="66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0.5" customHeight="1">
      <c r="A951" s="4"/>
      <c r="B951" s="4"/>
      <c r="C951" s="66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0.5" customHeight="1">
      <c r="A952" s="4"/>
      <c r="B952" s="4"/>
      <c r="C952" s="66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0.5" customHeight="1">
      <c r="A953" s="4"/>
      <c r="B953" s="4"/>
      <c r="C953" s="66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0.5" customHeight="1">
      <c r="A954" s="4"/>
      <c r="B954" s="4"/>
      <c r="C954" s="66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0.5" customHeight="1">
      <c r="A955" s="4"/>
      <c r="B955" s="4"/>
      <c r="C955" s="66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0.5" customHeight="1">
      <c r="A956" s="4"/>
      <c r="B956" s="4"/>
      <c r="C956" s="66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0.5" customHeight="1">
      <c r="A957" s="4"/>
      <c r="B957" s="4"/>
      <c r="C957" s="66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0.5" customHeight="1">
      <c r="A958" s="4"/>
      <c r="B958" s="4"/>
      <c r="C958" s="66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0.5" customHeight="1">
      <c r="A959" s="4"/>
      <c r="B959" s="4"/>
      <c r="C959" s="66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0.5" customHeight="1">
      <c r="A960" s="4"/>
      <c r="B960" s="4"/>
      <c r="C960" s="66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0.5" customHeight="1">
      <c r="A961" s="4"/>
      <c r="B961" s="4"/>
      <c r="C961" s="66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0.5" customHeight="1">
      <c r="A962" s="4"/>
      <c r="B962" s="4"/>
      <c r="C962" s="66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0.5" customHeight="1">
      <c r="A963" s="4"/>
      <c r="B963" s="4"/>
      <c r="C963" s="66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0.5" customHeight="1">
      <c r="A964" s="4"/>
      <c r="B964" s="4"/>
      <c r="C964" s="66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0.5" customHeight="1">
      <c r="A965" s="4"/>
      <c r="B965" s="4"/>
      <c r="C965" s="66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0.5" customHeight="1">
      <c r="A966" s="4"/>
      <c r="B966" s="4"/>
      <c r="C966" s="66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0.5" customHeight="1">
      <c r="A967" s="4"/>
      <c r="B967" s="4"/>
      <c r="C967" s="66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0.5" customHeight="1">
      <c r="A968" s="4"/>
      <c r="B968" s="4"/>
      <c r="C968" s="66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0.5" customHeight="1">
      <c r="A969" s="4"/>
      <c r="B969" s="4"/>
      <c r="C969" s="66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0.5" customHeight="1">
      <c r="A970" s="4"/>
      <c r="B970" s="4"/>
      <c r="C970" s="66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0.5" customHeight="1">
      <c r="A971" s="4"/>
      <c r="B971" s="4"/>
      <c r="C971" s="66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0.5" customHeight="1">
      <c r="A972" s="4"/>
      <c r="B972" s="4"/>
      <c r="C972" s="66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0.5" customHeight="1">
      <c r="A973" s="4"/>
      <c r="B973" s="4"/>
      <c r="C973" s="66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0.5" customHeight="1">
      <c r="A974" s="4"/>
      <c r="B974" s="4"/>
      <c r="C974" s="66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0.5" customHeight="1">
      <c r="A975" s="4"/>
      <c r="B975" s="4"/>
      <c r="C975" s="66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0.5" customHeight="1">
      <c r="A976" s="4"/>
      <c r="B976" s="4"/>
      <c r="C976" s="66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0.5" customHeight="1">
      <c r="A977" s="4"/>
      <c r="B977" s="4"/>
      <c r="C977" s="66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0.5" customHeight="1">
      <c r="A978" s="4"/>
      <c r="B978" s="4"/>
      <c r="C978" s="66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0.5" customHeight="1">
      <c r="A979" s="4"/>
      <c r="B979" s="4"/>
      <c r="C979" s="66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0.5" customHeight="1">
      <c r="A980" s="4"/>
      <c r="B980" s="4"/>
      <c r="C980" s="66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0.5" customHeight="1">
      <c r="A981" s="4"/>
      <c r="B981" s="4"/>
      <c r="C981" s="66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0.5" customHeight="1">
      <c r="A982" s="4"/>
      <c r="B982" s="4"/>
      <c r="C982" s="66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0.5" customHeight="1">
      <c r="A983" s="4"/>
      <c r="B983" s="4"/>
      <c r="C983" s="66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0.5" customHeight="1">
      <c r="A984" s="4"/>
      <c r="B984" s="4"/>
      <c r="C984" s="66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0.5" customHeight="1">
      <c r="A985" s="4"/>
      <c r="B985" s="4"/>
      <c r="C985" s="66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0.5" customHeight="1">
      <c r="A986" s="4"/>
      <c r="B986" s="4"/>
      <c r="C986" s="66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0.5" customHeight="1">
      <c r="A987" s="4"/>
      <c r="B987" s="4"/>
      <c r="C987" s="66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0.5" customHeight="1">
      <c r="A988" s="4"/>
      <c r="B988" s="4"/>
      <c r="C988" s="66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0.5" customHeight="1">
      <c r="A989" s="4"/>
      <c r="B989" s="4"/>
      <c r="C989" s="66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0.5" customHeight="1">
      <c r="A990" s="4"/>
      <c r="B990" s="4"/>
      <c r="C990" s="66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0.5" customHeight="1">
      <c r="A991" s="4"/>
      <c r="B991" s="4"/>
      <c r="C991" s="66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0.5" customHeight="1">
      <c r="A992" s="4"/>
      <c r="B992" s="4"/>
      <c r="C992" s="66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0.5" customHeight="1">
      <c r="A993" s="4"/>
      <c r="B993" s="4"/>
      <c r="C993" s="66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0.5" customHeight="1">
      <c r="A994" s="4"/>
      <c r="B994" s="4"/>
      <c r="C994" s="66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0.5" customHeight="1">
      <c r="A995" s="4"/>
      <c r="B995" s="4"/>
      <c r="C995" s="66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0.5" customHeight="1">
      <c r="A996" s="4"/>
      <c r="B996" s="4"/>
      <c r="C996" s="66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0.5" customHeight="1">
      <c r="A997" s="4"/>
      <c r="B997" s="4"/>
      <c r="C997" s="66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0.5" customHeight="1">
      <c r="A998" s="4"/>
      <c r="B998" s="4"/>
      <c r="C998" s="66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0.5" customHeight="1">
      <c r="A999" s="4"/>
      <c r="B999" s="4"/>
      <c r="C999" s="66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0.5" customHeight="1">
      <c r="A1000" s="4"/>
      <c r="B1000" s="4"/>
      <c r="C1000" s="66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0.5" customHeight="1">
      <c r="A1001" s="4"/>
      <c r="B1001" s="4"/>
      <c r="C1001" s="66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0.5" customHeight="1">
      <c r="A1002" s="4"/>
      <c r="B1002" s="4"/>
      <c r="C1002" s="66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0.5" customHeight="1">
      <c r="A1003" s="4"/>
      <c r="B1003" s="4"/>
      <c r="C1003" s="66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0.5" customHeight="1">
      <c r="A1004" s="4"/>
      <c r="B1004" s="4"/>
      <c r="C1004" s="66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0.5" customHeight="1">
      <c r="A1005" s="4"/>
      <c r="B1005" s="4"/>
      <c r="C1005" s="66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0.5" customHeight="1">
      <c r="A1006" s="4"/>
      <c r="B1006" s="4"/>
      <c r="C1006" s="66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42.57"/>
    <col customWidth="1" min="3" max="5" width="14.71"/>
    <col customWidth="1" min="6" max="6" width="12.86"/>
    <col customWidth="1" min="7" max="7" width="14.29"/>
    <col customWidth="1" min="8" max="8" width="8.71"/>
    <col customWidth="1" min="9" max="9" width="10.57"/>
    <col customWidth="1" min="10" max="10" width="11.29"/>
    <col customWidth="1" min="11" max="27" width="8.71"/>
  </cols>
  <sheetData>
    <row r="1" ht="13.5" customHeight="1">
      <c r="A1" s="1"/>
    </row>
    <row r="2" ht="19.5" customHeight="1">
      <c r="A2" s="1"/>
      <c r="B2" s="725" t="s">
        <v>257</v>
      </c>
      <c r="C2" s="726" t="s">
        <v>27</v>
      </c>
      <c r="D2" s="726" t="s">
        <v>30</v>
      </c>
      <c r="E2" s="726" t="s">
        <v>31</v>
      </c>
      <c r="F2" s="727" t="s">
        <v>258</v>
      </c>
      <c r="G2" s="727" t="s">
        <v>259</v>
      </c>
      <c r="I2" s="728"/>
      <c r="J2" s="729"/>
    </row>
    <row r="3" ht="19.5" customHeight="1">
      <c r="A3" s="1"/>
      <c r="B3" s="730" t="s">
        <v>260</v>
      </c>
      <c r="C3" s="731">
        <v>107102.22</v>
      </c>
      <c r="D3" s="732">
        <v>107220.03</v>
      </c>
      <c r="E3" s="732">
        <v>107102.22</v>
      </c>
      <c r="F3" s="733">
        <f t="shared" ref="F3:F5" si="1">E3-D3</f>
        <v>-117.81</v>
      </c>
      <c r="G3" s="734">
        <f t="shared" ref="G3:G4" si="2">E3/D3-1</f>
        <v>-0.001098768579</v>
      </c>
    </row>
    <row r="4" ht="19.5" customHeight="1">
      <c r="A4" s="1"/>
      <c r="B4" s="730" t="s">
        <v>261</v>
      </c>
      <c r="C4" s="732">
        <v>492183.35</v>
      </c>
      <c r="D4" s="731">
        <v>503977.63</v>
      </c>
      <c r="E4" s="732">
        <v>503969.87</v>
      </c>
      <c r="F4" s="733">
        <f t="shared" si="1"/>
        <v>-7.76</v>
      </c>
      <c r="G4" s="734">
        <f t="shared" si="2"/>
        <v>-0.00001539750881</v>
      </c>
    </row>
    <row r="5" ht="19.5" customHeight="1">
      <c r="A5" s="1"/>
      <c r="B5" s="735" t="s">
        <v>70</v>
      </c>
      <c r="C5" s="736">
        <f t="shared" ref="C5:E5" si="3">SUM(C3:C4)</f>
        <v>599285.57</v>
      </c>
      <c r="D5" s="736">
        <f t="shared" si="3"/>
        <v>611197.66</v>
      </c>
      <c r="E5" s="736">
        <f t="shared" si="3"/>
        <v>611072.09</v>
      </c>
      <c r="F5" s="737">
        <f t="shared" si="1"/>
        <v>-125.57</v>
      </c>
      <c r="G5" s="738">
        <f>E5/D5-1</f>
        <v>-0.000205449085</v>
      </c>
    </row>
    <row r="6" ht="19.5" customHeight="1">
      <c r="A6" s="1"/>
      <c r="B6" s="725" t="s">
        <v>262</v>
      </c>
      <c r="C6" s="726" t="s">
        <v>27</v>
      </c>
      <c r="D6" s="726" t="s">
        <v>30</v>
      </c>
      <c r="E6" s="726" t="s">
        <v>31</v>
      </c>
      <c r="F6" s="739" t="s">
        <v>258</v>
      </c>
      <c r="G6" s="727" t="s">
        <v>259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9.5" customHeight="1">
      <c r="A7" s="1"/>
      <c r="B7" s="742" t="s">
        <v>263</v>
      </c>
      <c r="C7" s="731">
        <v>1747244.33</v>
      </c>
      <c r="D7" s="732">
        <v>1713860.91</v>
      </c>
      <c r="E7" s="732">
        <v>1840268.77</v>
      </c>
      <c r="F7" s="733">
        <f t="shared" ref="F7:F10" si="4">E7-D7</f>
        <v>126407.86</v>
      </c>
      <c r="G7" s="734">
        <f>E7/D7-1</f>
        <v>0.0737561953</v>
      </c>
    </row>
    <row r="8" ht="19.5" customHeight="1">
      <c r="A8" s="1"/>
      <c r="B8" s="730" t="s">
        <v>264</v>
      </c>
      <c r="C8" s="146">
        <v>21600.0</v>
      </c>
      <c r="D8" s="732">
        <v>22239.61</v>
      </c>
      <c r="E8" s="732">
        <v>22239.61</v>
      </c>
      <c r="F8" s="733">
        <f t="shared" si="4"/>
        <v>0</v>
      </c>
      <c r="G8" s="745">
        <f t="shared" ref="G8:G9" si="6">E8/D8-1</f>
        <v>0</v>
      </c>
    </row>
    <row r="9" ht="19.5" customHeight="1">
      <c r="A9" s="1"/>
      <c r="B9" s="735" t="s">
        <v>70</v>
      </c>
      <c r="C9" s="746">
        <f t="shared" ref="C9:E9" si="5">SUM(C7:C8)</f>
        <v>1768844.33</v>
      </c>
      <c r="D9" s="746">
        <f t="shared" si="5"/>
        <v>1736100.52</v>
      </c>
      <c r="E9" s="746">
        <f t="shared" si="5"/>
        <v>1862508.38</v>
      </c>
      <c r="F9" s="747">
        <f t="shared" si="4"/>
        <v>126407.86</v>
      </c>
      <c r="G9" s="738">
        <f t="shared" si="6"/>
        <v>0.07281137154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9.5" customHeight="1">
      <c r="A10" s="1"/>
      <c r="B10" s="748" t="s">
        <v>265</v>
      </c>
      <c r="C10" s="749">
        <f t="shared" ref="C10:E10" si="7">C9+C5</f>
        <v>2368129.9</v>
      </c>
      <c r="D10" s="749">
        <f t="shared" si="7"/>
        <v>2347298.18</v>
      </c>
      <c r="E10" s="749">
        <f t="shared" si="7"/>
        <v>2473580.47</v>
      </c>
      <c r="F10" s="750">
        <f t="shared" si="4"/>
        <v>126282.29</v>
      </c>
      <c r="G10" s="751">
        <f>E10/D10-1</f>
        <v>0.05379899796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C12" s="752">
        <f>'BMFD_senha capita'!I2</f>
        <v>2368129.9</v>
      </c>
      <c r="D12" s="752">
        <f>'BMFD_senha capita'!I20</f>
        <v>2347298.18</v>
      </c>
      <c r="E12" s="753">
        <f>'BMFD_senha capita'!I38</f>
        <v>2473580.47</v>
      </c>
    </row>
    <row r="13">
      <c r="A13" s="1"/>
      <c r="C13" s="556">
        <f t="shared" ref="C13:E13" si="8">C10-C12</f>
        <v>0</v>
      </c>
      <c r="D13" s="556">
        <f t="shared" si="8"/>
        <v>0</v>
      </c>
      <c r="E13" s="556">
        <f t="shared" si="8"/>
        <v>0</v>
      </c>
    </row>
    <row r="14">
      <c r="A14" s="1"/>
      <c r="B14" s="754"/>
    </row>
    <row r="15">
      <c r="A15" s="1"/>
      <c r="B15" s="754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conditionalFormatting sqref="F3:G5 F7:F8 G7:G10 F10">
    <cfRule type="cellIs" dxfId="0" priority="1" stopIfTrue="1" operator="lessThan">
      <formula>0</formula>
    </cfRule>
  </conditionalFormatting>
  <conditionalFormatting sqref="F3:G5 F7:F8 G7:G10 F10">
    <cfRule type="cellIs" dxfId="1" priority="2" stopIfTrue="1" operator="greaterThanOrEqual">
      <formula>0</formula>
    </cfRule>
  </conditionalFormatting>
  <conditionalFormatting sqref="F9">
    <cfRule type="cellIs" dxfId="0" priority="3" stopIfTrue="1" operator="lessThan">
      <formula>0</formula>
    </cfRule>
  </conditionalFormatting>
  <conditionalFormatting sqref="F9">
    <cfRule type="cellIs" dxfId="1" priority="4" stopIfTrue="1" operator="greater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44.43"/>
    <col customWidth="1" min="3" max="3" width="12.71"/>
    <col customWidth="1" min="4" max="4" width="11.57"/>
    <col customWidth="1" min="5" max="5" width="12.86"/>
    <col customWidth="1" min="6" max="6" width="12.14"/>
    <col customWidth="1" min="7" max="7" width="13.29"/>
    <col customWidth="1" min="8" max="8" width="9.14"/>
    <col customWidth="1" min="9" max="9" width="10.57"/>
    <col customWidth="1" min="10" max="10" width="11.29"/>
    <col customWidth="1" min="11" max="28" width="9.14"/>
  </cols>
  <sheetData>
    <row r="1" ht="12.0" customHeight="1">
      <c r="A1" s="1"/>
      <c r="B1" s="1"/>
      <c r="C1" s="1"/>
      <c r="D1" s="1"/>
      <c r="E1" s="1"/>
      <c r="F1" s="20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9.5" customHeight="1">
      <c r="A2" s="7"/>
      <c r="B2" s="725" t="s">
        <v>267</v>
      </c>
      <c r="C2" s="726" t="s">
        <v>27</v>
      </c>
      <c r="D2" s="726" t="s">
        <v>30</v>
      </c>
      <c r="E2" s="726" t="s">
        <v>31</v>
      </c>
      <c r="F2" s="763" t="s">
        <v>258</v>
      </c>
      <c r="G2" s="727" t="s">
        <v>259</v>
      </c>
      <c r="H2" s="7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</row>
    <row r="3" ht="19.5" customHeight="1">
      <c r="A3" s="7"/>
      <c r="B3" s="764" t="s">
        <v>268</v>
      </c>
      <c r="C3" s="765">
        <f>256.16+23852.52</f>
        <v>24108.68</v>
      </c>
      <c r="D3" s="765">
        <v>9204.86</v>
      </c>
      <c r="E3" s="765">
        <v>61959.7</v>
      </c>
      <c r="F3" s="766">
        <f t="shared" ref="F3:F5" si="1">E3-D3</f>
        <v>52754.84</v>
      </c>
      <c r="G3" s="734">
        <f t="shared" ref="G3:G4" si="2">E3/D3-1</f>
        <v>5.731194174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9.5" customHeight="1">
      <c r="A4" s="7"/>
      <c r="B4" s="764" t="s">
        <v>269</v>
      </c>
      <c r="C4" s="765">
        <v>7486.4</v>
      </c>
      <c r="D4" s="765">
        <v>2100.0</v>
      </c>
      <c r="E4" s="765">
        <v>3849.9999999999995</v>
      </c>
      <c r="F4" s="766">
        <f t="shared" si="1"/>
        <v>1750</v>
      </c>
      <c r="G4" s="734">
        <f t="shared" si="2"/>
        <v>0.8333333333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9.5" customHeight="1">
      <c r="A5" s="7"/>
      <c r="B5" s="767" t="s">
        <v>70</v>
      </c>
      <c r="C5" s="768">
        <f t="shared" ref="C5:E5" si="3">SUM(C3:C4)</f>
        <v>31595.08</v>
      </c>
      <c r="D5" s="768">
        <f t="shared" si="3"/>
        <v>11304.86</v>
      </c>
      <c r="E5" s="768">
        <f t="shared" si="3"/>
        <v>65809.7</v>
      </c>
      <c r="F5" s="769">
        <f t="shared" si="1"/>
        <v>54504.84</v>
      </c>
      <c r="G5" s="770">
        <f>(E5/D5-1)</f>
        <v>4.821363555</v>
      </c>
      <c r="H5" s="7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</row>
    <row r="6" ht="19.5" customHeight="1">
      <c r="A6" s="7"/>
      <c r="B6" s="725" t="s">
        <v>270</v>
      </c>
      <c r="C6" s="726" t="s">
        <v>27</v>
      </c>
      <c r="D6" s="726" t="s">
        <v>30</v>
      </c>
      <c r="E6" s="726" t="s">
        <v>31</v>
      </c>
      <c r="F6" s="763" t="s">
        <v>258</v>
      </c>
      <c r="G6" s="727" t="s">
        <v>259</v>
      </c>
      <c r="H6" s="7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  <c r="AA6" s="414"/>
      <c r="AB6" s="414"/>
    </row>
    <row r="7" ht="19.5" customHeight="1">
      <c r="A7" s="7"/>
      <c r="B7" s="764" t="s">
        <v>271</v>
      </c>
      <c r="C7" s="765">
        <v>11430.029999999999</v>
      </c>
      <c r="D7" s="765">
        <v>12801.57</v>
      </c>
      <c r="E7" s="765">
        <v>4233.32</v>
      </c>
      <c r="F7" s="766">
        <f t="shared" ref="F7:F18" si="4">E7-D7</f>
        <v>-8568.25</v>
      </c>
      <c r="G7" s="734">
        <f t="shared" ref="G7:G18" si="5">E7/D7-1</f>
        <v>-0.6693124359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9.5" customHeight="1">
      <c r="A8" s="7"/>
      <c r="B8" s="764" t="s">
        <v>272</v>
      </c>
      <c r="C8" s="765">
        <v>8065.839999999999</v>
      </c>
      <c r="D8" s="765">
        <v>4081.0200000000004</v>
      </c>
      <c r="E8" s="771">
        <v>0.0</v>
      </c>
      <c r="F8" s="766">
        <f t="shared" si="4"/>
        <v>-4081.02</v>
      </c>
      <c r="G8" s="734">
        <f t="shared" si="5"/>
        <v>-1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9.5" customHeight="1">
      <c r="A9" s="7"/>
      <c r="B9" s="764" t="s">
        <v>273</v>
      </c>
      <c r="C9" s="733">
        <v>100928.4</v>
      </c>
      <c r="D9" s="733">
        <v>120984.05</v>
      </c>
      <c r="E9" s="733">
        <v>113786.22</v>
      </c>
      <c r="F9" s="766">
        <f t="shared" si="4"/>
        <v>-7197.83</v>
      </c>
      <c r="G9" s="734">
        <f t="shared" si="5"/>
        <v>-0.05949404074</v>
      </c>
      <c r="H9" s="7"/>
      <c r="I9" s="7"/>
      <c r="J9" s="77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9.5" customHeight="1">
      <c r="A10" s="7"/>
      <c r="B10" s="764" t="s">
        <v>274</v>
      </c>
      <c r="C10" s="732">
        <v>1773.3899999999999</v>
      </c>
      <c r="D10" s="732">
        <v>1519.8700000000001</v>
      </c>
      <c r="E10" s="732">
        <v>0.0</v>
      </c>
      <c r="F10" s="766">
        <f t="shared" si="4"/>
        <v>-1519.87</v>
      </c>
      <c r="G10" s="734">
        <f t="shared" si="5"/>
        <v>-1</v>
      </c>
      <c r="H10" s="7"/>
      <c r="I10" s="7"/>
      <c r="J10" s="637">
        <v>0.0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8.0" customHeight="1">
      <c r="A11" s="7"/>
      <c r="B11" s="764" t="s">
        <v>275</v>
      </c>
      <c r="C11" s="732">
        <v>344.74</v>
      </c>
      <c r="D11" s="732">
        <v>6228.969999999999</v>
      </c>
      <c r="E11" s="732">
        <v>350.0</v>
      </c>
      <c r="F11" s="766">
        <f t="shared" si="4"/>
        <v>-5878.97</v>
      </c>
      <c r="G11" s="734">
        <f t="shared" si="5"/>
        <v>-0.943810935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9.5" customHeight="1">
      <c r="A12" s="7"/>
      <c r="B12" s="764" t="s">
        <v>276</v>
      </c>
      <c r="C12" s="765">
        <v>7144.2300000000005</v>
      </c>
      <c r="D12" s="765">
        <v>7583.049999999999</v>
      </c>
      <c r="E12" s="765">
        <v>5750.0</v>
      </c>
      <c r="F12" s="766">
        <f t="shared" si="4"/>
        <v>-1833.05</v>
      </c>
      <c r="G12" s="734">
        <f t="shared" si="5"/>
        <v>-0.2417299108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9.5" customHeight="1">
      <c r="A13" s="7"/>
      <c r="B13" s="764" t="s">
        <v>277</v>
      </c>
      <c r="C13" s="765">
        <v>1400.17</v>
      </c>
      <c r="D13" s="765">
        <v>5310.18</v>
      </c>
      <c r="E13" s="765">
        <v>2070.18</v>
      </c>
      <c r="F13" s="766">
        <f t="shared" si="4"/>
        <v>-3240</v>
      </c>
      <c r="G13" s="734">
        <f t="shared" si="5"/>
        <v>-0.6101488085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9.5" customHeight="1">
      <c r="A14" s="7"/>
      <c r="B14" s="764" t="s">
        <v>278</v>
      </c>
      <c r="C14" s="765">
        <v>3291.11</v>
      </c>
      <c r="D14" s="765">
        <v>3131.7000000000003</v>
      </c>
      <c r="E14" s="765">
        <v>2265.56</v>
      </c>
      <c r="F14" s="766">
        <f t="shared" si="4"/>
        <v>-866.14</v>
      </c>
      <c r="G14" s="734">
        <f t="shared" si="5"/>
        <v>-0.27657183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9.5" customHeight="1">
      <c r="A15" s="7"/>
      <c r="B15" s="764" t="s">
        <v>279</v>
      </c>
      <c r="C15" s="765">
        <v>2924.7599999999998</v>
      </c>
      <c r="D15" s="765">
        <v>27.240000000000236</v>
      </c>
      <c r="E15" s="765">
        <v>25.700000000000045</v>
      </c>
      <c r="F15" s="766">
        <f t="shared" si="4"/>
        <v>-1.54</v>
      </c>
      <c r="G15" s="734">
        <f t="shared" si="5"/>
        <v>-0.05653450808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9.5" customHeight="1">
      <c r="A16" s="7"/>
      <c r="B16" s="764" t="s">
        <v>280</v>
      </c>
      <c r="C16" s="773">
        <v>3100.0</v>
      </c>
      <c r="D16" s="773">
        <v>3100.0</v>
      </c>
      <c r="E16" s="773">
        <v>3100.0</v>
      </c>
      <c r="F16" s="766">
        <f t="shared" si="4"/>
        <v>0</v>
      </c>
      <c r="G16" s="734">
        <f t="shared" si="5"/>
        <v>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9.5" customHeight="1">
      <c r="A17" s="7"/>
      <c r="B17" s="767" t="s">
        <v>70</v>
      </c>
      <c r="C17" s="774">
        <f t="shared" ref="C17:E17" si="6">SUM(C7:C16)</f>
        <v>140402.67</v>
      </c>
      <c r="D17" s="774">
        <f t="shared" si="6"/>
        <v>164767.65</v>
      </c>
      <c r="E17" s="774">
        <f t="shared" si="6"/>
        <v>131580.98</v>
      </c>
      <c r="F17" s="768">
        <f t="shared" si="4"/>
        <v>-33186.67</v>
      </c>
      <c r="G17" s="775">
        <f t="shared" si="5"/>
        <v>-0.2014149622</v>
      </c>
      <c r="H17" s="7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  <c r="Z17" s="414"/>
      <c r="AA17" s="414"/>
      <c r="AB17" s="414"/>
    </row>
    <row r="18" ht="19.5" customHeight="1">
      <c r="A18" s="7"/>
      <c r="B18" s="776" t="s">
        <v>281</v>
      </c>
      <c r="C18" s="774">
        <f t="shared" ref="C18:E18" si="7">C17+C5</f>
        <v>171997.75</v>
      </c>
      <c r="D18" s="774">
        <f t="shared" si="7"/>
        <v>176072.51</v>
      </c>
      <c r="E18" s="774">
        <f t="shared" si="7"/>
        <v>197390.68</v>
      </c>
      <c r="F18" s="768">
        <f t="shared" si="4"/>
        <v>21318.17</v>
      </c>
      <c r="G18" s="775">
        <f t="shared" si="5"/>
        <v>0.1210760839</v>
      </c>
      <c r="H18" s="7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  <c r="AA18" s="414"/>
      <c r="AB18" s="414"/>
    </row>
    <row r="19" ht="15.75" customHeight="1">
      <c r="A19" s="1"/>
      <c r="B19" s="1"/>
      <c r="C19" s="777"/>
      <c r="D19" s="777"/>
      <c r="E19" s="778"/>
      <c r="F19" s="20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C20" s="779">
        <f>'BMFD_senha capita'!I7</f>
        <v>171997.75</v>
      </c>
      <c r="D20" s="779">
        <f>'BMFD_senha capita'!I25</f>
        <v>176072.51</v>
      </c>
      <c r="E20" s="779">
        <f>'BMFD_senha capita'!I43</f>
        <v>197390.68</v>
      </c>
      <c r="F20" s="203"/>
      <c r="H20" s="1"/>
    </row>
    <row r="21" ht="5.25" customHeight="1">
      <c r="A21" s="1"/>
      <c r="F21" s="203"/>
      <c r="H21" s="1"/>
    </row>
    <row r="22" ht="15.75" customHeight="1">
      <c r="A22" s="1"/>
      <c r="C22" s="780">
        <f t="shared" ref="C22:E22" si="8">C18-C20</f>
        <v>0</v>
      </c>
      <c r="D22" s="780">
        <f t="shared" si="8"/>
        <v>0</v>
      </c>
      <c r="E22" s="780">
        <f t="shared" si="8"/>
        <v>0</v>
      </c>
      <c r="F22" s="203"/>
      <c r="H22" s="1"/>
    </row>
    <row r="23" ht="15.75" customHeight="1">
      <c r="A23" s="1"/>
      <c r="F23" s="203"/>
      <c r="H23" s="1"/>
    </row>
    <row r="24" ht="15.75" customHeight="1">
      <c r="A24" s="1"/>
      <c r="F24" s="203"/>
      <c r="H24" s="1"/>
    </row>
    <row r="25" ht="15.75" customHeight="1">
      <c r="A25" s="1"/>
      <c r="B25" s="781" t="s">
        <v>282</v>
      </c>
      <c r="F25" s="203"/>
      <c r="H25" s="1"/>
    </row>
    <row r="26" ht="15.75" customHeight="1">
      <c r="A26" s="1"/>
      <c r="B26" s="782"/>
      <c r="F26" s="203"/>
      <c r="H26" s="1"/>
    </row>
    <row r="27" ht="5.25" customHeight="1">
      <c r="A27" s="1"/>
      <c r="F27" s="203"/>
      <c r="H27" s="1"/>
    </row>
    <row r="28" ht="15.75" customHeight="1">
      <c r="A28" s="1"/>
      <c r="F28" s="203"/>
      <c r="H28" s="1"/>
    </row>
    <row r="29" ht="15.75" customHeight="1">
      <c r="A29" s="1"/>
      <c r="F29" s="203"/>
      <c r="H29" s="1"/>
    </row>
    <row r="30" ht="15.75" customHeight="1">
      <c r="A30" s="1"/>
      <c r="F30" s="203"/>
      <c r="H30" s="1"/>
    </row>
    <row r="31" ht="15.75" customHeight="1">
      <c r="A31" s="1"/>
      <c r="F31" s="203"/>
      <c r="H31" s="1"/>
    </row>
    <row r="32" ht="15.75" customHeight="1">
      <c r="A32" s="1"/>
      <c r="F32" s="203"/>
      <c r="H32" s="1"/>
    </row>
    <row r="33" ht="15.75" customHeight="1">
      <c r="A33" s="1"/>
      <c r="F33" s="203"/>
      <c r="H33" s="1"/>
    </row>
    <row r="34" ht="15.75" customHeight="1">
      <c r="A34" s="1"/>
      <c r="F34" s="203"/>
      <c r="H34" s="1"/>
    </row>
    <row r="35" ht="15.75" customHeight="1">
      <c r="A35" s="1"/>
      <c r="F35" s="203"/>
      <c r="H35" s="1"/>
    </row>
    <row r="36" ht="15.75" customHeight="1">
      <c r="A36" s="1"/>
      <c r="F36" s="203"/>
      <c r="H36" s="1"/>
    </row>
    <row r="37" ht="15.75" customHeight="1">
      <c r="A37" s="1"/>
      <c r="F37" s="203"/>
      <c r="H37" s="1"/>
    </row>
    <row r="38" ht="15.75" customHeight="1">
      <c r="A38" s="1"/>
      <c r="F38" s="203"/>
      <c r="H38" s="1"/>
    </row>
    <row r="39" ht="15.75" customHeight="1">
      <c r="A39" s="1"/>
      <c r="F39" s="203"/>
      <c r="H39" s="1"/>
    </row>
    <row r="40" ht="15.75" customHeight="1">
      <c r="A40" s="1"/>
      <c r="F40" s="203"/>
      <c r="H40" s="1"/>
    </row>
    <row r="41" ht="15.75" customHeight="1">
      <c r="A41" s="1"/>
      <c r="F41" s="203"/>
      <c r="H41" s="1"/>
    </row>
    <row r="42" ht="15.75" customHeight="1">
      <c r="A42" s="1"/>
      <c r="F42" s="203"/>
      <c r="H42" s="1"/>
    </row>
    <row r="43" ht="15.75" customHeight="1">
      <c r="A43" s="1"/>
      <c r="F43" s="203"/>
      <c r="H43" s="1"/>
    </row>
    <row r="44" ht="15.75" customHeight="1">
      <c r="A44" s="1"/>
      <c r="F44" s="203"/>
      <c r="H44" s="1"/>
    </row>
    <row r="45" ht="15.75" customHeight="1">
      <c r="A45" s="1"/>
      <c r="F45" s="203"/>
      <c r="H45" s="1"/>
    </row>
    <row r="46" ht="15.75" customHeight="1">
      <c r="A46" s="1"/>
      <c r="F46" s="203"/>
      <c r="H46" s="1"/>
    </row>
    <row r="47" ht="15.75" customHeight="1">
      <c r="A47" s="1"/>
      <c r="F47" s="203"/>
      <c r="H47" s="1"/>
    </row>
    <row r="48" ht="15.75" customHeight="1">
      <c r="A48" s="1"/>
      <c r="F48" s="203"/>
      <c r="H48" s="1"/>
    </row>
    <row r="49" ht="15.75" customHeight="1">
      <c r="A49" s="1"/>
      <c r="F49" s="203"/>
      <c r="H49" s="1"/>
    </row>
    <row r="50" ht="15.75" customHeight="1">
      <c r="A50" s="1"/>
      <c r="F50" s="203"/>
      <c r="H50" s="1"/>
    </row>
    <row r="51" ht="15.75" customHeight="1">
      <c r="A51" s="1"/>
      <c r="F51" s="203"/>
      <c r="H51" s="1"/>
    </row>
    <row r="52" ht="15.75" customHeight="1">
      <c r="A52" s="1"/>
      <c r="F52" s="203"/>
      <c r="H52" s="1"/>
    </row>
    <row r="53" ht="15.75" customHeight="1">
      <c r="A53" s="1"/>
      <c r="F53" s="203"/>
      <c r="H53" s="1"/>
    </row>
    <row r="54" ht="15.75" customHeight="1">
      <c r="A54" s="1"/>
      <c r="F54" s="203"/>
      <c r="H54" s="1"/>
    </row>
    <row r="55" ht="15.75" customHeight="1">
      <c r="A55" s="1"/>
      <c r="F55" s="203"/>
      <c r="H55" s="1"/>
    </row>
    <row r="56" ht="15.75" customHeight="1">
      <c r="A56" s="1"/>
      <c r="F56" s="203"/>
      <c r="H56" s="1"/>
    </row>
    <row r="57" ht="15.75" customHeight="1">
      <c r="A57" s="1"/>
      <c r="F57" s="203"/>
      <c r="H57" s="1"/>
    </row>
    <row r="58" ht="15.75" customHeight="1">
      <c r="A58" s="1"/>
      <c r="F58" s="203"/>
      <c r="H58" s="1"/>
    </row>
    <row r="59" ht="15.75" customHeight="1">
      <c r="A59" s="1"/>
      <c r="F59" s="203"/>
      <c r="H59" s="1"/>
    </row>
    <row r="60" ht="15.75" customHeight="1">
      <c r="A60" s="1"/>
      <c r="F60" s="203"/>
      <c r="H60" s="1"/>
    </row>
    <row r="61" ht="15.75" customHeight="1">
      <c r="A61" s="1"/>
      <c r="F61" s="203"/>
      <c r="H61" s="1"/>
    </row>
    <row r="62" ht="15.75" customHeight="1">
      <c r="A62" s="1"/>
      <c r="F62" s="203"/>
      <c r="H62" s="1"/>
    </row>
    <row r="63" ht="15.75" customHeight="1">
      <c r="A63" s="1"/>
      <c r="F63" s="203"/>
      <c r="H63" s="1"/>
    </row>
    <row r="64" ht="15.75" customHeight="1">
      <c r="A64" s="1"/>
      <c r="F64" s="203"/>
      <c r="H64" s="1"/>
    </row>
    <row r="65" ht="15.75" customHeight="1">
      <c r="A65" s="1"/>
      <c r="F65" s="203"/>
      <c r="H65" s="1"/>
    </row>
    <row r="66" ht="15.75" customHeight="1">
      <c r="A66" s="1"/>
      <c r="F66" s="203"/>
      <c r="H66" s="1"/>
    </row>
    <row r="67" ht="15.75" customHeight="1">
      <c r="A67" s="1"/>
      <c r="F67" s="203"/>
      <c r="H67" s="1"/>
    </row>
    <row r="68" ht="15.75" customHeight="1">
      <c r="A68" s="1"/>
      <c r="F68" s="203"/>
      <c r="H68" s="1"/>
    </row>
    <row r="69" ht="15.75" customHeight="1">
      <c r="A69" s="1"/>
      <c r="F69" s="203"/>
      <c r="H69" s="1"/>
    </row>
    <row r="70" ht="15.75" customHeight="1">
      <c r="A70" s="1"/>
      <c r="F70" s="203"/>
      <c r="H70" s="1"/>
    </row>
    <row r="71" ht="15.75" customHeight="1">
      <c r="A71" s="1"/>
      <c r="F71" s="203"/>
      <c r="H71" s="1"/>
    </row>
    <row r="72" ht="15.75" customHeight="1">
      <c r="A72" s="1"/>
      <c r="F72" s="203"/>
      <c r="H72" s="1"/>
    </row>
    <row r="73" ht="15.75" customHeight="1">
      <c r="A73" s="1"/>
      <c r="F73" s="203"/>
      <c r="H73" s="1"/>
    </row>
    <row r="74" ht="15.75" customHeight="1">
      <c r="A74" s="1"/>
      <c r="F74" s="203"/>
      <c r="H74" s="1"/>
    </row>
    <row r="75" ht="15.75" customHeight="1">
      <c r="A75" s="1"/>
      <c r="F75" s="203"/>
      <c r="H75" s="1"/>
    </row>
    <row r="76" ht="15.75" customHeight="1">
      <c r="A76" s="1"/>
      <c r="F76" s="203"/>
      <c r="H76" s="1"/>
    </row>
    <row r="77" ht="15.75" customHeight="1">
      <c r="A77" s="1"/>
      <c r="F77" s="203"/>
      <c r="H77" s="1"/>
    </row>
    <row r="78" ht="15.75" customHeight="1">
      <c r="A78" s="1"/>
      <c r="F78" s="203"/>
      <c r="H78" s="1"/>
    </row>
    <row r="79" ht="15.75" customHeight="1">
      <c r="A79" s="1"/>
      <c r="F79" s="203"/>
      <c r="H79" s="1"/>
    </row>
    <row r="80" ht="15.75" customHeight="1">
      <c r="A80" s="1"/>
      <c r="F80" s="203"/>
      <c r="H80" s="1"/>
    </row>
    <row r="81" ht="15.75" customHeight="1">
      <c r="A81" s="1"/>
      <c r="F81" s="203"/>
      <c r="H81" s="1"/>
    </row>
    <row r="82" ht="15.75" customHeight="1">
      <c r="A82" s="1"/>
      <c r="F82" s="203"/>
      <c r="H82" s="1"/>
    </row>
    <row r="83" ht="15.75" customHeight="1">
      <c r="A83" s="1"/>
      <c r="F83" s="203"/>
      <c r="H83" s="1"/>
    </row>
    <row r="84" ht="15.75" customHeight="1">
      <c r="A84" s="1"/>
      <c r="F84" s="203"/>
      <c r="H84" s="1"/>
    </row>
    <row r="85" ht="15.75" customHeight="1">
      <c r="A85" s="1"/>
      <c r="F85" s="203"/>
      <c r="H85" s="1"/>
    </row>
    <row r="86" ht="15.75" customHeight="1">
      <c r="A86" s="1"/>
      <c r="F86" s="203"/>
      <c r="H86" s="1"/>
    </row>
    <row r="87" ht="15.75" customHeight="1">
      <c r="A87" s="1"/>
      <c r="F87" s="203"/>
      <c r="H87" s="1"/>
    </row>
    <row r="88" ht="15.75" customHeight="1">
      <c r="A88" s="1"/>
      <c r="F88" s="203"/>
      <c r="H88" s="1"/>
    </row>
    <row r="89" ht="15.75" customHeight="1">
      <c r="A89" s="1"/>
      <c r="F89" s="203"/>
      <c r="H89" s="1"/>
    </row>
    <row r="90" ht="15.75" customHeight="1">
      <c r="A90" s="1"/>
      <c r="F90" s="203"/>
      <c r="H90" s="1"/>
    </row>
    <row r="91" ht="15.75" customHeight="1">
      <c r="A91" s="1"/>
      <c r="F91" s="203"/>
      <c r="H91" s="1"/>
    </row>
    <row r="92" ht="15.75" customHeight="1">
      <c r="A92" s="1"/>
      <c r="F92" s="203"/>
      <c r="H92" s="1"/>
    </row>
    <row r="93" ht="15.75" customHeight="1">
      <c r="A93" s="1"/>
      <c r="F93" s="203"/>
      <c r="H93" s="1"/>
    </row>
    <row r="94" ht="15.75" customHeight="1">
      <c r="A94" s="1"/>
      <c r="F94" s="203"/>
      <c r="H94" s="1"/>
    </row>
    <row r="95" ht="15.75" customHeight="1">
      <c r="A95" s="1"/>
      <c r="F95" s="203"/>
      <c r="H95" s="1"/>
    </row>
    <row r="96" ht="15.75" customHeight="1">
      <c r="A96" s="1"/>
      <c r="F96" s="203"/>
      <c r="H96" s="1"/>
    </row>
    <row r="97" ht="15.75" customHeight="1">
      <c r="A97" s="1"/>
      <c r="F97" s="203"/>
      <c r="H97" s="1"/>
    </row>
    <row r="98" ht="15.75" customHeight="1">
      <c r="A98" s="1"/>
      <c r="F98" s="203"/>
      <c r="H98" s="1"/>
    </row>
    <row r="99" ht="15.75" customHeight="1">
      <c r="A99" s="1"/>
      <c r="F99" s="203"/>
      <c r="H99" s="1"/>
    </row>
    <row r="100" ht="15.75" customHeight="1">
      <c r="A100" s="1"/>
      <c r="F100" s="203"/>
      <c r="H100" s="1"/>
    </row>
    <row r="101" ht="15.75" customHeight="1">
      <c r="A101" s="1"/>
      <c r="F101" s="203"/>
      <c r="H101" s="1"/>
    </row>
    <row r="102" ht="15.75" customHeight="1">
      <c r="A102" s="1"/>
      <c r="F102" s="203"/>
      <c r="H102" s="1"/>
    </row>
    <row r="103" ht="15.75" customHeight="1">
      <c r="A103" s="1"/>
      <c r="F103" s="203"/>
      <c r="H103" s="1"/>
    </row>
    <row r="104" ht="15.75" customHeight="1">
      <c r="A104" s="1"/>
      <c r="F104" s="203"/>
      <c r="H104" s="1"/>
    </row>
    <row r="105" ht="15.75" customHeight="1">
      <c r="A105" s="1"/>
      <c r="F105" s="203"/>
      <c r="H105" s="1"/>
    </row>
    <row r="106" ht="15.75" customHeight="1">
      <c r="A106" s="1"/>
      <c r="F106" s="203"/>
      <c r="H106" s="1"/>
    </row>
    <row r="107" ht="15.75" customHeight="1">
      <c r="A107" s="1"/>
      <c r="F107" s="203"/>
      <c r="H107" s="1"/>
    </row>
    <row r="108" ht="15.75" customHeight="1">
      <c r="A108" s="1"/>
      <c r="F108" s="203"/>
      <c r="H108" s="1"/>
    </row>
    <row r="109" ht="15.75" customHeight="1">
      <c r="A109" s="1"/>
      <c r="F109" s="203"/>
      <c r="H109" s="1"/>
    </row>
    <row r="110" ht="15.75" customHeight="1">
      <c r="A110" s="1"/>
      <c r="F110" s="203"/>
      <c r="H110" s="1"/>
    </row>
    <row r="111" ht="15.75" customHeight="1">
      <c r="A111" s="1"/>
      <c r="F111" s="203"/>
      <c r="H111" s="1"/>
    </row>
    <row r="112" ht="15.75" customHeight="1">
      <c r="A112" s="1"/>
      <c r="F112" s="203"/>
      <c r="H112" s="1"/>
    </row>
    <row r="113" ht="15.75" customHeight="1">
      <c r="A113" s="1"/>
      <c r="F113" s="203"/>
      <c r="H113" s="1"/>
    </row>
    <row r="114" ht="15.75" customHeight="1">
      <c r="A114" s="1"/>
      <c r="F114" s="203"/>
      <c r="H114" s="1"/>
    </row>
    <row r="115" ht="15.75" customHeight="1">
      <c r="A115" s="1"/>
      <c r="F115" s="203"/>
      <c r="H115" s="1"/>
    </row>
    <row r="116" ht="15.75" customHeight="1">
      <c r="A116" s="1"/>
      <c r="F116" s="203"/>
      <c r="H116" s="1"/>
    </row>
    <row r="117" ht="15.75" customHeight="1">
      <c r="A117" s="1"/>
      <c r="F117" s="203"/>
      <c r="H117" s="1"/>
    </row>
    <row r="118" ht="15.75" customHeight="1">
      <c r="A118" s="1"/>
      <c r="F118" s="203"/>
      <c r="H118" s="1"/>
    </row>
    <row r="119" ht="15.75" customHeight="1">
      <c r="A119" s="1"/>
      <c r="F119" s="203"/>
      <c r="H119" s="1"/>
    </row>
    <row r="120" ht="15.75" customHeight="1">
      <c r="A120" s="1"/>
      <c r="F120" s="203"/>
      <c r="H120" s="1"/>
    </row>
    <row r="121" ht="15.75" customHeight="1">
      <c r="A121" s="1"/>
      <c r="F121" s="203"/>
      <c r="H121" s="1"/>
    </row>
    <row r="122" ht="15.75" customHeight="1">
      <c r="A122" s="1"/>
      <c r="F122" s="203"/>
      <c r="H122" s="1"/>
    </row>
    <row r="123" ht="15.75" customHeight="1">
      <c r="A123" s="1"/>
      <c r="F123" s="203"/>
      <c r="H123" s="1"/>
    </row>
    <row r="124" ht="15.75" customHeight="1">
      <c r="A124" s="1"/>
      <c r="F124" s="203"/>
      <c r="H124" s="1"/>
    </row>
    <row r="125" ht="15.75" customHeight="1">
      <c r="A125" s="1"/>
      <c r="F125" s="203"/>
      <c r="H125" s="1"/>
    </row>
    <row r="126" ht="15.75" customHeight="1">
      <c r="A126" s="1"/>
      <c r="F126" s="203"/>
      <c r="H126" s="1"/>
    </row>
    <row r="127" ht="15.75" customHeight="1">
      <c r="A127" s="1"/>
      <c r="F127" s="203"/>
      <c r="H127" s="1"/>
    </row>
    <row r="128" ht="15.75" customHeight="1">
      <c r="A128" s="1"/>
      <c r="F128" s="203"/>
      <c r="H128" s="1"/>
    </row>
    <row r="129" ht="15.75" customHeight="1">
      <c r="A129" s="1"/>
      <c r="F129" s="203"/>
      <c r="H129" s="1"/>
    </row>
    <row r="130" ht="15.75" customHeight="1">
      <c r="A130" s="1"/>
      <c r="F130" s="203"/>
      <c r="H130" s="1"/>
    </row>
    <row r="131" ht="15.75" customHeight="1">
      <c r="A131" s="1"/>
      <c r="F131" s="203"/>
      <c r="H131" s="1"/>
    </row>
    <row r="132" ht="15.75" customHeight="1">
      <c r="A132" s="1"/>
      <c r="F132" s="203"/>
      <c r="H132" s="1"/>
    </row>
    <row r="133" ht="15.75" customHeight="1">
      <c r="A133" s="1"/>
      <c r="F133" s="203"/>
      <c r="H133" s="1"/>
    </row>
    <row r="134" ht="15.75" customHeight="1">
      <c r="A134" s="1"/>
      <c r="F134" s="203"/>
      <c r="H134" s="1"/>
    </row>
    <row r="135" ht="15.75" customHeight="1">
      <c r="A135" s="1"/>
      <c r="F135" s="203"/>
      <c r="H135" s="1"/>
    </row>
    <row r="136" ht="15.75" customHeight="1">
      <c r="A136" s="1"/>
      <c r="F136" s="203"/>
      <c r="H136" s="1"/>
    </row>
    <row r="137" ht="15.75" customHeight="1">
      <c r="A137" s="1"/>
      <c r="F137" s="203"/>
      <c r="H137" s="1"/>
    </row>
    <row r="138" ht="15.75" customHeight="1">
      <c r="A138" s="1"/>
      <c r="F138" s="203"/>
      <c r="H138" s="1"/>
    </row>
    <row r="139" ht="15.75" customHeight="1">
      <c r="A139" s="1"/>
      <c r="F139" s="203"/>
      <c r="H139" s="1"/>
    </row>
    <row r="140" ht="15.75" customHeight="1">
      <c r="A140" s="1"/>
      <c r="F140" s="203"/>
      <c r="H140" s="1"/>
    </row>
    <row r="141" ht="15.75" customHeight="1">
      <c r="A141" s="1"/>
      <c r="F141" s="203"/>
      <c r="H141" s="1"/>
    </row>
    <row r="142" ht="15.75" customHeight="1">
      <c r="A142" s="1"/>
      <c r="F142" s="203"/>
      <c r="H142" s="1"/>
    </row>
    <row r="143" ht="15.75" customHeight="1">
      <c r="A143" s="1"/>
      <c r="F143" s="203"/>
      <c r="H143" s="1"/>
    </row>
    <row r="144" ht="15.75" customHeight="1">
      <c r="A144" s="1"/>
      <c r="F144" s="203"/>
      <c r="H144" s="1"/>
    </row>
    <row r="145" ht="15.75" customHeight="1">
      <c r="A145" s="1"/>
      <c r="F145" s="203"/>
      <c r="H145" s="1"/>
    </row>
    <row r="146" ht="15.75" customHeight="1">
      <c r="A146" s="1"/>
      <c r="F146" s="203"/>
      <c r="H146" s="1"/>
    </row>
    <row r="147" ht="15.75" customHeight="1">
      <c r="A147" s="1"/>
      <c r="F147" s="203"/>
      <c r="H147" s="1"/>
    </row>
    <row r="148" ht="15.75" customHeight="1">
      <c r="A148" s="1"/>
      <c r="F148" s="203"/>
      <c r="H148" s="1"/>
    </row>
    <row r="149" ht="15.75" customHeight="1">
      <c r="A149" s="1"/>
      <c r="F149" s="203"/>
      <c r="H149" s="1"/>
    </row>
    <row r="150" ht="15.75" customHeight="1">
      <c r="A150" s="1"/>
      <c r="F150" s="203"/>
      <c r="H150" s="1"/>
    </row>
    <row r="151" ht="15.75" customHeight="1">
      <c r="A151" s="1"/>
      <c r="F151" s="203"/>
      <c r="H151" s="1"/>
    </row>
    <row r="152" ht="15.75" customHeight="1">
      <c r="A152" s="1"/>
      <c r="F152" s="203"/>
      <c r="H152" s="1"/>
    </row>
    <row r="153" ht="15.75" customHeight="1">
      <c r="A153" s="1"/>
      <c r="F153" s="203"/>
      <c r="H153" s="1"/>
    </row>
    <row r="154" ht="15.75" customHeight="1">
      <c r="A154" s="1"/>
      <c r="F154" s="203"/>
      <c r="H154" s="1"/>
    </row>
    <row r="155" ht="15.75" customHeight="1">
      <c r="A155" s="1"/>
      <c r="F155" s="203"/>
      <c r="H155" s="1"/>
    </row>
    <row r="156" ht="15.75" customHeight="1">
      <c r="A156" s="1"/>
      <c r="F156" s="203"/>
      <c r="H156" s="1"/>
    </row>
    <row r="157" ht="15.75" customHeight="1">
      <c r="A157" s="1"/>
      <c r="F157" s="203"/>
      <c r="H157" s="1"/>
    </row>
    <row r="158" ht="15.75" customHeight="1">
      <c r="A158" s="1"/>
      <c r="F158" s="203"/>
      <c r="H158" s="1"/>
    </row>
    <row r="159" ht="15.75" customHeight="1">
      <c r="A159" s="1"/>
      <c r="F159" s="203"/>
      <c r="H159" s="1"/>
    </row>
    <row r="160" ht="15.75" customHeight="1">
      <c r="A160" s="1"/>
      <c r="F160" s="203"/>
      <c r="H160" s="1"/>
    </row>
    <row r="161" ht="15.75" customHeight="1">
      <c r="A161" s="1"/>
      <c r="F161" s="203"/>
      <c r="H161" s="1"/>
    </row>
    <row r="162" ht="15.75" customHeight="1">
      <c r="A162" s="1"/>
      <c r="F162" s="203"/>
      <c r="H162" s="1"/>
    </row>
    <row r="163" ht="15.75" customHeight="1">
      <c r="A163" s="1"/>
      <c r="F163" s="203"/>
      <c r="H163" s="1"/>
    </row>
    <row r="164" ht="15.75" customHeight="1">
      <c r="A164" s="1"/>
      <c r="F164" s="203"/>
      <c r="H164" s="1"/>
    </row>
    <row r="165" ht="15.75" customHeight="1">
      <c r="A165" s="1"/>
      <c r="F165" s="203"/>
      <c r="H165" s="1"/>
    </row>
    <row r="166" ht="15.75" customHeight="1">
      <c r="A166" s="1"/>
      <c r="F166" s="203"/>
      <c r="H166" s="1"/>
    </row>
    <row r="167" ht="15.75" customHeight="1">
      <c r="A167" s="1"/>
      <c r="F167" s="203"/>
      <c r="H167" s="1"/>
    </row>
    <row r="168" ht="15.75" customHeight="1">
      <c r="A168" s="1"/>
      <c r="F168" s="203"/>
      <c r="H168" s="1"/>
    </row>
    <row r="169" ht="15.75" customHeight="1">
      <c r="A169" s="1"/>
      <c r="F169" s="203"/>
      <c r="H169" s="1"/>
    </row>
    <row r="170" ht="15.75" customHeight="1">
      <c r="A170" s="1"/>
      <c r="F170" s="203"/>
      <c r="H170" s="1"/>
    </row>
    <row r="171" ht="15.75" customHeight="1">
      <c r="A171" s="1"/>
      <c r="F171" s="203"/>
      <c r="H171" s="1"/>
    </row>
    <row r="172" ht="15.75" customHeight="1">
      <c r="A172" s="1"/>
      <c r="F172" s="203"/>
      <c r="H172" s="1"/>
    </row>
    <row r="173" ht="15.75" customHeight="1">
      <c r="A173" s="1"/>
      <c r="F173" s="203"/>
      <c r="H173" s="1"/>
    </row>
    <row r="174" ht="15.75" customHeight="1">
      <c r="A174" s="1"/>
      <c r="F174" s="203"/>
      <c r="H174" s="1"/>
    </row>
    <row r="175" ht="15.75" customHeight="1">
      <c r="A175" s="1"/>
      <c r="F175" s="203"/>
      <c r="H175" s="1"/>
    </row>
    <row r="176" ht="15.75" customHeight="1">
      <c r="A176" s="1"/>
      <c r="F176" s="203"/>
      <c r="H176" s="1"/>
    </row>
    <row r="177" ht="15.75" customHeight="1">
      <c r="A177" s="1"/>
      <c r="F177" s="203"/>
      <c r="H177" s="1"/>
    </row>
    <row r="178" ht="15.75" customHeight="1">
      <c r="A178" s="1"/>
      <c r="F178" s="203"/>
      <c r="H178" s="1"/>
    </row>
    <row r="179" ht="15.75" customHeight="1">
      <c r="A179" s="1"/>
      <c r="F179" s="203"/>
      <c r="H179" s="1"/>
    </row>
    <row r="180" ht="15.75" customHeight="1">
      <c r="A180" s="1"/>
      <c r="F180" s="203"/>
      <c r="H180" s="1"/>
    </row>
    <row r="181" ht="15.75" customHeight="1">
      <c r="A181" s="1"/>
      <c r="F181" s="203"/>
      <c r="H181" s="1"/>
    </row>
    <row r="182" ht="15.75" customHeight="1">
      <c r="A182" s="1"/>
      <c r="F182" s="203"/>
      <c r="H182" s="1"/>
    </row>
    <row r="183" ht="15.75" customHeight="1">
      <c r="A183" s="1"/>
      <c r="F183" s="203"/>
      <c r="H183" s="1"/>
    </row>
    <row r="184" ht="15.75" customHeight="1">
      <c r="A184" s="1"/>
      <c r="F184" s="203"/>
      <c r="H184" s="1"/>
    </row>
    <row r="185" ht="15.75" customHeight="1">
      <c r="A185" s="1"/>
      <c r="F185" s="203"/>
      <c r="H185" s="1"/>
    </row>
    <row r="186" ht="15.75" customHeight="1">
      <c r="A186" s="1"/>
      <c r="F186" s="203"/>
      <c r="H186" s="1"/>
    </row>
    <row r="187" ht="15.75" customHeight="1">
      <c r="A187" s="1"/>
      <c r="F187" s="203"/>
      <c r="H187" s="1"/>
    </row>
    <row r="188" ht="15.75" customHeight="1">
      <c r="A188" s="1"/>
      <c r="F188" s="203"/>
      <c r="H188" s="1"/>
    </row>
    <row r="189" ht="15.75" customHeight="1">
      <c r="A189" s="1"/>
      <c r="F189" s="203"/>
      <c r="H189" s="1"/>
    </row>
    <row r="190" ht="15.75" customHeight="1">
      <c r="A190" s="1"/>
      <c r="F190" s="203"/>
      <c r="H190" s="1"/>
    </row>
    <row r="191" ht="15.75" customHeight="1">
      <c r="A191" s="1"/>
      <c r="F191" s="203"/>
      <c r="H191" s="1"/>
    </row>
    <row r="192" ht="15.75" customHeight="1">
      <c r="A192" s="1"/>
      <c r="F192" s="203"/>
      <c r="H192" s="1"/>
    </row>
    <row r="193" ht="15.75" customHeight="1">
      <c r="A193" s="1"/>
      <c r="F193" s="203"/>
      <c r="H193" s="1"/>
    </row>
    <row r="194" ht="15.75" customHeight="1">
      <c r="A194" s="1"/>
      <c r="F194" s="203"/>
      <c r="H194" s="1"/>
    </row>
    <row r="195" ht="15.75" customHeight="1">
      <c r="A195" s="1"/>
      <c r="F195" s="203"/>
      <c r="H195" s="1"/>
    </row>
    <row r="196" ht="15.75" customHeight="1">
      <c r="A196" s="1"/>
      <c r="F196" s="203"/>
      <c r="H196" s="1"/>
    </row>
    <row r="197" ht="15.75" customHeight="1">
      <c r="A197" s="1"/>
      <c r="F197" s="203"/>
      <c r="H197" s="1"/>
    </row>
    <row r="198" ht="15.75" customHeight="1">
      <c r="A198" s="1"/>
      <c r="F198" s="203"/>
      <c r="H198" s="1"/>
    </row>
    <row r="199" ht="15.75" customHeight="1">
      <c r="A199" s="1"/>
      <c r="F199" s="203"/>
      <c r="H199" s="1"/>
    </row>
    <row r="200" ht="15.75" customHeight="1">
      <c r="A200" s="1"/>
      <c r="F200" s="203"/>
      <c r="H200" s="1"/>
    </row>
    <row r="201" ht="15.75" customHeight="1">
      <c r="A201" s="1"/>
      <c r="F201" s="203"/>
      <c r="H201" s="1"/>
    </row>
    <row r="202" ht="15.75" customHeight="1">
      <c r="A202" s="1"/>
      <c r="F202" s="203"/>
      <c r="H202" s="1"/>
    </row>
    <row r="203" ht="15.75" customHeight="1">
      <c r="A203" s="1"/>
      <c r="F203" s="203"/>
      <c r="H203" s="1"/>
    </row>
    <row r="204" ht="15.75" customHeight="1">
      <c r="A204" s="1"/>
      <c r="F204" s="203"/>
      <c r="H204" s="1"/>
    </row>
    <row r="205" ht="15.75" customHeight="1">
      <c r="A205" s="1"/>
      <c r="F205" s="203"/>
      <c r="H205" s="1"/>
    </row>
    <row r="206" ht="15.75" customHeight="1">
      <c r="A206" s="1"/>
      <c r="F206" s="203"/>
      <c r="H206" s="1"/>
    </row>
    <row r="207" ht="15.75" customHeight="1">
      <c r="A207" s="1"/>
      <c r="F207" s="203"/>
      <c r="H207" s="1"/>
    </row>
    <row r="208" ht="15.75" customHeight="1">
      <c r="A208" s="1"/>
      <c r="F208" s="203"/>
      <c r="H208" s="1"/>
    </row>
    <row r="209" ht="15.75" customHeight="1">
      <c r="A209" s="1"/>
      <c r="F209" s="203"/>
      <c r="H209" s="1"/>
    </row>
    <row r="210" ht="15.75" customHeight="1">
      <c r="A210" s="1"/>
      <c r="F210" s="203"/>
      <c r="H210" s="1"/>
    </row>
    <row r="211" ht="15.75" customHeight="1">
      <c r="A211" s="1"/>
      <c r="F211" s="203"/>
      <c r="H211" s="1"/>
    </row>
    <row r="212" ht="15.75" customHeight="1">
      <c r="A212" s="1"/>
      <c r="F212" s="203"/>
      <c r="H212" s="1"/>
    </row>
    <row r="213" ht="15.75" customHeight="1">
      <c r="A213" s="1"/>
      <c r="F213" s="203"/>
      <c r="H213" s="1"/>
    </row>
    <row r="214" ht="15.75" customHeight="1">
      <c r="A214" s="1"/>
      <c r="F214" s="203"/>
      <c r="H214" s="1"/>
    </row>
    <row r="215" ht="15.75" customHeight="1">
      <c r="A215" s="1"/>
      <c r="F215" s="203"/>
      <c r="H215" s="1"/>
    </row>
    <row r="216" ht="15.75" customHeight="1">
      <c r="A216" s="1"/>
      <c r="F216" s="203"/>
      <c r="H216" s="1"/>
    </row>
    <row r="217" ht="15.75" customHeight="1">
      <c r="A217" s="1"/>
      <c r="F217" s="203"/>
      <c r="H217" s="1"/>
    </row>
    <row r="218" ht="15.75" customHeight="1">
      <c r="A218" s="1"/>
      <c r="F218" s="203"/>
      <c r="H218" s="1"/>
    </row>
    <row r="219" ht="15.75" customHeight="1">
      <c r="A219" s="1"/>
      <c r="F219" s="203"/>
      <c r="H219" s="1"/>
    </row>
    <row r="220" ht="15.75" customHeight="1">
      <c r="A220" s="1"/>
      <c r="F220" s="203"/>
      <c r="H220" s="1"/>
    </row>
    <row r="221" ht="15.75" customHeight="1">
      <c r="A221" s="1"/>
      <c r="F221" s="203"/>
      <c r="H221" s="1"/>
    </row>
    <row r="222" ht="15.75" customHeight="1">
      <c r="A222" s="1"/>
      <c r="F222" s="203"/>
      <c r="H222" s="1"/>
    </row>
    <row r="223" ht="15.75" customHeight="1">
      <c r="A223" s="1"/>
      <c r="F223" s="203"/>
      <c r="H223" s="1"/>
    </row>
    <row r="224" ht="15.75" customHeight="1">
      <c r="A224" s="1"/>
      <c r="F224" s="203"/>
      <c r="H224" s="1"/>
    </row>
    <row r="225" ht="15.75" customHeight="1">
      <c r="A225" s="1"/>
      <c r="F225" s="203"/>
      <c r="H225" s="1"/>
    </row>
    <row r="226" ht="15.75" customHeight="1">
      <c r="A226" s="1"/>
      <c r="F226" s="203"/>
      <c r="H226" s="1"/>
    </row>
    <row r="227" ht="15.75" customHeight="1">
      <c r="A227" s="1"/>
      <c r="F227" s="203"/>
      <c r="H227" s="1"/>
    </row>
    <row r="228" ht="15.75" customHeight="1">
      <c r="A228" s="1"/>
      <c r="F228" s="203"/>
      <c r="H228" s="1"/>
    </row>
    <row r="229" ht="15.75" customHeight="1">
      <c r="A229" s="1"/>
      <c r="F229" s="203"/>
      <c r="H229" s="1"/>
    </row>
    <row r="230" ht="15.75" customHeight="1">
      <c r="A230" s="1"/>
      <c r="F230" s="203"/>
      <c r="H230" s="1"/>
    </row>
    <row r="231" ht="15.75" customHeight="1">
      <c r="A231" s="1"/>
      <c r="F231" s="203"/>
      <c r="H231" s="1"/>
    </row>
    <row r="232" ht="15.75" customHeight="1">
      <c r="A232" s="1"/>
      <c r="F232" s="203"/>
      <c r="H232" s="1"/>
    </row>
    <row r="233" ht="15.75" customHeight="1">
      <c r="A233" s="1"/>
      <c r="F233" s="203"/>
      <c r="H233" s="1"/>
    </row>
    <row r="234" ht="15.75" customHeight="1">
      <c r="A234" s="1"/>
      <c r="F234" s="203"/>
      <c r="H234" s="1"/>
    </row>
    <row r="235" ht="15.75" customHeight="1">
      <c r="A235" s="1"/>
      <c r="F235" s="203"/>
      <c r="H235" s="1"/>
    </row>
    <row r="236" ht="15.75" customHeight="1">
      <c r="A236" s="1"/>
      <c r="F236" s="203"/>
      <c r="H236" s="1"/>
    </row>
    <row r="237" ht="15.75" customHeight="1">
      <c r="A237" s="1"/>
      <c r="F237" s="203"/>
      <c r="H237" s="1"/>
    </row>
    <row r="238" ht="15.75" customHeight="1">
      <c r="A238" s="1"/>
      <c r="F238" s="203"/>
      <c r="H238" s="1"/>
    </row>
    <row r="239" ht="15.75" customHeight="1">
      <c r="A239" s="1"/>
      <c r="F239" s="203"/>
      <c r="H239" s="1"/>
    </row>
    <row r="240" ht="15.75" customHeight="1">
      <c r="A240" s="1"/>
      <c r="F240" s="203"/>
      <c r="H240" s="1"/>
    </row>
    <row r="241" ht="15.75" customHeight="1">
      <c r="A241" s="1"/>
      <c r="F241" s="203"/>
      <c r="H241" s="1"/>
    </row>
    <row r="242" ht="15.75" customHeight="1">
      <c r="A242" s="1"/>
      <c r="F242" s="203"/>
      <c r="H242" s="1"/>
    </row>
    <row r="243" ht="15.75" customHeight="1">
      <c r="A243" s="1"/>
      <c r="F243" s="203"/>
      <c r="H243" s="1"/>
    </row>
    <row r="244" ht="15.75" customHeight="1">
      <c r="A244" s="1"/>
      <c r="F244" s="203"/>
      <c r="H244" s="1"/>
    </row>
    <row r="245" ht="15.75" customHeight="1">
      <c r="A245" s="1"/>
      <c r="F245" s="203"/>
      <c r="H245" s="1"/>
    </row>
    <row r="246" ht="15.75" customHeight="1">
      <c r="A246" s="1"/>
      <c r="F246" s="203"/>
      <c r="H246" s="1"/>
    </row>
    <row r="247" ht="15.75" customHeight="1">
      <c r="A247" s="1"/>
      <c r="F247" s="203"/>
      <c r="H247" s="1"/>
    </row>
    <row r="248" ht="15.75" customHeight="1">
      <c r="A248" s="1"/>
      <c r="F248" s="203"/>
      <c r="H248" s="1"/>
    </row>
    <row r="249" ht="15.75" customHeight="1">
      <c r="A249" s="1"/>
      <c r="F249" s="203"/>
      <c r="H249" s="1"/>
    </row>
    <row r="250" ht="15.75" customHeight="1">
      <c r="A250" s="1"/>
      <c r="F250" s="203"/>
      <c r="H250" s="1"/>
    </row>
    <row r="251" ht="15.75" customHeight="1">
      <c r="A251" s="1"/>
      <c r="F251" s="203"/>
      <c r="H251" s="1"/>
    </row>
    <row r="252" ht="15.75" customHeight="1">
      <c r="A252" s="1"/>
      <c r="F252" s="203"/>
      <c r="H252" s="1"/>
    </row>
    <row r="253" ht="15.75" customHeight="1">
      <c r="A253" s="1"/>
      <c r="F253" s="203"/>
      <c r="H253" s="1"/>
    </row>
    <row r="254" ht="15.75" customHeight="1">
      <c r="A254" s="1"/>
      <c r="F254" s="203"/>
      <c r="H254" s="1"/>
    </row>
    <row r="255" ht="15.75" customHeight="1">
      <c r="A255" s="1"/>
      <c r="F255" s="203"/>
      <c r="H255" s="1"/>
    </row>
    <row r="256" ht="15.75" customHeight="1">
      <c r="A256" s="1"/>
      <c r="F256" s="203"/>
      <c r="H256" s="1"/>
    </row>
    <row r="257" ht="15.75" customHeight="1">
      <c r="A257" s="1"/>
      <c r="F257" s="203"/>
      <c r="H257" s="1"/>
    </row>
    <row r="258" ht="15.75" customHeight="1">
      <c r="A258" s="1"/>
      <c r="F258" s="203"/>
      <c r="H258" s="1"/>
    </row>
    <row r="259" ht="15.75" customHeight="1">
      <c r="A259" s="1"/>
      <c r="F259" s="203"/>
      <c r="H259" s="1"/>
    </row>
    <row r="260" ht="15.75" customHeight="1">
      <c r="A260" s="1"/>
      <c r="F260" s="203"/>
      <c r="H260" s="1"/>
    </row>
    <row r="261" ht="15.75" customHeight="1">
      <c r="A261" s="1"/>
      <c r="F261" s="203"/>
      <c r="H261" s="1"/>
    </row>
    <row r="262" ht="15.75" customHeight="1">
      <c r="A262" s="1"/>
      <c r="F262" s="203"/>
      <c r="H262" s="1"/>
    </row>
    <row r="263" ht="15.75" customHeight="1">
      <c r="A263" s="1"/>
      <c r="F263" s="203"/>
      <c r="H263" s="1"/>
    </row>
    <row r="264" ht="15.75" customHeight="1">
      <c r="A264" s="1"/>
      <c r="F264" s="203"/>
      <c r="H264" s="1"/>
    </row>
    <row r="265" ht="15.75" customHeight="1">
      <c r="A265" s="1"/>
      <c r="F265" s="203"/>
      <c r="H265" s="1"/>
    </row>
    <row r="266" ht="15.75" customHeight="1">
      <c r="A266" s="1"/>
      <c r="F266" s="203"/>
      <c r="H266" s="1"/>
    </row>
    <row r="267" ht="15.75" customHeight="1">
      <c r="A267" s="1"/>
      <c r="F267" s="203"/>
      <c r="H267" s="1"/>
    </row>
    <row r="268" ht="15.75" customHeight="1">
      <c r="A268" s="1"/>
      <c r="F268" s="203"/>
      <c r="H268" s="1"/>
    </row>
    <row r="269" ht="15.75" customHeight="1">
      <c r="A269" s="1"/>
      <c r="F269" s="203"/>
      <c r="H269" s="1"/>
    </row>
    <row r="270" ht="15.75" customHeight="1">
      <c r="A270" s="1"/>
      <c r="F270" s="203"/>
      <c r="H270" s="1"/>
    </row>
    <row r="271" ht="15.75" customHeight="1">
      <c r="A271" s="1"/>
      <c r="F271" s="203"/>
      <c r="H271" s="1"/>
    </row>
    <row r="272" ht="15.75" customHeight="1">
      <c r="A272" s="1"/>
      <c r="F272" s="203"/>
      <c r="H272" s="1"/>
    </row>
    <row r="273" ht="15.75" customHeight="1">
      <c r="A273" s="1"/>
      <c r="F273" s="203"/>
      <c r="H273" s="1"/>
    </row>
    <row r="274" ht="15.75" customHeight="1">
      <c r="A274" s="1"/>
      <c r="F274" s="203"/>
      <c r="H274" s="1"/>
    </row>
    <row r="275" ht="15.75" customHeight="1">
      <c r="A275" s="1"/>
      <c r="F275" s="203"/>
      <c r="H275" s="1"/>
    </row>
    <row r="276" ht="15.75" customHeight="1">
      <c r="A276" s="1"/>
      <c r="F276" s="203"/>
      <c r="H276" s="1"/>
    </row>
    <row r="277" ht="15.75" customHeight="1">
      <c r="A277" s="1"/>
      <c r="F277" s="203"/>
      <c r="H277" s="1"/>
    </row>
    <row r="278" ht="15.75" customHeight="1">
      <c r="A278" s="1"/>
      <c r="F278" s="203"/>
      <c r="H278" s="1"/>
    </row>
    <row r="279" ht="15.75" customHeight="1">
      <c r="A279" s="1"/>
      <c r="F279" s="203"/>
      <c r="H279" s="1"/>
    </row>
    <row r="280" ht="15.75" customHeight="1">
      <c r="A280" s="1"/>
      <c r="F280" s="203"/>
      <c r="H280" s="1"/>
    </row>
    <row r="281" ht="15.75" customHeight="1">
      <c r="A281" s="1"/>
      <c r="F281" s="203"/>
      <c r="H281" s="1"/>
    </row>
    <row r="282" ht="15.75" customHeight="1">
      <c r="A282" s="1"/>
      <c r="F282" s="203"/>
      <c r="H282" s="1"/>
    </row>
    <row r="283" ht="15.75" customHeight="1">
      <c r="A283" s="1"/>
      <c r="F283" s="203"/>
      <c r="H283" s="1"/>
    </row>
    <row r="284" ht="15.75" customHeight="1">
      <c r="A284" s="1"/>
      <c r="F284" s="203"/>
      <c r="H284" s="1"/>
    </row>
    <row r="285" ht="15.75" customHeight="1">
      <c r="A285" s="1"/>
      <c r="F285" s="203"/>
      <c r="H285" s="1"/>
    </row>
    <row r="286" ht="15.75" customHeight="1">
      <c r="A286" s="1"/>
      <c r="F286" s="203"/>
      <c r="H286" s="1"/>
    </row>
    <row r="287" ht="15.75" customHeight="1">
      <c r="A287" s="1"/>
      <c r="F287" s="203"/>
      <c r="H287" s="1"/>
    </row>
    <row r="288" ht="15.75" customHeight="1">
      <c r="A288" s="1"/>
      <c r="F288" s="203"/>
      <c r="H288" s="1"/>
    </row>
    <row r="289" ht="15.75" customHeight="1">
      <c r="A289" s="1"/>
      <c r="F289" s="203"/>
      <c r="H289" s="1"/>
    </row>
    <row r="290" ht="15.75" customHeight="1">
      <c r="A290" s="1"/>
      <c r="F290" s="203"/>
      <c r="H290" s="1"/>
    </row>
    <row r="291" ht="15.75" customHeight="1">
      <c r="A291" s="1"/>
      <c r="F291" s="203"/>
      <c r="H291" s="1"/>
    </row>
    <row r="292" ht="15.75" customHeight="1">
      <c r="A292" s="1"/>
      <c r="F292" s="203"/>
      <c r="H292" s="1"/>
    </row>
    <row r="293" ht="15.75" customHeight="1">
      <c r="A293" s="1"/>
      <c r="F293" s="203"/>
      <c r="H293" s="1"/>
    </row>
    <row r="294" ht="15.75" customHeight="1">
      <c r="A294" s="1"/>
      <c r="F294" s="203"/>
      <c r="H294" s="1"/>
    </row>
    <row r="295" ht="15.75" customHeight="1">
      <c r="A295" s="1"/>
      <c r="F295" s="203"/>
      <c r="H295" s="1"/>
    </row>
    <row r="296" ht="15.75" customHeight="1">
      <c r="A296" s="1"/>
      <c r="F296" s="203"/>
      <c r="H296" s="1"/>
    </row>
    <row r="297" ht="15.75" customHeight="1">
      <c r="A297" s="1"/>
      <c r="F297" s="203"/>
      <c r="H297" s="1"/>
    </row>
    <row r="298" ht="15.75" customHeight="1">
      <c r="A298" s="1"/>
      <c r="F298" s="203"/>
      <c r="H298" s="1"/>
    </row>
    <row r="299" ht="15.75" customHeight="1">
      <c r="A299" s="1"/>
      <c r="F299" s="203"/>
      <c r="H299" s="1"/>
    </row>
    <row r="300" ht="15.75" customHeight="1">
      <c r="A300" s="1"/>
      <c r="F300" s="203"/>
      <c r="H300" s="1"/>
    </row>
    <row r="301" ht="15.75" customHeight="1">
      <c r="A301" s="1"/>
      <c r="F301" s="203"/>
      <c r="H301" s="1"/>
    </row>
    <row r="302" ht="15.75" customHeight="1">
      <c r="A302" s="1"/>
      <c r="F302" s="203"/>
      <c r="H302" s="1"/>
    </row>
    <row r="303" ht="15.75" customHeight="1">
      <c r="A303" s="1"/>
      <c r="F303" s="203"/>
      <c r="H303" s="1"/>
    </row>
    <row r="304" ht="15.75" customHeight="1">
      <c r="A304" s="1"/>
      <c r="F304" s="203"/>
      <c r="H304" s="1"/>
    </row>
    <row r="305" ht="15.75" customHeight="1">
      <c r="A305" s="1"/>
      <c r="F305" s="203"/>
      <c r="H305" s="1"/>
    </row>
    <row r="306" ht="15.75" customHeight="1">
      <c r="A306" s="1"/>
      <c r="F306" s="203"/>
      <c r="H306" s="1"/>
    </row>
    <row r="307" ht="15.75" customHeight="1">
      <c r="A307" s="1"/>
      <c r="F307" s="203"/>
      <c r="H307" s="1"/>
    </row>
    <row r="308" ht="15.75" customHeight="1">
      <c r="A308" s="1"/>
      <c r="F308" s="203"/>
      <c r="H308" s="1"/>
    </row>
    <row r="309" ht="15.75" customHeight="1">
      <c r="A309" s="1"/>
      <c r="F309" s="203"/>
      <c r="H309" s="1"/>
    </row>
    <row r="310" ht="15.75" customHeight="1">
      <c r="A310" s="1"/>
      <c r="F310" s="203"/>
      <c r="H310" s="1"/>
    </row>
    <row r="311" ht="15.75" customHeight="1">
      <c r="A311" s="1"/>
      <c r="F311" s="203"/>
      <c r="H311" s="1"/>
    </row>
    <row r="312" ht="15.75" customHeight="1">
      <c r="A312" s="1"/>
      <c r="F312" s="203"/>
      <c r="H312" s="1"/>
    </row>
    <row r="313" ht="15.75" customHeight="1">
      <c r="A313" s="1"/>
      <c r="F313" s="203"/>
      <c r="H313" s="1"/>
    </row>
    <row r="314" ht="15.75" customHeight="1">
      <c r="A314" s="1"/>
      <c r="F314" s="203"/>
      <c r="H314" s="1"/>
    </row>
    <row r="315" ht="15.75" customHeight="1">
      <c r="A315" s="1"/>
      <c r="F315" s="203"/>
      <c r="H315" s="1"/>
    </row>
    <row r="316" ht="15.75" customHeight="1">
      <c r="A316" s="1"/>
      <c r="F316" s="203"/>
      <c r="H316" s="1"/>
    </row>
    <row r="317" ht="15.75" customHeight="1">
      <c r="A317" s="1"/>
      <c r="F317" s="203"/>
      <c r="H317" s="1"/>
    </row>
    <row r="318" ht="15.75" customHeight="1">
      <c r="A318" s="1"/>
      <c r="F318" s="203"/>
      <c r="H318" s="1"/>
    </row>
    <row r="319" ht="15.75" customHeight="1">
      <c r="A319" s="1"/>
      <c r="F319" s="203"/>
      <c r="H319" s="1"/>
    </row>
    <row r="320" ht="15.75" customHeight="1">
      <c r="A320" s="1"/>
      <c r="F320" s="203"/>
      <c r="H320" s="1"/>
    </row>
    <row r="321" ht="15.75" customHeight="1">
      <c r="A321" s="1"/>
      <c r="F321" s="203"/>
      <c r="H321" s="1"/>
    </row>
    <row r="322" ht="15.75" customHeight="1">
      <c r="A322" s="1"/>
      <c r="F322" s="203"/>
      <c r="H322" s="1"/>
    </row>
    <row r="323" ht="15.75" customHeight="1">
      <c r="A323" s="1"/>
      <c r="F323" s="203"/>
      <c r="H323" s="1"/>
    </row>
    <row r="324" ht="15.75" customHeight="1">
      <c r="A324" s="1"/>
      <c r="F324" s="203"/>
      <c r="H324" s="1"/>
    </row>
    <row r="325" ht="15.75" customHeight="1">
      <c r="A325" s="1"/>
      <c r="F325" s="203"/>
      <c r="H325" s="1"/>
    </row>
    <row r="326" ht="15.75" customHeight="1">
      <c r="A326" s="1"/>
      <c r="F326" s="203"/>
      <c r="H326" s="1"/>
    </row>
    <row r="327" ht="15.75" customHeight="1">
      <c r="A327" s="1"/>
      <c r="F327" s="203"/>
      <c r="H327" s="1"/>
    </row>
    <row r="328" ht="15.75" customHeight="1">
      <c r="A328" s="1"/>
      <c r="F328" s="203"/>
      <c r="H328" s="1"/>
    </row>
    <row r="329" ht="15.75" customHeight="1">
      <c r="A329" s="1"/>
      <c r="F329" s="203"/>
      <c r="H329" s="1"/>
    </row>
    <row r="330" ht="15.75" customHeight="1">
      <c r="A330" s="1"/>
      <c r="F330" s="203"/>
      <c r="H330" s="1"/>
    </row>
    <row r="331" ht="15.75" customHeight="1">
      <c r="A331" s="1"/>
      <c r="F331" s="203"/>
      <c r="H331" s="1"/>
    </row>
    <row r="332" ht="15.75" customHeight="1">
      <c r="A332" s="1"/>
      <c r="F332" s="203"/>
      <c r="H332" s="1"/>
    </row>
    <row r="333" ht="15.75" customHeight="1">
      <c r="A333" s="1"/>
      <c r="F333" s="203"/>
      <c r="H333" s="1"/>
    </row>
    <row r="334" ht="15.75" customHeight="1">
      <c r="A334" s="1"/>
      <c r="F334" s="203"/>
      <c r="H334" s="1"/>
    </row>
    <row r="335" ht="15.75" customHeight="1">
      <c r="A335" s="1"/>
      <c r="F335" s="203"/>
      <c r="H335" s="1"/>
    </row>
    <row r="336" ht="15.75" customHeight="1">
      <c r="A336" s="1"/>
      <c r="F336" s="203"/>
      <c r="H336" s="1"/>
    </row>
    <row r="337" ht="15.75" customHeight="1">
      <c r="A337" s="1"/>
      <c r="F337" s="203"/>
      <c r="H337" s="1"/>
    </row>
    <row r="338" ht="15.75" customHeight="1">
      <c r="A338" s="1"/>
      <c r="F338" s="203"/>
      <c r="H338" s="1"/>
    </row>
    <row r="339" ht="15.75" customHeight="1">
      <c r="A339" s="1"/>
      <c r="F339" s="203"/>
      <c r="H339" s="1"/>
    </row>
    <row r="340" ht="15.75" customHeight="1">
      <c r="A340" s="1"/>
      <c r="F340" s="203"/>
      <c r="H340" s="1"/>
    </row>
    <row r="341" ht="15.75" customHeight="1">
      <c r="A341" s="1"/>
      <c r="F341" s="203"/>
      <c r="H341" s="1"/>
    </row>
    <row r="342" ht="15.75" customHeight="1">
      <c r="A342" s="1"/>
      <c r="F342" s="203"/>
      <c r="H342" s="1"/>
    </row>
    <row r="343" ht="15.75" customHeight="1">
      <c r="A343" s="1"/>
      <c r="F343" s="203"/>
      <c r="H343" s="1"/>
    </row>
    <row r="344" ht="15.75" customHeight="1">
      <c r="A344" s="1"/>
      <c r="F344" s="203"/>
      <c r="H344" s="1"/>
    </row>
    <row r="345" ht="15.75" customHeight="1">
      <c r="A345" s="1"/>
      <c r="F345" s="203"/>
      <c r="H345" s="1"/>
    </row>
    <row r="346" ht="15.75" customHeight="1">
      <c r="A346" s="1"/>
      <c r="F346" s="203"/>
      <c r="H346" s="1"/>
    </row>
    <row r="347" ht="15.75" customHeight="1">
      <c r="A347" s="1"/>
      <c r="F347" s="203"/>
      <c r="H347" s="1"/>
    </row>
    <row r="348" ht="15.75" customHeight="1">
      <c r="A348" s="1"/>
      <c r="F348" s="203"/>
      <c r="H348" s="1"/>
    </row>
    <row r="349" ht="15.75" customHeight="1">
      <c r="A349" s="1"/>
      <c r="F349" s="203"/>
      <c r="H349" s="1"/>
    </row>
    <row r="350" ht="15.75" customHeight="1">
      <c r="A350" s="1"/>
      <c r="F350" s="203"/>
      <c r="H350" s="1"/>
    </row>
    <row r="351" ht="15.75" customHeight="1">
      <c r="A351" s="1"/>
      <c r="F351" s="203"/>
      <c r="H351" s="1"/>
    </row>
    <row r="352" ht="15.75" customHeight="1">
      <c r="A352" s="1"/>
      <c r="F352" s="203"/>
      <c r="H352" s="1"/>
    </row>
    <row r="353" ht="15.75" customHeight="1">
      <c r="A353" s="1"/>
      <c r="F353" s="203"/>
      <c r="H353" s="1"/>
    </row>
    <row r="354" ht="15.75" customHeight="1">
      <c r="A354" s="1"/>
      <c r="F354" s="203"/>
      <c r="H354" s="1"/>
    </row>
    <row r="355" ht="15.75" customHeight="1">
      <c r="A355" s="1"/>
      <c r="F355" s="203"/>
      <c r="H355" s="1"/>
    </row>
    <row r="356" ht="15.75" customHeight="1">
      <c r="A356" s="1"/>
      <c r="F356" s="203"/>
      <c r="H356" s="1"/>
    </row>
    <row r="357" ht="15.75" customHeight="1">
      <c r="A357" s="1"/>
      <c r="F357" s="203"/>
      <c r="H357" s="1"/>
    </row>
    <row r="358" ht="15.75" customHeight="1">
      <c r="A358" s="1"/>
      <c r="F358" s="203"/>
      <c r="H358" s="1"/>
    </row>
    <row r="359" ht="15.75" customHeight="1">
      <c r="A359" s="1"/>
      <c r="F359" s="203"/>
      <c r="H359" s="1"/>
    </row>
    <row r="360" ht="15.75" customHeight="1">
      <c r="A360" s="1"/>
      <c r="F360" s="203"/>
      <c r="H360" s="1"/>
    </row>
    <row r="361" ht="15.75" customHeight="1">
      <c r="A361" s="1"/>
      <c r="F361" s="203"/>
      <c r="H361" s="1"/>
    </row>
    <row r="362" ht="15.75" customHeight="1">
      <c r="A362" s="1"/>
      <c r="F362" s="203"/>
      <c r="H362" s="1"/>
    </row>
    <row r="363" ht="15.75" customHeight="1">
      <c r="A363" s="1"/>
      <c r="F363" s="203"/>
      <c r="H363" s="1"/>
    </row>
    <row r="364" ht="15.75" customHeight="1">
      <c r="A364" s="1"/>
      <c r="F364" s="203"/>
      <c r="H364" s="1"/>
    </row>
    <row r="365" ht="15.75" customHeight="1">
      <c r="A365" s="1"/>
      <c r="F365" s="203"/>
      <c r="H365" s="1"/>
    </row>
    <row r="366" ht="15.75" customHeight="1">
      <c r="A366" s="1"/>
      <c r="F366" s="203"/>
      <c r="H366" s="1"/>
    </row>
    <row r="367" ht="15.75" customHeight="1">
      <c r="A367" s="1"/>
      <c r="F367" s="203"/>
      <c r="H367" s="1"/>
    </row>
    <row r="368" ht="15.75" customHeight="1">
      <c r="A368" s="1"/>
      <c r="F368" s="203"/>
      <c r="H368" s="1"/>
    </row>
    <row r="369" ht="15.75" customHeight="1">
      <c r="A369" s="1"/>
      <c r="F369" s="203"/>
      <c r="H369" s="1"/>
    </row>
    <row r="370" ht="15.75" customHeight="1">
      <c r="A370" s="1"/>
      <c r="F370" s="203"/>
      <c r="H370" s="1"/>
    </row>
    <row r="371" ht="15.75" customHeight="1">
      <c r="A371" s="1"/>
      <c r="F371" s="203"/>
      <c r="H371" s="1"/>
    </row>
    <row r="372" ht="15.75" customHeight="1">
      <c r="A372" s="1"/>
      <c r="F372" s="203"/>
      <c r="H372" s="1"/>
    </row>
    <row r="373" ht="15.75" customHeight="1">
      <c r="A373" s="1"/>
      <c r="F373" s="203"/>
      <c r="H373" s="1"/>
    </row>
    <row r="374" ht="15.75" customHeight="1">
      <c r="A374" s="1"/>
      <c r="F374" s="203"/>
      <c r="H374" s="1"/>
    </row>
    <row r="375" ht="15.75" customHeight="1">
      <c r="A375" s="1"/>
      <c r="F375" s="203"/>
      <c r="H375" s="1"/>
    </row>
    <row r="376" ht="15.75" customHeight="1">
      <c r="A376" s="1"/>
      <c r="F376" s="203"/>
      <c r="H376" s="1"/>
    </row>
    <row r="377" ht="15.75" customHeight="1">
      <c r="A377" s="1"/>
      <c r="F377" s="203"/>
      <c r="H377" s="1"/>
    </row>
    <row r="378" ht="15.75" customHeight="1">
      <c r="A378" s="1"/>
      <c r="F378" s="203"/>
      <c r="H378" s="1"/>
    </row>
    <row r="379" ht="15.75" customHeight="1">
      <c r="A379" s="1"/>
      <c r="F379" s="203"/>
      <c r="H379" s="1"/>
    </row>
    <row r="380" ht="15.75" customHeight="1">
      <c r="A380" s="1"/>
      <c r="F380" s="203"/>
      <c r="H380" s="1"/>
    </row>
    <row r="381" ht="15.75" customHeight="1">
      <c r="A381" s="1"/>
      <c r="F381" s="203"/>
      <c r="H381" s="1"/>
    </row>
    <row r="382" ht="15.75" customHeight="1">
      <c r="A382" s="1"/>
      <c r="F382" s="203"/>
      <c r="H382" s="1"/>
    </row>
    <row r="383" ht="15.75" customHeight="1">
      <c r="A383" s="1"/>
      <c r="F383" s="203"/>
      <c r="H383" s="1"/>
    </row>
    <row r="384" ht="15.75" customHeight="1">
      <c r="A384" s="1"/>
      <c r="F384" s="203"/>
      <c r="H384" s="1"/>
    </row>
    <row r="385" ht="15.75" customHeight="1">
      <c r="A385" s="1"/>
      <c r="F385" s="203"/>
      <c r="H385" s="1"/>
    </row>
    <row r="386" ht="15.75" customHeight="1">
      <c r="A386" s="1"/>
      <c r="F386" s="203"/>
      <c r="H386" s="1"/>
    </row>
    <row r="387" ht="15.75" customHeight="1">
      <c r="A387" s="1"/>
      <c r="F387" s="203"/>
      <c r="H387" s="1"/>
    </row>
    <row r="388" ht="15.75" customHeight="1">
      <c r="A388" s="1"/>
      <c r="F388" s="203"/>
      <c r="H388" s="1"/>
    </row>
    <row r="389" ht="15.75" customHeight="1">
      <c r="A389" s="1"/>
      <c r="F389" s="203"/>
      <c r="H389" s="1"/>
    </row>
    <row r="390" ht="15.75" customHeight="1">
      <c r="A390" s="1"/>
      <c r="F390" s="203"/>
      <c r="H390" s="1"/>
    </row>
    <row r="391" ht="15.75" customHeight="1">
      <c r="A391" s="1"/>
      <c r="F391" s="203"/>
      <c r="H391" s="1"/>
    </row>
    <row r="392" ht="15.75" customHeight="1">
      <c r="A392" s="1"/>
      <c r="F392" s="203"/>
      <c r="H392" s="1"/>
    </row>
    <row r="393" ht="15.75" customHeight="1">
      <c r="A393" s="1"/>
      <c r="F393" s="203"/>
      <c r="H393" s="1"/>
    </row>
    <row r="394" ht="15.75" customHeight="1">
      <c r="A394" s="1"/>
      <c r="F394" s="203"/>
      <c r="H394" s="1"/>
    </row>
    <row r="395" ht="15.75" customHeight="1">
      <c r="A395" s="1"/>
      <c r="F395" s="203"/>
      <c r="H395" s="1"/>
    </row>
    <row r="396" ht="15.75" customHeight="1">
      <c r="A396" s="1"/>
      <c r="F396" s="203"/>
      <c r="H396" s="1"/>
    </row>
    <row r="397" ht="15.75" customHeight="1">
      <c r="A397" s="1"/>
      <c r="F397" s="203"/>
      <c r="H397" s="1"/>
    </row>
    <row r="398" ht="15.75" customHeight="1">
      <c r="A398" s="1"/>
      <c r="F398" s="203"/>
      <c r="H398" s="1"/>
    </row>
    <row r="399" ht="15.75" customHeight="1">
      <c r="A399" s="1"/>
      <c r="F399" s="203"/>
      <c r="H399" s="1"/>
    </row>
    <row r="400" ht="15.75" customHeight="1">
      <c r="A400" s="1"/>
      <c r="F400" s="203"/>
      <c r="H400" s="1"/>
    </row>
    <row r="401" ht="15.75" customHeight="1">
      <c r="A401" s="1"/>
      <c r="F401" s="203"/>
      <c r="H401" s="1"/>
    </row>
    <row r="402" ht="15.75" customHeight="1">
      <c r="A402" s="1"/>
      <c r="F402" s="203"/>
      <c r="H402" s="1"/>
    </row>
    <row r="403" ht="15.75" customHeight="1">
      <c r="A403" s="1"/>
      <c r="F403" s="203"/>
      <c r="H403" s="1"/>
    </row>
    <row r="404" ht="15.75" customHeight="1">
      <c r="A404" s="1"/>
      <c r="F404" s="203"/>
      <c r="H404" s="1"/>
    </row>
    <row r="405" ht="15.75" customHeight="1">
      <c r="A405" s="1"/>
      <c r="F405" s="203"/>
      <c r="H405" s="1"/>
    </row>
    <row r="406" ht="15.75" customHeight="1">
      <c r="A406" s="1"/>
      <c r="F406" s="203"/>
      <c r="H406" s="1"/>
    </row>
    <row r="407" ht="15.75" customHeight="1">
      <c r="A407" s="1"/>
      <c r="F407" s="203"/>
      <c r="H407" s="1"/>
    </row>
    <row r="408" ht="15.75" customHeight="1">
      <c r="A408" s="1"/>
      <c r="F408" s="203"/>
      <c r="H408" s="1"/>
    </row>
    <row r="409" ht="15.75" customHeight="1">
      <c r="A409" s="1"/>
      <c r="F409" s="203"/>
      <c r="H409" s="1"/>
    </row>
    <row r="410" ht="15.75" customHeight="1">
      <c r="A410" s="1"/>
      <c r="F410" s="203"/>
      <c r="H410" s="1"/>
    </row>
    <row r="411" ht="15.75" customHeight="1">
      <c r="A411" s="1"/>
      <c r="F411" s="203"/>
      <c r="H411" s="1"/>
    </row>
    <row r="412" ht="15.75" customHeight="1">
      <c r="A412" s="1"/>
      <c r="F412" s="203"/>
      <c r="H412" s="1"/>
    </row>
    <row r="413" ht="15.75" customHeight="1">
      <c r="A413" s="1"/>
      <c r="F413" s="203"/>
      <c r="H413" s="1"/>
    </row>
    <row r="414" ht="15.75" customHeight="1">
      <c r="A414" s="1"/>
      <c r="F414" s="203"/>
      <c r="H414" s="1"/>
    </row>
    <row r="415" ht="15.75" customHeight="1">
      <c r="A415" s="1"/>
      <c r="F415" s="203"/>
      <c r="H415" s="1"/>
    </row>
    <row r="416" ht="15.75" customHeight="1">
      <c r="A416" s="1"/>
      <c r="F416" s="203"/>
      <c r="H416" s="1"/>
    </row>
    <row r="417" ht="15.75" customHeight="1">
      <c r="A417" s="1"/>
      <c r="F417" s="203"/>
      <c r="H417" s="1"/>
    </row>
    <row r="418" ht="15.75" customHeight="1">
      <c r="A418" s="1"/>
      <c r="F418" s="203"/>
      <c r="H418" s="1"/>
    </row>
    <row r="419" ht="15.75" customHeight="1">
      <c r="A419" s="1"/>
      <c r="F419" s="203"/>
      <c r="H419" s="1"/>
    </row>
    <row r="420" ht="15.75" customHeight="1">
      <c r="A420" s="1"/>
      <c r="F420" s="203"/>
      <c r="H420" s="1"/>
    </row>
    <row r="421" ht="15.75" customHeight="1">
      <c r="A421" s="1"/>
      <c r="F421" s="203"/>
      <c r="H421" s="1"/>
    </row>
    <row r="422" ht="15.75" customHeight="1">
      <c r="A422" s="1"/>
      <c r="F422" s="203"/>
      <c r="H422" s="1"/>
    </row>
    <row r="423" ht="15.75" customHeight="1">
      <c r="A423" s="1"/>
      <c r="F423" s="203"/>
      <c r="H423" s="1"/>
    </row>
    <row r="424" ht="15.75" customHeight="1">
      <c r="A424" s="1"/>
      <c r="F424" s="203"/>
      <c r="H424" s="1"/>
    </row>
    <row r="425" ht="15.75" customHeight="1">
      <c r="A425" s="1"/>
      <c r="F425" s="203"/>
      <c r="H425" s="1"/>
    </row>
    <row r="426" ht="15.75" customHeight="1">
      <c r="A426" s="1"/>
      <c r="F426" s="203"/>
      <c r="H426" s="1"/>
    </row>
    <row r="427" ht="15.75" customHeight="1">
      <c r="A427" s="1"/>
      <c r="F427" s="203"/>
      <c r="H427" s="1"/>
    </row>
    <row r="428" ht="15.75" customHeight="1">
      <c r="A428" s="1"/>
      <c r="F428" s="203"/>
      <c r="H428" s="1"/>
    </row>
    <row r="429" ht="15.75" customHeight="1">
      <c r="A429" s="1"/>
      <c r="F429" s="203"/>
      <c r="H429" s="1"/>
    </row>
    <row r="430" ht="15.75" customHeight="1">
      <c r="A430" s="1"/>
      <c r="F430" s="203"/>
      <c r="H430" s="1"/>
    </row>
    <row r="431" ht="15.75" customHeight="1">
      <c r="A431" s="1"/>
      <c r="F431" s="203"/>
      <c r="H431" s="1"/>
    </row>
    <row r="432" ht="15.75" customHeight="1">
      <c r="A432" s="1"/>
      <c r="F432" s="203"/>
      <c r="H432" s="1"/>
    </row>
    <row r="433" ht="15.75" customHeight="1">
      <c r="A433" s="1"/>
      <c r="F433" s="203"/>
      <c r="H433" s="1"/>
    </row>
    <row r="434" ht="15.75" customHeight="1">
      <c r="A434" s="1"/>
      <c r="F434" s="203"/>
      <c r="H434" s="1"/>
    </row>
    <row r="435" ht="15.75" customHeight="1">
      <c r="A435" s="1"/>
      <c r="F435" s="203"/>
      <c r="H435" s="1"/>
    </row>
    <row r="436" ht="15.75" customHeight="1">
      <c r="A436" s="1"/>
      <c r="F436" s="203"/>
      <c r="H436" s="1"/>
    </row>
    <row r="437" ht="15.75" customHeight="1">
      <c r="A437" s="1"/>
      <c r="F437" s="203"/>
      <c r="H437" s="1"/>
    </row>
    <row r="438" ht="15.75" customHeight="1">
      <c r="A438" s="1"/>
      <c r="F438" s="203"/>
      <c r="H438" s="1"/>
    </row>
    <row r="439" ht="15.75" customHeight="1">
      <c r="A439" s="1"/>
      <c r="F439" s="203"/>
      <c r="H439" s="1"/>
    </row>
    <row r="440" ht="15.75" customHeight="1">
      <c r="A440" s="1"/>
      <c r="F440" s="203"/>
      <c r="H440" s="1"/>
    </row>
    <row r="441" ht="15.75" customHeight="1">
      <c r="A441" s="1"/>
      <c r="F441" s="203"/>
      <c r="H441" s="1"/>
    </row>
    <row r="442" ht="15.75" customHeight="1">
      <c r="A442" s="1"/>
      <c r="F442" s="203"/>
      <c r="H442" s="1"/>
    </row>
    <row r="443" ht="15.75" customHeight="1">
      <c r="A443" s="1"/>
      <c r="F443" s="203"/>
      <c r="H443" s="1"/>
    </row>
    <row r="444" ht="15.75" customHeight="1">
      <c r="A444" s="1"/>
      <c r="F444" s="203"/>
      <c r="H444" s="1"/>
    </row>
    <row r="445" ht="15.75" customHeight="1">
      <c r="A445" s="1"/>
      <c r="F445" s="203"/>
      <c r="H445" s="1"/>
    </row>
    <row r="446" ht="15.75" customHeight="1">
      <c r="A446" s="1"/>
      <c r="F446" s="203"/>
      <c r="H446" s="1"/>
    </row>
    <row r="447" ht="15.75" customHeight="1">
      <c r="A447" s="1"/>
      <c r="F447" s="203"/>
      <c r="H447" s="1"/>
    </row>
    <row r="448" ht="15.75" customHeight="1">
      <c r="A448" s="1"/>
      <c r="F448" s="203"/>
      <c r="H448" s="1"/>
    </row>
    <row r="449" ht="15.75" customHeight="1">
      <c r="A449" s="1"/>
      <c r="F449" s="203"/>
      <c r="H449" s="1"/>
    </row>
    <row r="450" ht="15.75" customHeight="1">
      <c r="A450" s="1"/>
      <c r="F450" s="203"/>
      <c r="H450" s="1"/>
    </row>
    <row r="451" ht="15.75" customHeight="1">
      <c r="A451" s="1"/>
      <c r="F451" s="203"/>
      <c r="H451" s="1"/>
    </row>
    <row r="452" ht="15.75" customHeight="1">
      <c r="A452" s="1"/>
      <c r="F452" s="203"/>
      <c r="H452" s="1"/>
    </row>
    <row r="453" ht="15.75" customHeight="1">
      <c r="A453" s="1"/>
      <c r="F453" s="203"/>
      <c r="H453" s="1"/>
    </row>
    <row r="454" ht="15.75" customHeight="1">
      <c r="A454" s="1"/>
      <c r="F454" s="203"/>
      <c r="H454" s="1"/>
    </row>
    <row r="455" ht="15.75" customHeight="1">
      <c r="A455" s="1"/>
      <c r="F455" s="203"/>
      <c r="H455" s="1"/>
    </row>
    <row r="456" ht="15.75" customHeight="1">
      <c r="A456" s="1"/>
      <c r="F456" s="203"/>
      <c r="H456" s="1"/>
    </row>
    <row r="457" ht="15.75" customHeight="1">
      <c r="A457" s="1"/>
      <c r="F457" s="203"/>
      <c r="H457" s="1"/>
    </row>
    <row r="458" ht="15.75" customHeight="1">
      <c r="A458" s="1"/>
      <c r="F458" s="203"/>
      <c r="H458" s="1"/>
    </row>
    <row r="459" ht="15.75" customHeight="1">
      <c r="A459" s="1"/>
      <c r="F459" s="203"/>
      <c r="H459" s="1"/>
    </row>
    <row r="460" ht="15.75" customHeight="1">
      <c r="A460" s="1"/>
      <c r="F460" s="203"/>
      <c r="H460" s="1"/>
    </row>
    <row r="461" ht="15.75" customHeight="1">
      <c r="A461" s="1"/>
      <c r="F461" s="203"/>
      <c r="H461" s="1"/>
    </row>
    <row r="462" ht="15.75" customHeight="1">
      <c r="A462" s="1"/>
      <c r="F462" s="203"/>
      <c r="H462" s="1"/>
    </row>
    <row r="463" ht="15.75" customHeight="1">
      <c r="A463" s="1"/>
      <c r="F463" s="203"/>
      <c r="H463" s="1"/>
    </row>
    <row r="464" ht="15.75" customHeight="1">
      <c r="A464" s="1"/>
      <c r="F464" s="203"/>
      <c r="H464" s="1"/>
    </row>
    <row r="465" ht="15.75" customHeight="1">
      <c r="A465" s="1"/>
      <c r="F465" s="203"/>
      <c r="H465" s="1"/>
    </row>
    <row r="466" ht="15.75" customHeight="1">
      <c r="A466" s="1"/>
      <c r="F466" s="203"/>
      <c r="H466" s="1"/>
    </row>
    <row r="467" ht="15.75" customHeight="1">
      <c r="A467" s="1"/>
      <c r="F467" s="203"/>
      <c r="H467" s="1"/>
    </row>
    <row r="468" ht="15.75" customHeight="1">
      <c r="A468" s="1"/>
      <c r="F468" s="203"/>
      <c r="H468" s="1"/>
    </row>
    <row r="469" ht="15.75" customHeight="1">
      <c r="A469" s="1"/>
      <c r="F469" s="203"/>
      <c r="H469" s="1"/>
    </row>
    <row r="470" ht="15.75" customHeight="1">
      <c r="A470" s="1"/>
      <c r="F470" s="203"/>
      <c r="H470" s="1"/>
    </row>
    <row r="471" ht="15.75" customHeight="1">
      <c r="A471" s="1"/>
      <c r="F471" s="203"/>
      <c r="H471" s="1"/>
    </row>
    <row r="472" ht="15.75" customHeight="1">
      <c r="A472" s="1"/>
      <c r="F472" s="203"/>
      <c r="H472" s="1"/>
    </row>
    <row r="473" ht="15.75" customHeight="1">
      <c r="A473" s="1"/>
      <c r="F473" s="203"/>
      <c r="H473" s="1"/>
    </row>
    <row r="474" ht="15.75" customHeight="1">
      <c r="A474" s="1"/>
      <c r="F474" s="203"/>
      <c r="H474" s="1"/>
    </row>
    <row r="475" ht="15.75" customHeight="1">
      <c r="A475" s="1"/>
      <c r="F475" s="203"/>
      <c r="H475" s="1"/>
    </row>
    <row r="476" ht="15.75" customHeight="1">
      <c r="A476" s="1"/>
      <c r="F476" s="203"/>
      <c r="H476" s="1"/>
    </row>
    <row r="477" ht="15.75" customHeight="1">
      <c r="A477" s="1"/>
      <c r="F477" s="203"/>
      <c r="H477" s="1"/>
    </row>
    <row r="478" ht="15.75" customHeight="1">
      <c r="A478" s="1"/>
      <c r="F478" s="203"/>
      <c r="H478" s="1"/>
    </row>
    <row r="479" ht="15.75" customHeight="1">
      <c r="A479" s="1"/>
      <c r="F479" s="203"/>
      <c r="H479" s="1"/>
    </row>
    <row r="480" ht="15.75" customHeight="1">
      <c r="A480" s="1"/>
      <c r="F480" s="203"/>
      <c r="H480" s="1"/>
    </row>
    <row r="481" ht="15.75" customHeight="1">
      <c r="A481" s="1"/>
      <c r="F481" s="203"/>
      <c r="H481" s="1"/>
    </row>
    <row r="482" ht="15.75" customHeight="1">
      <c r="A482" s="1"/>
      <c r="F482" s="203"/>
      <c r="H482" s="1"/>
    </row>
    <row r="483" ht="15.75" customHeight="1">
      <c r="A483" s="1"/>
      <c r="F483" s="203"/>
      <c r="H483" s="1"/>
    </row>
    <row r="484" ht="15.75" customHeight="1">
      <c r="A484" s="1"/>
      <c r="F484" s="203"/>
      <c r="H484" s="1"/>
    </row>
    <row r="485" ht="15.75" customHeight="1">
      <c r="A485" s="1"/>
      <c r="F485" s="203"/>
      <c r="H485" s="1"/>
    </row>
    <row r="486" ht="15.75" customHeight="1">
      <c r="A486" s="1"/>
      <c r="F486" s="203"/>
      <c r="H486" s="1"/>
    </row>
    <row r="487" ht="15.75" customHeight="1">
      <c r="A487" s="1"/>
      <c r="F487" s="203"/>
      <c r="H487" s="1"/>
    </row>
    <row r="488" ht="15.75" customHeight="1">
      <c r="A488" s="1"/>
      <c r="F488" s="203"/>
      <c r="H488" s="1"/>
    </row>
    <row r="489" ht="15.75" customHeight="1">
      <c r="A489" s="1"/>
      <c r="F489" s="203"/>
      <c r="H489" s="1"/>
    </row>
    <row r="490" ht="15.75" customHeight="1">
      <c r="A490" s="1"/>
      <c r="F490" s="203"/>
      <c r="H490" s="1"/>
    </row>
    <row r="491" ht="15.75" customHeight="1">
      <c r="A491" s="1"/>
      <c r="F491" s="203"/>
      <c r="H491" s="1"/>
    </row>
    <row r="492" ht="15.75" customHeight="1">
      <c r="A492" s="1"/>
      <c r="F492" s="203"/>
      <c r="H492" s="1"/>
    </row>
    <row r="493" ht="15.75" customHeight="1">
      <c r="A493" s="1"/>
      <c r="F493" s="203"/>
      <c r="H493" s="1"/>
    </row>
    <row r="494" ht="15.75" customHeight="1">
      <c r="A494" s="1"/>
      <c r="F494" s="203"/>
      <c r="H494" s="1"/>
    </row>
    <row r="495" ht="15.75" customHeight="1">
      <c r="A495" s="1"/>
      <c r="F495" s="203"/>
      <c r="H495" s="1"/>
    </row>
    <row r="496" ht="15.75" customHeight="1">
      <c r="A496" s="1"/>
      <c r="F496" s="203"/>
      <c r="H496" s="1"/>
    </row>
    <row r="497" ht="15.75" customHeight="1">
      <c r="A497" s="1"/>
      <c r="F497" s="203"/>
      <c r="H497" s="1"/>
    </row>
    <row r="498" ht="15.75" customHeight="1">
      <c r="A498" s="1"/>
      <c r="F498" s="203"/>
      <c r="H498" s="1"/>
    </row>
    <row r="499" ht="15.75" customHeight="1">
      <c r="A499" s="1"/>
      <c r="F499" s="203"/>
      <c r="H499" s="1"/>
    </row>
    <row r="500" ht="15.75" customHeight="1">
      <c r="A500" s="1"/>
      <c r="F500" s="203"/>
      <c r="H500" s="1"/>
    </row>
    <row r="501" ht="15.75" customHeight="1">
      <c r="A501" s="1"/>
      <c r="F501" s="203"/>
      <c r="H501" s="1"/>
    </row>
    <row r="502" ht="15.75" customHeight="1">
      <c r="A502" s="1"/>
      <c r="F502" s="203"/>
      <c r="H502" s="1"/>
    </row>
    <row r="503" ht="15.75" customHeight="1">
      <c r="A503" s="1"/>
      <c r="F503" s="203"/>
      <c r="H503" s="1"/>
    </row>
    <row r="504" ht="15.75" customHeight="1">
      <c r="A504" s="1"/>
      <c r="F504" s="203"/>
      <c r="H504" s="1"/>
    </row>
    <row r="505" ht="15.75" customHeight="1">
      <c r="A505" s="1"/>
      <c r="F505" s="203"/>
      <c r="H505" s="1"/>
    </row>
    <row r="506" ht="15.75" customHeight="1">
      <c r="A506" s="1"/>
      <c r="F506" s="203"/>
      <c r="H506" s="1"/>
    </row>
    <row r="507" ht="15.75" customHeight="1">
      <c r="A507" s="1"/>
      <c r="F507" s="203"/>
      <c r="H507" s="1"/>
    </row>
    <row r="508" ht="15.75" customHeight="1">
      <c r="A508" s="1"/>
      <c r="F508" s="203"/>
      <c r="H508" s="1"/>
    </row>
    <row r="509" ht="15.75" customHeight="1">
      <c r="A509" s="1"/>
      <c r="F509" s="203"/>
      <c r="H509" s="1"/>
    </row>
    <row r="510" ht="15.75" customHeight="1">
      <c r="A510" s="1"/>
      <c r="F510" s="203"/>
      <c r="H510" s="1"/>
    </row>
    <row r="511" ht="15.75" customHeight="1">
      <c r="A511" s="1"/>
      <c r="F511" s="203"/>
      <c r="H511" s="1"/>
    </row>
    <row r="512" ht="15.75" customHeight="1">
      <c r="A512" s="1"/>
      <c r="F512" s="203"/>
      <c r="H512" s="1"/>
    </row>
    <row r="513" ht="15.75" customHeight="1">
      <c r="A513" s="1"/>
      <c r="F513" s="203"/>
      <c r="H513" s="1"/>
    </row>
    <row r="514" ht="15.75" customHeight="1">
      <c r="A514" s="1"/>
      <c r="F514" s="203"/>
      <c r="H514" s="1"/>
    </row>
    <row r="515" ht="15.75" customHeight="1">
      <c r="A515" s="1"/>
      <c r="F515" s="203"/>
      <c r="H515" s="1"/>
    </row>
    <row r="516" ht="15.75" customHeight="1">
      <c r="A516" s="1"/>
      <c r="F516" s="203"/>
      <c r="H516" s="1"/>
    </row>
    <row r="517" ht="15.75" customHeight="1">
      <c r="A517" s="1"/>
      <c r="F517" s="203"/>
      <c r="H517" s="1"/>
    </row>
    <row r="518" ht="15.75" customHeight="1">
      <c r="A518" s="1"/>
      <c r="F518" s="203"/>
      <c r="H518" s="1"/>
    </row>
    <row r="519" ht="15.75" customHeight="1">
      <c r="A519" s="1"/>
      <c r="F519" s="203"/>
      <c r="H519" s="1"/>
    </row>
    <row r="520" ht="15.75" customHeight="1">
      <c r="A520" s="1"/>
      <c r="F520" s="203"/>
      <c r="H520" s="1"/>
    </row>
    <row r="521" ht="15.75" customHeight="1">
      <c r="A521" s="1"/>
      <c r="F521" s="203"/>
      <c r="H521" s="1"/>
    </row>
    <row r="522" ht="15.75" customHeight="1">
      <c r="A522" s="1"/>
      <c r="F522" s="203"/>
      <c r="H522" s="1"/>
    </row>
    <row r="523" ht="15.75" customHeight="1">
      <c r="A523" s="1"/>
      <c r="F523" s="203"/>
      <c r="H523" s="1"/>
    </row>
    <row r="524" ht="15.75" customHeight="1">
      <c r="A524" s="1"/>
      <c r="F524" s="203"/>
      <c r="H524" s="1"/>
    </row>
    <row r="525" ht="15.75" customHeight="1">
      <c r="A525" s="1"/>
      <c r="F525" s="203"/>
      <c r="H525" s="1"/>
    </row>
    <row r="526" ht="15.75" customHeight="1">
      <c r="A526" s="1"/>
      <c r="F526" s="203"/>
      <c r="H526" s="1"/>
    </row>
    <row r="527" ht="15.75" customHeight="1">
      <c r="A527" s="1"/>
      <c r="F527" s="203"/>
      <c r="H527" s="1"/>
    </row>
    <row r="528" ht="15.75" customHeight="1">
      <c r="A528" s="1"/>
      <c r="F528" s="203"/>
      <c r="H528" s="1"/>
    </row>
    <row r="529" ht="15.75" customHeight="1">
      <c r="A529" s="1"/>
      <c r="F529" s="203"/>
      <c r="H529" s="1"/>
    </row>
    <row r="530" ht="15.75" customHeight="1">
      <c r="A530" s="1"/>
      <c r="F530" s="203"/>
      <c r="H530" s="1"/>
    </row>
    <row r="531" ht="15.75" customHeight="1">
      <c r="A531" s="1"/>
      <c r="F531" s="203"/>
      <c r="H531" s="1"/>
    </row>
    <row r="532" ht="15.75" customHeight="1">
      <c r="A532" s="1"/>
      <c r="F532" s="203"/>
      <c r="H532" s="1"/>
    </row>
    <row r="533" ht="15.75" customHeight="1">
      <c r="A533" s="1"/>
      <c r="F533" s="203"/>
      <c r="H533" s="1"/>
    </row>
    <row r="534" ht="15.75" customHeight="1">
      <c r="A534" s="1"/>
      <c r="F534" s="203"/>
      <c r="H534" s="1"/>
    </row>
    <row r="535" ht="15.75" customHeight="1">
      <c r="A535" s="1"/>
      <c r="F535" s="203"/>
      <c r="H535" s="1"/>
    </row>
    <row r="536" ht="15.75" customHeight="1">
      <c r="A536" s="1"/>
      <c r="F536" s="203"/>
      <c r="H536" s="1"/>
    </row>
    <row r="537" ht="15.75" customHeight="1">
      <c r="A537" s="1"/>
      <c r="F537" s="203"/>
      <c r="H537" s="1"/>
    </row>
    <row r="538" ht="15.75" customHeight="1">
      <c r="A538" s="1"/>
      <c r="F538" s="203"/>
      <c r="H538" s="1"/>
    </row>
    <row r="539" ht="15.75" customHeight="1">
      <c r="A539" s="1"/>
      <c r="F539" s="203"/>
      <c r="H539" s="1"/>
    </row>
    <row r="540" ht="15.75" customHeight="1">
      <c r="A540" s="1"/>
      <c r="F540" s="203"/>
      <c r="H540" s="1"/>
    </row>
    <row r="541" ht="15.75" customHeight="1">
      <c r="A541" s="1"/>
      <c r="F541" s="203"/>
      <c r="H541" s="1"/>
    </row>
    <row r="542" ht="15.75" customHeight="1">
      <c r="A542" s="1"/>
      <c r="F542" s="203"/>
      <c r="H542" s="1"/>
    </row>
    <row r="543" ht="15.75" customHeight="1">
      <c r="A543" s="1"/>
      <c r="F543" s="203"/>
      <c r="H543" s="1"/>
    </row>
    <row r="544" ht="15.75" customHeight="1">
      <c r="A544" s="1"/>
      <c r="F544" s="203"/>
      <c r="H544" s="1"/>
    </row>
    <row r="545" ht="15.75" customHeight="1">
      <c r="A545" s="1"/>
      <c r="F545" s="203"/>
      <c r="H545" s="1"/>
    </row>
    <row r="546" ht="15.75" customHeight="1">
      <c r="A546" s="1"/>
      <c r="F546" s="203"/>
      <c r="H546" s="1"/>
    </row>
    <row r="547" ht="15.75" customHeight="1">
      <c r="A547" s="1"/>
      <c r="F547" s="203"/>
      <c r="H547" s="1"/>
    </row>
    <row r="548" ht="15.75" customHeight="1">
      <c r="A548" s="1"/>
      <c r="F548" s="203"/>
      <c r="H548" s="1"/>
    </row>
    <row r="549" ht="15.75" customHeight="1">
      <c r="A549" s="1"/>
      <c r="F549" s="203"/>
      <c r="H549" s="1"/>
    </row>
    <row r="550" ht="15.75" customHeight="1">
      <c r="A550" s="1"/>
      <c r="F550" s="203"/>
      <c r="H550" s="1"/>
    </row>
    <row r="551" ht="15.75" customHeight="1">
      <c r="A551" s="1"/>
      <c r="F551" s="203"/>
      <c r="H551" s="1"/>
    </row>
    <row r="552" ht="15.75" customHeight="1">
      <c r="A552" s="1"/>
      <c r="F552" s="203"/>
      <c r="H552" s="1"/>
    </row>
    <row r="553" ht="15.75" customHeight="1">
      <c r="A553" s="1"/>
      <c r="F553" s="203"/>
      <c r="H553" s="1"/>
    </row>
    <row r="554" ht="15.75" customHeight="1">
      <c r="A554" s="1"/>
      <c r="F554" s="203"/>
      <c r="H554" s="1"/>
    </row>
    <row r="555" ht="15.75" customHeight="1">
      <c r="A555" s="1"/>
      <c r="F555" s="203"/>
      <c r="H555" s="1"/>
    </row>
    <row r="556" ht="15.75" customHeight="1">
      <c r="A556" s="1"/>
      <c r="F556" s="203"/>
      <c r="H556" s="1"/>
    </row>
    <row r="557" ht="15.75" customHeight="1">
      <c r="A557" s="1"/>
      <c r="F557" s="203"/>
      <c r="H557" s="1"/>
    </row>
    <row r="558" ht="15.75" customHeight="1">
      <c r="A558" s="1"/>
      <c r="F558" s="203"/>
      <c r="H558" s="1"/>
    </row>
    <row r="559" ht="15.75" customHeight="1">
      <c r="A559" s="1"/>
      <c r="F559" s="203"/>
      <c r="H559" s="1"/>
    </row>
    <row r="560" ht="15.75" customHeight="1">
      <c r="A560" s="1"/>
      <c r="F560" s="203"/>
      <c r="H560" s="1"/>
    </row>
    <row r="561" ht="15.75" customHeight="1">
      <c r="A561" s="1"/>
      <c r="F561" s="203"/>
      <c r="H561" s="1"/>
    </row>
    <row r="562" ht="15.75" customHeight="1">
      <c r="A562" s="1"/>
      <c r="F562" s="203"/>
      <c r="H562" s="1"/>
    </row>
    <row r="563" ht="15.75" customHeight="1">
      <c r="A563" s="1"/>
      <c r="F563" s="203"/>
      <c r="H563" s="1"/>
    </row>
    <row r="564" ht="15.75" customHeight="1">
      <c r="A564" s="1"/>
      <c r="F564" s="203"/>
      <c r="H564" s="1"/>
    </row>
    <row r="565" ht="15.75" customHeight="1">
      <c r="A565" s="1"/>
      <c r="F565" s="203"/>
      <c r="H565" s="1"/>
    </row>
    <row r="566" ht="15.75" customHeight="1">
      <c r="A566" s="1"/>
      <c r="F566" s="203"/>
      <c r="H566" s="1"/>
    </row>
    <row r="567" ht="15.75" customHeight="1">
      <c r="A567" s="1"/>
      <c r="F567" s="203"/>
      <c r="H567" s="1"/>
    </row>
    <row r="568" ht="15.75" customHeight="1">
      <c r="A568" s="1"/>
      <c r="F568" s="203"/>
      <c r="H568" s="1"/>
    </row>
    <row r="569" ht="15.75" customHeight="1">
      <c r="A569" s="1"/>
      <c r="F569" s="203"/>
      <c r="H569" s="1"/>
    </row>
    <row r="570" ht="15.75" customHeight="1">
      <c r="A570" s="1"/>
      <c r="F570" s="203"/>
      <c r="H570" s="1"/>
    </row>
    <row r="571" ht="15.75" customHeight="1">
      <c r="A571" s="1"/>
      <c r="F571" s="203"/>
      <c r="H571" s="1"/>
    </row>
    <row r="572" ht="15.75" customHeight="1">
      <c r="A572" s="1"/>
      <c r="F572" s="203"/>
      <c r="H572" s="1"/>
    </row>
    <row r="573" ht="15.75" customHeight="1">
      <c r="A573" s="1"/>
      <c r="F573" s="203"/>
      <c r="H573" s="1"/>
    </row>
    <row r="574" ht="15.75" customHeight="1">
      <c r="A574" s="1"/>
      <c r="F574" s="203"/>
      <c r="H574" s="1"/>
    </row>
    <row r="575" ht="15.75" customHeight="1">
      <c r="A575" s="1"/>
      <c r="F575" s="203"/>
      <c r="H575" s="1"/>
    </row>
    <row r="576" ht="15.75" customHeight="1">
      <c r="A576" s="1"/>
      <c r="F576" s="203"/>
      <c r="H576" s="1"/>
    </row>
    <row r="577" ht="15.75" customHeight="1">
      <c r="A577" s="1"/>
      <c r="F577" s="203"/>
      <c r="H577" s="1"/>
    </row>
    <row r="578" ht="15.75" customHeight="1">
      <c r="A578" s="1"/>
      <c r="F578" s="203"/>
      <c r="H578" s="1"/>
    </row>
    <row r="579" ht="15.75" customHeight="1">
      <c r="A579" s="1"/>
      <c r="F579" s="203"/>
      <c r="H579" s="1"/>
    </row>
    <row r="580" ht="15.75" customHeight="1">
      <c r="A580" s="1"/>
      <c r="F580" s="203"/>
      <c r="H580" s="1"/>
    </row>
    <row r="581" ht="15.75" customHeight="1">
      <c r="A581" s="1"/>
      <c r="F581" s="203"/>
      <c r="H581" s="1"/>
    </row>
    <row r="582" ht="15.75" customHeight="1">
      <c r="A582" s="1"/>
      <c r="F582" s="203"/>
      <c r="H582" s="1"/>
    </row>
    <row r="583" ht="15.75" customHeight="1">
      <c r="A583" s="1"/>
      <c r="F583" s="203"/>
      <c r="H583" s="1"/>
    </row>
    <row r="584" ht="15.75" customHeight="1">
      <c r="A584" s="1"/>
      <c r="F584" s="203"/>
      <c r="H584" s="1"/>
    </row>
    <row r="585" ht="15.75" customHeight="1">
      <c r="A585" s="1"/>
      <c r="F585" s="203"/>
      <c r="H585" s="1"/>
    </row>
    <row r="586" ht="15.75" customHeight="1">
      <c r="A586" s="1"/>
      <c r="F586" s="203"/>
      <c r="H586" s="1"/>
    </row>
    <row r="587" ht="15.75" customHeight="1">
      <c r="A587" s="1"/>
      <c r="F587" s="203"/>
      <c r="H587" s="1"/>
    </row>
    <row r="588" ht="15.75" customHeight="1">
      <c r="A588" s="1"/>
      <c r="F588" s="203"/>
      <c r="H588" s="1"/>
    </row>
    <row r="589" ht="15.75" customHeight="1">
      <c r="A589" s="1"/>
      <c r="F589" s="203"/>
      <c r="H589" s="1"/>
    </row>
    <row r="590" ht="15.75" customHeight="1">
      <c r="A590" s="1"/>
      <c r="F590" s="203"/>
      <c r="H590" s="1"/>
    </row>
    <row r="591" ht="15.75" customHeight="1">
      <c r="A591" s="1"/>
      <c r="F591" s="203"/>
      <c r="H591" s="1"/>
    </row>
    <row r="592" ht="15.75" customHeight="1">
      <c r="A592" s="1"/>
      <c r="F592" s="203"/>
      <c r="H592" s="1"/>
    </row>
    <row r="593" ht="15.75" customHeight="1">
      <c r="A593" s="1"/>
      <c r="F593" s="203"/>
      <c r="H593" s="1"/>
    </row>
    <row r="594" ht="15.75" customHeight="1">
      <c r="A594" s="1"/>
      <c r="F594" s="203"/>
      <c r="H594" s="1"/>
    </row>
    <row r="595" ht="15.75" customHeight="1">
      <c r="A595" s="1"/>
      <c r="F595" s="203"/>
      <c r="H595" s="1"/>
    </row>
    <row r="596" ht="15.75" customHeight="1">
      <c r="A596" s="1"/>
      <c r="F596" s="203"/>
      <c r="H596" s="1"/>
    </row>
    <row r="597" ht="15.75" customHeight="1">
      <c r="A597" s="1"/>
      <c r="F597" s="203"/>
      <c r="H597" s="1"/>
    </row>
    <row r="598" ht="15.75" customHeight="1">
      <c r="A598" s="1"/>
      <c r="F598" s="203"/>
      <c r="H598" s="1"/>
    </row>
    <row r="599" ht="15.75" customHeight="1">
      <c r="A599" s="1"/>
      <c r="F599" s="203"/>
      <c r="H599" s="1"/>
    </row>
    <row r="600" ht="15.75" customHeight="1">
      <c r="A600" s="1"/>
      <c r="F600" s="203"/>
      <c r="H600" s="1"/>
    </row>
    <row r="601" ht="15.75" customHeight="1">
      <c r="A601" s="1"/>
      <c r="F601" s="203"/>
      <c r="H601" s="1"/>
    </row>
    <row r="602" ht="15.75" customHeight="1">
      <c r="A602" s="1"/>
      <c r="F602" s="203"/>
      <c r="H602" s="1"/>
    </row>
    <row r="603" ht="15.75" customHeight="1">
      <c r="A603" s="1"/>
      <c r="F603" s="203"/>
      <c r="H603" s="1"/>
    </row>
    <row r="604" ht="15.75" customHeight="1">
      <c r="A604" s="1"/>
      <c r="F604" s="203"/>
      <c r="H604" s="1"/>
    </row>
    <row r="605" ht="15.75" customHeight="1">
      <c r="A605" s="1"/>
      <c r="F605" s="203"/>
      <c r="H605" s="1"/>
    </row>
    <row r="606" ht="15.75" customHeight="1">
      <c r="A606" s="1"/>
      <c r="F606" s="203"/>
      <c r="H606" s="1"/>
    </row>
    <row r="607" ht="15.75" customHeight="1">
      <c r="A607" s="1"/>
      <c r="F607" s="203"/>
      <c r="H607" s="1"/>
    </row>
    <row r="608" ht="15.75" customHeight="1">
      <c r="A608" s="1"/>
      <c r="F608" s="203"/>
      <c r="H608" s="1"/>
    </row>
    <row r="609" ht="15.75" customHeight="1">
      <c r="A609" s="1"/>
      <c r="F609" s="203"/>
      <c r="H609" s="1"/>
    </row>
    <row r="610" ht="15.75" customHeight="1">
      <c r="A610" s="1"/>
      <c r="F610" s="203"/>
      <c r="H610" s="1"/>
    </row>
    <row r="611" ht="15.75" customHeight="1">
      <c r="A611" s="1"/>
      <c r="F611" s="203"/>
      <c r="H611" s="1"/>
    </row>
    <row r="612" ht="15.75" customHeight="1">
      <c r="A612" s="1"/>
      <c r="F612" s="203"/>
      <c r="H612" s="1"/>
    </row>
    <row r="613" ht="15.75" customHeight="1">
      <c r="A613" s="1"/>
      <c r="F613" s="203"/>
      <c r="H613" s="1"/>
    </row>
    <row r="614" ht="15.75" customHeight="1">
      <c r="A614" s="1"/>
      <c r="F614" s="203"/>
      <c r="H614" s="1"/>
    </row>
    <row r="615" ht="15.75" customHeight="1">
      <c r="A615" s="1"/>
      <c r="F615" s="203"/>
      <c r="H615" s="1"/>
    </row>
    <row r="616" ht="15.75" customHeight="1">
      <c r="A616" s="1"/>
      <c r="F616" s="203"/>
      <c r="H616" s="1"/>
    </row>
    <row r="617" ht="15.75" customHeight="1">
      <c r="A617" s="1"/>
      <c r="F617" s="203"/>
      <c r="H617" s="1"/>
    </row>
    <row r="618" ht="15.75" customHeight="1">
      <c r="A618" s="1"/>
      <c r="F618" s="203"/>
      <c r="H618" s="1"/>
    </row>
    <row r="619" ht="15.75" customHeight="1">
      <c r="A619" s="1"/>
      <c r="F619" s="203"/>
      <c r="H619" s="1"/>
    </row>
    <row r="620" ht="15.75" customHeight="1">
      <c r="A620" s="1"/>
      <c r="F620" s="203"/>
      <c r="H620" s="1"/>
    </row>
    <row r="621" ht="15.75" customHeight="1">
      <c r="A621" s="1"/>
      <c r="F621" s="203"/>
      <c r="H621" s="1"/>
    </row>
    <row r="622" ht="15.75" customHeight="1">
      <c r="A622" s="1"/>
      <c r="F622" s="203"/>
      <c r="H622" s="1"/>
    </row>
    <row r="623" ht="15.75" customHeight="1">
      <c r="A623" s="1"/>
      <c r="F623" s="203"/>
      <c r="H623" s="1"/>
    </row>
    <row r="624" ht="15.75" customHeight="1">
      <c r="A624" s="1"/>
      <c r="F624" s="203"/>
      <c r="H624" s="1"/>
    </row>
    <row r="625" ht="15.75" customHeight="1">
      <c r="A625" s="1"/>
      <c r="F625" s="203"/>
      <c r="H625" s="1"/>
    </row>
    <row r="626" ht="15.75" customHeight="1">
      <c r="A626" s="1"/>
      <c r="F626" s="203"/>
      <c r="H626" s="1"/>
    </row>
    <row r="627" ht="15.75" customHeight="1">
      <c r="A627" s="1"/>
      <c r="F627" s="203"/>
      <c r="H627" s="1"/>
    </row>
    <row r="628" ht="15.75" customHeight="1">
      <c r="A628" s="1"/>
      <c r="F628" s="203"/>
      <c r="H628" s="1"/>
    </row>
    <row r="629" ht="15.75" customHeight="1">
      <c r="A629" s="1"/>
      <c r="F629" s="203"/>
      <c r="H629" s="1"/>
    </row>
    <row r="630" ht="15.75" customHeight="1">
      <c r="A630" s="1"/>
      <c r="F630" s="203"/>
      <c r="H630" s="1"/>
    </row>
    <row r="631" ht="15.75" customHeight="1">
      <c r="A631" s="1"/>
      <c r="F631" s="203"/>
      <c r="H631" s="1"/>
    </row>
    <row r="632" ht="15.75" customHeight="1">
      <c r="A632" s="1"/>
      <c r="F632" s="203"/>
      <c r="H632" s="1"/>
    </row>
    <row r="633" ht="15.75" customHeight="1">
      <c r="A633" s="1"/>
      <c r="F633" s="203"/>
      <c r="H633" s="1"/>
    </row>
    <row r="634" ht="15.75" customHeight="1">
      <c r="A634" s="1"/>
      <c r="F634" s="203"/>
      <c r="H634" s="1"/>
    </row>
    <row r="635" ht="15.75" customHeight="1">
      <c r="A635" s="1"/>
      <c r="F635" s="203"/>
      <c r="H635" s="1"/>
    </row>
    <row r="636" ht="15.75" customHeight="1">
      <c r="A636" s="1"/>
      <c r="F636" s="203"/>
      <c r="H636" s="1"/>
    </row>
    <row r="637" ht="15.75" customHeight="1">
      <c r="A637" s="1"/>
      <c r="F637" s="203"/>
      <c r="H637" s="1"/>
    </row>
    <row r="638" ht="15.75" customHeight="1">
      <c r="A638" s="1"/>
      <c r="F638" s="203"/>
      <c r="H638" s="1"/>
    </row>
    <row r="639" ht="15.75" customHeight="1">
      <c r="A639" s="1"/>
      <c r="F639" s="203"/>
      <c r="H639" s="1"/>
    </row>
    <row r="640" ht="15.75" customHeight="1">
      <c r="A640" s="1"/>
      <c r="F640" s="203"/>
      <c r="H640" s="1"/>
    </row>
    <row r="641" ht="15.75" customHeight="1">
      <c r="A641" s="1"/>
      <c r="F641" s="203"/>
      <c r="H641" s="1"/>
    </row>
    <row r="642" ht="15.75" customHeight="1">
      <c r="A642" s="1"/>
      <c r="F642" s="203"/>
      <c r="H642" s="1"/>
    </row>
    <row r="643" ht="15.75" customHeight="1">
      <c r="A643" s="1"/>
      <c r="F643" s="203"/>
      <c r="H643" s="1"/>
    </row>
    <row r="644" ht="15.75" customHeight="1">
      <c r="A644" s="1"/>
      <c r="F644" s="203"/>
      <c r="H644" s="1"/>
    </row>
    <row r="645" ht="15.75" customHeight="1">
      <c r="A645" s="1"/>
      <c r="F645" s="203"/>
      <c r="H645" s="1"/>
    </row>
    <row r="646" ht="15.75" customHeight="1">
      <c r="A646" s="1"/>
      <c r="F646" s="203"/>
      <c r="H646" s="1"/>
    </row>
    <row r="647" ht="15.75" customHeight="1">
      <c r="A647" s="1"/>
      <c r="F647" s="203"/>
      <c r="H647" s="1"/>
    </row>
    <row r="648" ht="15.75" customHeight="1">
      <c r="A648" s="1"/>
      <c r="F648" s="203"/>
      <c r="H648" s="1"/>
    </row>
    <row r="649" ht="15.75" customHeight="1">
      <c r="A649" s="1"/>
      <c r="F649" s="203"/>
      <c r="H649" s="1"/>
    </row>
    <row r="650" ht="15.75" customHeight="1">
      <c r="A650" s="1"/>
      <c r="F650" s="203"/>
      <c r="H650" s="1"/>
    </row>
    <row r="651" ht="15.75" customHeight="1">
      <c r="A651" s="1"/>
      <c r="F651" s="203"/>
      <c r="H651" s="1"/>
    </row>
    <row r="652" ht="15.75" customHeight="1">
      <c r="A652" s="1"/>
      <c r="F652" s="203"/>
      <c r="H652" s="1"/>
    </row>
    <row r="653" ht="15.75" customHeight="1">
      <c r="A653" s="1"/>
      <c r="F653" s="203"/>
      <c r="H653" s="1"/>
    </row>
    <row r="654" ht="15.75" customHeight="1">
      <c r="A654" s="1"/>
      <c r="F654" s="203"/>
      <c r="H654" s="1"/>
    </row>
    <row r="655" ht="15.75" customHeight="1">
      <c r="A655" s="1"/>
      <c r="F655" s="203"/>
      <c r="H655" s="1"/>
    </row>
    <row r="656" ht="15.75" customHeight="1">
      <c r="A656" s="1"/>
      <c r="F656" s="203"/>
      <c r="H656" s="1"/>
    </row>
    <row r="657" ht="15.75" customHeight="1">
      <c r="A657" s="1"/>
      <c r="F657" s="203"/>
      <c r="H657" s="1"/>
    </row>
    <row r="658" ht="15.75" customHeight="1">
      <c r="A658" s="1"/>
      <c r="F658" s="203"/>
      <c r="H658" s="1"/>
    </row>
    <row r="659" ht="15.75" customHeight="1">
      <c r="A659" s="1"/>
      <c r="F659" s="203"/>
      <c r="H659" s="1"/>
    </row>
    <row r="660" ht="15.75" customHeight="1">
      <c r="A660" s="1"/>
      <c r="F660" s="203"/>
      <c r="H660" s="1"/>
    </row>
    <row r="661" ht="15.75" customHeight="1">
      <c r="A661" s="1"/>
      <c r="F661" s="203"/>
      <c r="H661" s="1"/>
    </row>
    <row r="662" ht="15.75" customHeight="1">
      <c r="A662" s="1"/>
      <c r="F662" s="203"/>
      <c r="H662" s="1"/>
    </row>
    <row r="663" ht="15.75" customHeight="1">
      <c r="A663" s="1"/>
      <c r="F663" s="203"/>
      <c r="H663" s="1"/>
    </row>
    <row r="664" ht="15.75" customHeight="1">
      <c r="A664" s="1"/>
      <c r="F664" s="203"/>
      <c r="H664" s="1"/>
    </row>
    <row r="665" ht="15.75" customHeight="1">
      <c r="A665" s="1"/>
      <c r="F665" s="203"/>
      <c r="H665" s="1"/>
    </row>
    <row r="666" ht="15.75" customHeight="1">
      <c r="A666" s="1"/>
      <c r="F666" s="203"/>
      <c r="H666" s="1"/>
    </row>
    <row r="667" ht="15.75" customHeight="1">
      <c r="A667" s="1"/>
      <c r="F667" s="203"/>
      <c r="H667" s="1"/>
    </row>
    <row r="668" ht="15.75" customHeight="1">
      <c r="A668" s="1"/>
      <c r="F668" s="203"/>
      <c r="H668" s="1"/>
    </row>
    <row r="669" ht="15.75" customHeight="1">
      <c r="A669" s="1"/>
      <c r="F669" s="203"/>
      <c r="H669" s="1"/>
    </row>
    <row r="670" ht="15.75" customHeight="1">
      <c r="A670" s="1"/>
      <c r="F670" s="203"/>
      <c r="H670" s="1"/>
    </row>
    <row r="671" ht="15.75" customHeight="1">
      <c r="A671" s="1"/>
      <c r="F671" s="203"/>
      <c r="H671" s="1"/>
    </row>
    <row r="672" ht="15.75" customHeight="1">
      <c r="A672" s="1"/>
      <c r="F672" s="203"/>
      <c r="H672" s="1"/>
    </row>
    <row r="673" ht="15.75" customHeight="1">
      <c r="A673" s="1"/>
      <c r="F673" s="203"/>
      <c r="H673" s="1"/>
    </row>
    <row r="674" ht="15.75" customHeight="1">
      <c r="A674" s="1"/>
      <c r="F674" s="203"/>
      <c r="H674" s="1"/>
    </row>
    <row r="675" ht="15.75" customHeight="1">
      <c r="A675" s="1"/>
      <c r="F675" s="203"/>
      <c r="H675" s="1"/>
    </row>
    <row r="676" ht="15.75" customHeight="1">
      <c r="A676" s="1"/>
      <c r="F676" s="203"/>
      <c r="H676" s="1"/>
    </row>
    <row r="677" ht="15.75" customHeight="1">
      <c r="A677" s="1"/>
      <c r="F677" s="203"/>
      <c r="H677" s="1"/>
    </row>
    <row r="678" ht="15.75" customHeight="1">
      <c r="A678" s="1"/>
      <c r="F678" s="203"/>
      <c r="H678" s="1"/>
    </row>
    <row r="679" ht="15.75" customHeight="1">
      <c r="A679" s="1"/>
      <c r="F679" s="203"/>
      <c r="H679" s="1"/>
    </row>
    <row r="680" ht="15.75" customHeight="1">
      <c r="A680" s="1"/>
      <c r="F680" s="203"/>
      <c r="H680" s="1"/>
    </row>
    <row r="681" ht="15.75" customHeight="1">
      <c r="A681" s="1"/>
      <c r="F681" s="203"/>
      <c r="H681" s="1"/>
    </row>
    <row r="682" ht="15.75" customHeight="1">
      <c r="A682" s="1"/>
      <c r="F682" s="203"/>
      <c r="H682" s="1"/>
    </row>
    <row r="683" ht="15.75" customHeight="1">
      <c r="A683" s="1"/>
      <c r="F683" s="203"/>
      <c r="H683" s="1"/>
    </row>
    <row r="684" ht="15.75" customHeight="1">
      <c r="A684" s="1"/>
      <c r="F684" s="203"/>
      <c r="H684" s="1"/>
    </row>
    <row r="685" ht="15.75" customHeight="1">
      <c r="A685" s="1"/>
      <c r="F685" s="203"/>
      <c r="H685" s="1"/>
    </row>
    <row r="686" ht="15.75" customHeight="1">
      <c r="A686" s="1"/>
      <c r="F686" s="203"/>
      <c r="H686" s="1"/>
    </row>
    <row r="687" ht="15.75" customHeight="1">
      <c r="A687" s="1"/>
      <c r="F687" s="203"/>
      <c r="H687" s="1"/>
    </row>
    <row r="688" ht="15.75" customHeight="1">
      <c r="A688" s="1"/>
      <c r="F688" s="203"/>
      <c r="H688" s="1"/>
    </row>
    <row r="689" ht="15.75" customHeight="1">
      <c r="A689" s="1"/>
      <c r="F689" s="203"/>
      <c r="H689" s="1"/>
    </row>
    <row r="690" ht="15.75" customHeight="1">
      <c r="A690" s="1"/>
      <c r="F690" s="203"/>
      <c r="H690" s="1"/>
    </row>
    <row r="691" ht="15.75" customHeight="1">
      <c r="A691" s="1"/>
      <c r="F691" s="203"/>
      <c r="H691" s="1"/>
    </row>
    <row r="692" ht="15.75" customHeight="1">
      <c r="A692" s="1"/>
      <c r="F692" s="203"/>
      <c r="H692" s="1"/>
    </row>
    <row r="693" ht="15.75" customHeight="1">
      <c r="A693" s="1"/>
      <c r="F693" s="203"/>
      <c r="H693" s="1"/>
    </row>
    <row r="694" ht="15.75" customHeight="1">
      <c r="A694" s="1"/>
      <c r="F694" s="203"/>
      <c r="H694" s="1"/>
    </row>
    <row r="695" ht="15.75" customHeight="1">
      <c r="A695" s="1"/>
      <c r="F695" s="203"/>
      <c r="H695" s="1"/>
    </row>
    <row r="696" ht="15.75" customHeight="1">
      <c r="A696" s="1"/>
      <c r="F696" s="203"/>
      <c r="H696" s="1"/>
    </row>
    <row r="697" ht="15.75" customHeight="1">
      <c r="A697" s="1"/>
      <c r="F697" s="203"/>
      <c r="H697" s="1"/>
    </row>
    <row r="698" ht="15.75" customHeight="1">
      <c r="A698" s="1"/>
      <c r="F698" s="203"/>
      <c r="H698" s="1"/>
    </row>
    <row r="699" ht="15.75" customHeight="1">
      <c r="A699" s="1"/>
      <c r="F699" s="203"/>
      <c r="H699" s="1"/>
    </row>
    <row r="700" ht="15.75" customHeight="1">
      <c r="A700" s="1"/>
      <c r="F700" s="203"/>
      <c r="H700" s="1"/>
    </row>
    <row r="701" ht="15.75" customHeight="1">
      <c r="A701" s="1"/>
      <c r="F701" s="203"/>
      <c r="H701" s="1"/>
    </row>
    <row r="702" ht="15.75" customHeight="1">
      <c r="A702" s="1"/>
      <c r="F702" s="203"/>
      <c r="H702" s="1"/>
    </row>
    <row r="703" ht="15.75" customHeight="1">
      <c r="A703" s="1"/>
      <c r="F703" s="203"/>
      <c r="H703" s="1"/>
    </row>
    <row r="704" ht="15.75" customHeight="1">
      <c r="A704" s="1"/>
      <c r="F704" s="203"/>
      <c r="H704" s="1"/>
    </row>
    <row r="705" ht="15.75" customHeight="1">
      <c r="A705" s="1"/>
      <c r="F705" s="203"/>
      <c r="H705" s="1"/>
    </row>
    <row r="706" ht="15.75" customHeight="1">
      <c r="A706" s="1"/>
      <c r="F706" s="203"/>
      <c r="H706" s="1"/>
    </row>
    <row r="707" ht="15.75" customHeight="1">
      <c r="A707" s="1"/>
      <c r="F707" s="203"/>
      <c r="H707" s="1"/>
    </row>
    <row r="708" ht="15.75" customHeight="1">
      <c r="A708" s="1"/>
      <c r="F708" s="203"/>
      <c r="H708" s="1"/>
    </row>
    <row r="709" ht="15.75" customHeight="1">
      <c r="A709" s="1"/>
      <c r="F709" s="203"/>
      <c r="H709" s="1"/>
    </row>
    <row r="710" ht="15.75" customHeight="1">
      <c r="A710" s="1"/>
      <c r="F710" s="203"/>
      <c r="H710" s="1"/>
    </row>
    <row r="711" ht="15.75" customHeight="1">
      <c r="A711" s="1"/>
      <c r="F711" s="203"/>
      <c r="H711" s="1"/>
    </row>
    <row r="712" ht="15.75" customHeight="1">
      <c r="A712" s="1"/>
      <c r="F712" s="203"/>
      <c r="H712" s="1"/>
    </row>
    <row r="713" ht="15.75" customHeight="1">
      <c r="A713" s="1"/>
      <c r="F713" s="203"/>
      <c r="H713" s="1"/>
    </row>
    <row r="714" ht="15.75" customHeight="1">
      <c r="A714" s="1"/>
      <c r="F714" s="203"/>
      <c r="H714" s="1"/>
    </row>
    <row r="715" ht="15.75" customHeight="1">
      <c r="A715" s="1"/>
      <c r="F715" s="203"/>
      <c r="H715" s="1"/>
    </row>
    <row r="716" ht="15.75" customHeight="1">
      <c r="A716" s="1"/>
      <c r="F716" s="203"/>
      <c r="H716" s="1"/>
    </row>
    <row r="717" ht="15.75" customHeight="1">
      <c r="A717" s="1"/>
      <c r="F717" s="203"/>
      <c r="H717" s="1"/>
    </row>
    <row r="718" ht="15.75" customHeight="1">
      <c r="A718" s="1"/>
      <c r="F718" s="203"/>
      <c r="H718" s="1"/>
    </row>
    <row r="719" ht="15.75" customHeight="1">
      <c r="A719" s="1"/>
      <c r="F719" s="203"/>
      <c r="H719" s="1"/>
    </row>
    <row r="720" ht="15.75" customHeight="1">
      <c r="A720" s="1"/>
      <c r="F720" s="203"/>
      <c r="H720" s="1"/>
    </row>
    <row r="721" ht="15.75" customHeight="1">
      <c r="A721" s="1"/>
      <c r="F721" s="203"/>
      <c r="H721" s="1"/>
    </row>
    <row r="722" ht="15.75" customHeight="1">
      <c r="A722" s="1"/>
      <c r="F722" s="203"/>
      <c r="H722" s="1"/>
    </row>
    <row r="723" ht="15.75" customHeight="1">
      <c r="A723" s="1"/>
      <c r="F723" s="203"/>
      <c r="H723" s="1"/>
    </row>
    <row r="724" ht="15.75" customHeight="1">
      <c r="A724" s="1"/>
      <c r="F724" s="203"/>
      <c r="H724" s="1"/>
    </row>
    <row r="725" ht="15.75" customHeight="1">
      <c r="A725" s="1"/>
      <c r="F725" s="203"/>
      <c r="H725" s="1"/>
    </row>
    <row r="726" ht="15.75" customHeight="1">
      <c r="A726" s="1"/>
      <c r="F726" s="203"/>
      <c r="H726" s="1"/>
    </row>
    <row r="727" ht="15.75" customHeight="1">
      <c r="A727" s="1"/>
      <c r="F727" s="203"/>
      <c r="H727" s="1"/>
    </row>
    <row r="728" ht="15.75" customHeight="1">
      <c r="A728" s="1"/>
      <c r="F728" s="203"/>
      <c r="H728" s="1"/>
    </row>
    <row r="729" ht="15.75" customHeight="1">
      <c r="A729" s="1"/>
      <c r="F729" s="203"/>
      <c r="H729" s="1"/>
    </row>
    <row r="730" ht="15.75" customHeight="1">
      <c r="A730" s="1"/>
      <c r="F730" s="203"/>
      <c r="H730" s="1"/>
    </row>
    <row r="731" ht="15.75" customHeight="1">
      <c r="A731" s="1"/>
      <c r="F731" s="203"/>
      <c r="H731" s="1"/>
    </row>
    <row r="732" ht="15.75" customHeight="1">
      <c r="A732" s="1"/>
      <c r="F732" s="203"/>
      <c r="H732" s="1"/>
    </row>
    <row r="733" ht="15.75" customHeight="1">
      <c r="A733" s="1"/>
      <c r="F733" s="203"/>
      <c r="H733" s="1"/>
    </row>
    <row r="734" ht="15.75" customHeight="1">
      <c r="A734" s="1"/>
      <c r="F734" s="203"/>
      <c r="H734" s="1"/>
    </row>
    <row r="735" ht="15.75" customHeight="1">
      <c r="A735" s="1"/>
      <c r="F735" s="203"/>
      <c r="H735" s="1"/>
    </row>
    <row r="736" ht="15.75" customHeight="1">
      <c r="A736" s="1"/>
      <c r="F736" s="203"/>
      <c r="H736" s="1"/>
    </row>
    <row r="737" ht="15.75" customHeight="1">
      <c r="A737" s="1"/>
      <c r="F737" s="203"/>
      <c r="H737" s="1"/>
    </row>
    <row r="738" ht="15.75" customHeight="1">
      <c r="A738" s="1"/>
      <c r="F738" s="203"/>
      <c r="H738" s="1"/>
    </row>
    <row r="739" ht="15.75" customHeight="1">
      <c r="A739" s="1"/>
      <c r="F739" s="203"/>
      <c r="H739" s="1"/>
    </row>
    <row r="740" ht="15.75" customHeight="1">
      <c r="A740" s="1"/>
      <c r="F740" s="203"/>
      <c r="H740" s="1"/>
    </row>
    <row r="741" ht="15.75" customHeight="1">
      <c r="A741" s="1"/>
      <c r="F741" s="203"/>
      <c r="H741" s="1"/>
    </row>
    <row r="742" ht="15.75" customHeight="1">
      <c r="A742" s="1"/>
      <c r="F742" s="203"/>
      <c r="H742" s="1"/>
    </row>
    <row r="743" ht="15.75" customHeight="1">
      <c r="A743" s="1"/>
      <c r="F743" s="203"/>
      <c r="H743" s="1"/>
    </row>
    <row r="744" ht="15.75" customHeight="1">
      <c r="A744" s="1"/>
      <c r="F744" s="203"/>
      <c r="H744" s="1"/>
    </row>
    <row r="745" ht="15.75" customHeight="1">
      <c r="A745" s="1"/>
      <c r="F745" s="203"/>
      <c r="H745" s="1"/>
    </row>
    <row r="746" ht="15.75" customHeight="1">
      <c r="A746" s="1"/>
      <c r="F746" s="203"/>
      <c r="H746" s="1"/>
    </row>
    <row r="747" ht="15.75" customHeight="1">
      <c r="A747" s="1"/>
      <c r="F747" s="203"/>
      <c r="H747" s="1"/>
    </row>
    <row r="748" ht="15.75" customHeight="1">
      <c r="A748" s="1"/>
      <c r="F748" s="203"/>
      <c r="H748" s="1"/>
    </row>
    <row r="749" ht="15.75" customHeight="1">
      <c r="A749" s="1"/>
      <c r="F749" s="203"/>
      <c r="H749" s="1"/>
    </row>
    <row r="750" ht="15.75" customHeight="1">
      <c r="A750" s="1"/>
      <c r="F750" s="203"/>
      <c r="H750" s="1"/>
    </row>
    <row r="751" ht="15.75" customHeight="1">
      <c r="A751" s="1"/>
      <c r="F751" s="203"/>
      <c r="H751" s="1"/>
    </row>
    <row r="752" ht="15.75" customHeight="1">
      <c r="A752" s="1"/>
      <c r="F752" s="203"/>
      <c r="H752" s="1"/>
    </row>
    <row r="753" ht="15.75" customHeight="1">
      <c r="A753" s="1"/>
      <c r="F753" s="203"/>
      <c r="H753" s="1"/>
    </row>
    <row r="754" ht="15.75" customHeight="1">
      <c r="A754" s="1"/>
      <c r="F754" s="203"/>
      <c r="H754" s="1"/>
    </row>
    <row r="755" ht="15.75" customHeight="1">
      <c r="A755" s="1"/>
      <c r="F755" s="203"/>
      <c r="H755" s="1"/>
    </row>
    <row r="756" ht="15.75" customHeight="1">
      <c r="A756" s="1"/>
      <c r="F756" s="203"/>
      <c r="H756" s="1"/>
    </row>
    <row r="757" ht="15.75" customHeight="1">
      <c r="A757" s="1"/>
      <c r="F757" s="203"/>
      <c r="H757" s="1"/>
    </row>
    <row r="758" ht="15.75" customHeight="1">
      <c r="A758" s="1"/>
      <c r="F758" s="203"/>
      <c r="H758" s="1"/>
    </row>
    <row r="759" ht="15.75" customHeight="1">
      <c r="A759" s="1"/>
      <c r="F759" s="203"/>
      <c r="H759" s="1"/>
    </row>
    <row r="760" ht="15.75" customHeight="1">
      <c r="A760" s="1"/>
      <c r="F760" s="203"/>
      <c r="H760" s="1"/>
    </row>
    <row r="761" ht="15.75" customHeight="1">
      <c r="A761" s="1"/>
      <c r="F761" s="203"/>
      <c r="H761" s="1"/>
    </row>
    <row r="762" ht="15.75" customHeight="1">
      <c r="A762" s="1"/>
      <c r="F762" s="203"/>
      <c r="H762" s="1"/>
    </row>
    <row r="763" ht="15.75" customHeight="1">
      <c r="A763" s="1"/>
      <c r="F763" s="203"/>
      <c r="H763" s="1"/>
    </row>
    <row r="764" ht="15.75" customHeight="1">
      <c r="A764" s="1"/>
      <c r="F764" s="203"/>
      <c r="H764" s="1"/>
    </row>
    <row r="765" ht="15.75" customHeight="1">
      <c r="A765" s="1"/>
      <c r="F765" s="203"/>
      <c r="H765" s="1"/>
    </row>
    <row r="766" ht="15.75" customHeight="1">
      <c r="A766" s="1"/>
      <c r="F766" s="203"/>
      <c r="H766" s="1"/>
    </row>
    <row r="767" ht="15.75" customHeight="1">
      <c r="A767" s="1"/>
      <c r="F767" s="203"/>
      <c r="H767" s="1"/>
    </row>
    <row r="768" ht="15.75" customHeight="1">
      <c r="A768" s="1"/>
      <c r="F768" s="203"/>
      <c r="H768" s="1"/>
    </row>
    <row r="769" ht="15.75" customHeight="1">
      <c r="A769" s="1"/>
      <c r="F769" s="203"/>
      <c r="H769" s="1"/>
    </row>
    <row r="770" ht="15.75" customHeight="1">
      <c r="A770" s="1"/>
      <c r="F770" s="203"/>
      <c r="H770" s="1"/>
    </row>
    <row r="771" ht="15.75" customHeight="1">
      <c r="A771" s="1"/>
      <c r="F771" s="203"/>
      <c r="H771" s="1"/>
    </row>
    <row r="772" ht="15.75" customHeight="1">
      <c r="A772" s="1"/>
      <c r="F772" s="203"/>
      <c r="H772" s="1"/>
    </row>
    <row r="773" ht="15.75" customHeight="1">
      <c r="A773" s="1"/>
      <c r="F773" s="203"/>
      <c r="H773" s="1"/>
    </row>
    <row r="774" ht="15.75" customHeight="1">
      <c r="A774" s="1"/>
      <c r="F774" s="203"/>
      <c r="H774" s="1"/>
    </row>
    <row r="775" ht="15.75" customHeight="1">
      <c r="A775" s="1"/>
      <c r="F775" s="203"/>
      <c r="H775" s="1"/>
    </row>
    <row r="776" ht="15.75" customHeight="1">
      <c r="A776" s="1"/>
      <c r="F776" s="203"/>
      <c r="H776" s="1"/>
    </row>
    <row r="777" ht="15.75" customHeight="1">
      <c r="A777" s="1"/>
      <c r="F777" s="203"/>
      <c r="H777" s="1"/>
    </row>
    <row r="778" ht="15.75" customHeight="1">
      <c r="A778" s="1"/>
      <c r="F778" s="203"/>
      <c r="H778" s="1"/>
    </row>
    <row r="779" ht="15.75" customHeight="1">
      <c r="A779" s="1"/>
      <c r="F779" s="203"/>
      <c r="H779" s="1"/>
    </row>
    <row r="780" ht="15.75" customHeight="1">
      <c r="A780" s="1"/>
      <c r="F780" s="203"/>
      <c r="H780" s="1"/>
    </row>
    <row r="781" ht="15.75" customHeight="1">
      <c r="A781" s="1"/>
      <c r="F781" s="203"/>
      <c r="H781" s="1"/>
    </row>
    <row r="782" ht="15.75" customHeight="1">
      <c r="A782" s="1"/>
      <c r="F782" s="203"/>
      <c r="H782" s="1"/>
    </row>
    <row r="783" ht="15.75" customHeight="1">
      <c r="A783" s="1"/>
      <c r="F783" s="203"/>
      <c r="H783" s="1"/>
    </row>
    <row r="784" ht="15.75" customHeight="1">
      <c r="A784" s="1"/>
      <c r="F784" s="203"/>
      <c r="H784" s="1"/>
    </row>
    <row r="785" ht="15.75" customHeight="1">
      <c r="A785" s="1"/>
      <c r="F785" s="203"/>
      <c r="H785" s="1"/>
    </row>
    <row r="786" ht="15.75" customHeight="1">
      <c r="A786" s="1"/>
      <c r="F786" s="203"/>
      <c r="H786" s="1"/>
    </row>
    <row r="787" ht="15.75" customHeight="1">
      <c r="A787" s="1"/>
      <c r="F787" s="203"/>
      <c r="H787" s="1"/>
    </row>
    <row r="788" ht="15.75" customHeight="1">
      <c r="A788" s="1"/>
      <c r="F788" s="203"/>
      <c r="H788" s="1"/>
    </row>
    <row r="789" ht="15.75" customHeight="1">
      <c r="A789" s="1"/>
      <c r="F789" s="203"/>
      <c r="H789" s="1"/>
    </row>
    <row r="790" ht="15.75" customHeight="1">
      <c r="A790" s="1"/>
      <c r="F790" s="203"/>
      <c r="H790" s="1"/>
    </row>
    <row r="791" ht="15.75" customHeight="1">
      <c r="A791" s="1"/>
      <c r="F791" s="203"/>
      <c r="H791" s="1"/>
    </row>
    <row r="792" ht="15.75" customHeight="1">
      <c r="A792" s="1"/>
      <c r="F792" s="203"/>
      <c r="H792" s="1"/>
    </row>
    <row r="793" ht="15.75" customHeight="1">
      <c r="A793" s="1"/>
      <c r="F793" s="203"/>
      <c r="H793" s="1"/>
    </row>
    <row r="794" ht="15.75" customHeight="1">
      <c r="A794" s="1"/>
      <c r="F794" s="203"/>
      <c r="H794" s="1"/>
    </row>
    <row r="795" ht="15.75" customHeight="1">
      <c r="A795" s="1"/>
      <c r="F795" s="203"/>
      <c r="H795" s="1"/>
    </row>
    <row r="796" ht="15.75" customHeight="1">
      <c r="A796" s="1"/>
      <c r="F796" s="203"/>
      <c r="H796" s="1"/>
    </row>
    <row r="797" ht="15.75" customHeight="1">
      <c r="A797" s="1"/>
      <c r="F797" s="203"/>
      <c r="H797" s="1"/>
    </row>
    <row r="798" ht="15.75" customHeight="1">
      <c r="A798" s="1"/>
      <c r="F798" s="203"/>
      <c r="H798" s="1"/>
    </row>
    <row r="799" ht="15.75" customHeight="1">
      <c r="A799" s="1"/>
      <c r="F799" s="203"/>
      <c r="H799" s="1"/>
    </row>
    <row r="800" ht="15.75" customHeight="1">
      <c r="A800" s="1"/>
      <c r="F800" s="203"/>
      <c r="H800" s="1"/>
    </row>
    <row r="801" ht="15.75" customHeight="1">
      <c r="A801" s="1"/>
      <c r="F801" s="203"/>
      <c r="H801" s="1"/>
    </row>
    <row r="802" ht="15.75" customHeight="1">
      <c r="A802" s="1"/>
      <c r="F802" s="203"/>
      <c r="H802" s="1"/>
    </row>
    <row r="803" ht="15.75" customHeight="1">
      <c r="A803" s="1"/>
      <c r="F803" s="203"/>
      <c r="H803" s="1"/>
    </row>
    <row r="804" ht="15.75" customHeight="1">
      <c r="A804" s="1"/>
      <c r="F804" s="203"/>
      <c r="H804" s="1"/>
    </row>
    <row r="805" ht="15.75" customHeight="1">
      <c r="A805" s="1"/>
      <c r="F805" s="203"/>
      <c r="H805" s="1"/>
    </row>
    <row r="806" ht="15.75" customHeight="1">
      <c r="A806" s="1"/>
      <c r="F806" s="203"/>
      <c r="H806" s="1"/>
    </row>
    <row r="807" ht="15.75" customHeight="1">
      <c r="A807" s="1"/>
      <c r="F807" s="203"/>
      <c r="H807" s="1"/>
    </row>
    <row r="808" ht="15.75" customHeight="1">
      <c r="A808" s="1"/>
      <c r="F808" s="203"/>
      <c r="H808" s="1"/>
    </row>
    <row r="809" ht="15.75" customHeight="1">
      <c r="A809" s="1"/>
      <c r="F809" s="203"/>
      <c r="H809" s="1"/>
    </row>
    <row r="810" ht="15.75" customHeight="1">
      <c r="A810" s="1"/>
      <c r="F810" s="203"/>
      <c r="H810" s="1"/>
    </row>
    <row r="811" ht="15.75" customHeight="1">
      <c r="A811" s="1"/>
      <c r="F811" s="203"/>
      <c r="H811" s="1"/>
    </row>
    <row r="812" ht="15.75" customHeight="1">
      <c r="A812" s="1"/>
      <c r="F812" s="203"/>
      <c r="H812" s="1"/>
    </row>
    <row r="813" ht="15.75" customHeight="1">
      <c r="A813" s="1"/>
      <c r="F813" s="203"/>
      <c r="H813" s="1"/>
    </row>
    <row r="814" ht="15.75" customHeight="1">
      <c r="A814" s="1"/>
      <c r="F814" s="203"/>
      <c r="H814" s="1"/>
    </row>
    <row r="815" ht="15.75" customHeight="1">
      <c r="A815" s="1"/>
      <c r="F815" s="203"/>
      <c r="H815" s="1"/>
    </row>
    <row r="816" ht="15.75" customHeight="1">
      <c r="A816" s="1"/>
      <c r="F816" s="203"/>
      <c r="H816" s="1"/>
    </row>
    <row r="817" ht="15.75" customHeight="1">
      <c r="A817" s="1"/>
      <c r="F817" s="203"/>
      <c r="H817" s="1"/>
    </row>
    <row r="818" ht="15.75" customHeight="1">
      <c r="A818" s="1"/>
      <c r="F818" s="203"/>
      <c r="H818" s="1"/>
    </row>
    <row r="819" ht="15.75" customHeight="1">
      <c r="A819" s="1"/>
      <c r="F819" s="203"/>
      <c r="H819" s="1"/>
    </row>
    <row r="820" ht="15.75" customHeight="1">
      <c r="A820" s="1"/>
      <c r="F820" s="203"/>
      <c r="H820" s="1"/>
    </row>
    <row r="821" ht="15.75" customHeight="1">
      <c r="A821" s="1"/>
      <c r="F821" s="203"/>
      <c r="H821" s="1"/>
    </row>
    <row r="822" ht="15.75" customHeight="1">
      <c r="A822" s="1"/>
      <c r="F822" s="203"/>
      <c r="H822" s="1"/>
    </row>
    <row r="823" ht="15.75" customHeight="1">
      <c r="A823" s="1"/>
      <c r="F823" s="203"/>
      <c r="H823" s="1"/>
    </row>
    <row r="824" ht="15.75" customHeight="1">
      <c r="A824" s="1"/>
      <c r="F824" s="203"/>
      <c r="H824" s="1"/>
    </row>
    <row r="825" ht="15.75" customHeight="1">
      <c r="A825" s="1"/>
      <c r="F825" s="203"/>
      <c r="H825" s="1"/>
    </row>
    <row r="826" ht="15.75" customHeight="1">
      <c r="A826" s="1"/>
      <c r="F826" s="203"/>
      <c r="H826" s="1"/>
    </row>
    <row r="827" ht="15.75" customHeight="1">
      <c r="A827" s="1"/>
      <c r="F827" s="203"/>
      <c r="H827" s="1"/>
    </row>
    <row r="828" ht="15.75" customHeight="1">
      <c r="A828" s="1"/>
      <c r="F828" s="203"/>
      <c r="H828" s="1"/>
    </row>
    <row r="829" ht="15.75" customHeight="1">
      <c r="A829" s="1"/>
      <c r="F829" s="203"/>
      <c r="H829" s="1"/>
    </row>
    <row r="830" ht="15.75" customHeight="1">
      <c r="A830" s="1"/>
      <c r="F830" s="203"/>
      <c r="H830" s="1"/>
    </row>
    <row r="831" ht="15.75" customHeight="1">
      <c r="A831" s="1"/>
      <c r="F831" s="203"/>
      <c r="H831" s="1"/>
    </row>
    <row r="832" ht="15.75" customHeight="1">
      <c r="A832" s="1"/>
      <c r="F832" s="203"/>
      <c r="H832" s="1"/>
    </row>
    <row r="833" ht="15.75" customHeight="1">
      <c r="A833" s="1"/>
      <c r="F833" s="203"/>
      <c r="H833" s="1"/>
    </row>
    <row r="834" ht="15.75" customHeight="1">
      <c r="A834" s="1"/>
      <c r="F834" s="203"/>
      <c r="H834" s="1"/>
    </row>
    <row r="835" ht="15.75" customHeight="1">
      <c r="A835" s="1"/>
      <c r="F835" s="203"/>
      <c r="H835" s="1"/>
    </row>
    <row r="836" ht="15.75" customHeight="1">
      <c r="A836" s="1"/>
      <c r="F836" s="203"/>
      <c r="H836" s="1"/>
    </row>
    <row r="837" ht="15.75" customHeight="1">
      <c r="A837" s="1"/>
      <c r="F837" s="203"/>
      <c r="H837" s="1"/>
    </row>
    <row r="838" ht="15.75" customHeight="1">
      <c r="A838" s="1"/>
      <c r="F838" s="203"/>
      <c r="H838" s="1"/>
    </row>
    <row r="839" ht="15.75" customHeight="1">
      <c r="A839" s="1"/>
      <c r="F839" s="203"/>
      <c r="H839" s="1"/>
    </row>
    <row r="840" ht="15.75" customHeight="1">
      <c r="A840" s="1"/>
      <c r="F840" s="203"/>
      <c r="H840" s="1"/>
    </row>
    <row r="841" ht="15.75" customHeight="1">
      <c r="A841" s="1"/>
      <c r="F841" s="203"/>
      <c r="H841" s="1"/>
    </row>
    <row r="842" ht="15.75" customHeight="1">
      <c r="A842" s="1"/>
      <c r="F842" s="203"/>
      <c r="H842" s="1"/>
    </row>
    <row r="843" ht="15.75" customHeight="1">
      <c r="A843" s="1"/>
      <c r="F843" s="203"/>
      <c r="H843" s="1"/>
    </row>
    <row r="844" ht="15.75" customHeight="1">
      <c r="A844" s="1"/>
      <c r="F844" s="203"/>
      <c r="H844" s="1"/>
    </row>
    <row r="845" ht="15.75" customHeight="1">
      <c r="A845" s="1"/>
      <c r="F845" s="203"/>
      <c r="H845" s="1"/>
    </row>
    <row r="846" ht="15.75" customHeight="1">
      <c r="A846" s="1"/>
      <c r="F846" s="203"/>
      <c r="H846" s="1"/>
    </row>
    <row r="847" ht="15.75" customHeight="1">
      <c r="A847" s="1"/>
      <c r="F847" s="203"/>
      <c r="H847" s="1"/>
    </row>
    <row r="848" ht="15.75" customHeight="1">
      <c r="A848" s="1"/>
      <c r="F848" s="203"/>
      <c r="H848" s="1"/>
    </row>
    <row r="849" ht="15.75" customHeight="1">
      <c r="A849" s="1"/>
      <c r="F849" s="203"/>
      <c r="H849" s="1"/>
    </row>
    <row r="850" ht="15.75" customHeight="1">
      <c r="A850" s="1"/>
      <c r="F850" s="203"/>
      <c r="H850" s="1"/>
    </row>
    <row r="851" ht="15.75" customHeight="1">
      <c r="A851" s="1"/>
      <c r="F851" s="203"/>
      <c r="H851" s="1"/>
    </row>
    <row r="852" ht="15.75" customHeight="1">
      <c r="A852" s="1"/>
      <c r="F852" s="203"/>
      <c r="H852" s="1"/>
    </row>
    <row r="853" ht="15.75" customHeight="1">
      <c r="A853" s="1"/>
      <c r="F853" s="203"/>
      <c r="H853" s="1"/>
    </row>
    <row r="854" ht="15.75" customHeight="1">
      <c r="A854" s="1"/>
      <c r="F854" s="203"/>
      <c r="H854" s="1"/>
    </row>
    <row r="855" ht="15.75" customHeight="1">
      <c r="A855" s="1"/>
      <c r="F855" s="203"/>
      <c r="H855" s="1"/>
    </row>
    <row r="856" ht="15.75" customHeight="1">
      <c r="A856" s="1"/>
      <c r="F856" s="203"/>
      <c r="H856" s="1"/>
    </row>
    <row r="857" ht="15.75" customHeight="1">
      <c r="A857" s="1"/>
      <c r="F857" s="203"/>
      <c r="H857" s="1"/>
    </row>
    <row r="858" ht="15.75" customHeight="1">
      <c r="A858" s="1"/>
      <c r="F858" s="203"/>
      <c r="H858" s="1"/>
    </row>
    <row r="859" ht="15.75" customHeight="1">
      <c r="A859" s="1"/>
      <c r="F859" s="203"/>
      <c r="H859" s="1"/>
    </row>
    <row r="860" ht="15.75" customHeight="1">
      <c r="A860" s="1"/>
      <c r="F860" s="203"/>
      <c r="H860" s="1"/>
    </row>
    <row r="861" ht="15.75" customHeight="1">
      <c r="A861" s="1"/>
      <c r="F861" s="203"/>
      <c r="H861" s="1"/>
    </row>
    <row r="862" ht="15.75" customHeight="1">
      <c r="A862" s="1"/>
      <c r="F862" s="203"/>
      <c r="H862" s="1"/>
    </row>
    <row r="863" ht="15.75" customHeight="1">
      <c r="A863" s="1"/>
      <c r="F863" s="203"/>
      <c r="H863" s="1"/>
    </row>
    <row r="864" ht="15.75" customHeight="1">
      <c r="A864" s="1"/>
      <c r="F864" s="203"/>
      <c r="H864" s="1"/>
    </row>
    <row r="865" ht="15.75" customHeight="1">
      <c r="A865" s="1"/>
      <c r="F865" s="203"/>
      <c r="H865" s="1"/>
    </row>
    <row r="866" ht="15.75" customHeight="1">
      <c r="A866" s="1"/>
      <c r="F866" s="203"/>
      <c r="H866" s="1"/>
    </row>
    <row r="867" ht="15.75" customHeight="1">
      <c r="A867" s="1"/>
      <c r="F867" s="203"/>
      <c r="H867" s="1"/>
    </row>
    <row r="868" ht="15.75" customHeight="1">
      <c r="A868" s="1"/>
      <c r="F868" s="203"/>
      <c r="H868" s="1"/>
    </row>
    <row r="869" ht="15.75" customHeight="1">
      <c r="A869" s="1"/>
      <c r="F869" s="203"/>
      <c r="H869" s="1"/>
    </row>
    <row r="870" ht="15.75" customHeight="1">
      <c r="A870" s="1"/>
      <c r="F870" s="203"/>
      <c r="H870" s="1"/>
    </row>
    <row r="871" ht="15.75" customHeight="1">
      <c r="A871" s="1"/>
      <c r="F871" s="203"/>
      <c r="H871" s="1"/>
    </row>
    <row r="872" ht="15.75" customHeight="1">
      <c r="A872" s="1"/>
      <c r="F872" s="203"/>
      <c r="H872" s="1"/>
    </row>
    <row r="873" ht="15.75" customHeight="1">
      <c r="A873" s="1"/>
      <c r="F873" s="203"/>
      <c r="H873" s="1"/>
    </row>
    <row r="874" ht="15.75" customHeight="1">
      <c r="A874" s="1"/>
      <c r="F874" s="203"/>
      <c r="H874" s="1"/>
    </row>
    <row r="875" ht="15.75" customHeight="1">
      <c r="A875" s="1"/>
      <c r="F875" s="203"/>
      <c r="H875" s="1"/>
    </row>
    <row r="876" ht="15.75" customHeight="1">
      <c r="A876" s="1"/>
      <c r="F876" s="203"/>
      <c r="H876" s="1"/>
    </row>
    <row r="877" ht="15.75" customHeight="1">
      <c r="A877" s="1"/>
      <c r="F877" s="203"/>
      <c r="H877" s="1"/>
    </row>
    <row r="878" ht="15.75" customHeight="1">
      <c r="A878" s="1"/>
      <c r="F878" s="203"/>
      <c r="H878" s="1"/>
    </row>
    <row r="879" ht="15.75" customHeight="1">
      <c r="A879" s="1"/>
      <c r="F879" s="203"/>
      <c r="H879" s="1"/>
    </row>
    <row r="880" ht="15.75" customHeight="1">
      <c r="A880" s="1"/>
      <c r="F880" s="203"/>
      <c r="H880" s="1"/>
    </row>
    <row r="881" ht="15.75" customHeight="1">
      <c r="A881" s="1"/>
      <c r="F881" s="203"/>
      <c r="H881" s="1"/>
    </row>
    <row r="882" ht="15.75" customHeight="1">
      <c r="A882" s="1"/>
      <c r="F882" s="203"/>
      <c r="H882" s="1"/>
    </row>
    <row r="883" ht="15.75" customHeight="1">
      <c r="A883" s="1"/>
      <c r="F883" s="203"/>
      <c r="H883" s="1"/>
    </row>
    <row r="884" ht="15.75" customHeight="1">
      <c r="A884" s="1"/>
      <c r="F884" s="203"/>
      <c r="H884" s="1"/>
    </row>
    <row r="885" ht="15.75" customHeight="1">
      <c r="A885" s="1"/>
      <c r="F885" s="203"/>
      <c r="H885" s="1"/>
    </row>
    <row r="886" ht="15.75" customHeight="1">
      <c r="A886" s="1"/>
      <c r="F886" s="203"/>
      <c r="H886" s="1"/>
    </row>
    <row r="887" ht="15.75" customHeight="1">
      <c r="A887" s="1"/>
      <c r="F887" s="203"/>
      <c r="H887" s="1"/>
    </row>
    <row r="888" ht="15.75" customHeight="1">
      <c r="A888" s="1"/>
      <c r="F888" s="203"/>
      <c r="H888" s="1"/>
    </row>
    <row r="889" ht="15.75" customHeight="1">
      <c r="A889" s="1"/>
      <c r="F889" s="203"/>
      <c r="H889" s="1"/>
    </row>
    <row r="890" ht="15.75" customHeight="1">
      <c r="A890" s="1"/>
      <c r="F890" s="203"/>
      <c r="H890" s="1"/>
    </row>
    <row r="891" ht="15.75" customHeight="1">
      <c r="A891" s="1"/>
      <c r="F891" s="203"/>
      <c r="H891" s="1"/>
    </row>
    <row r="892" ht="15.75" customHeight="1">
      <c r="A892" s="1"/>
      <c r="F892" s="203"/>
      <c r="H892" s="1"/>
    </row>
    <row r="893" ht="15.75" customHeight="1">
      <c r="A893" s="1"/>
      <c r="F893" s="203"/>
      <c r="H893" s="1"/>
    </row>
    <row r="894" ht="15.75" customHeight="1">
      <c r="A894" s="1"/>
      <c r="F894" s="203"/>
      <c r="H894" s="1"/>
    </row>
    <row r="895" ht="15.75" customHeight="1">
      <c r="A895" s="1"/>
      <c r="F895" s="203"/>
      <c r="H895" s="1"/>
    </row>
    <row r="896" ht="15.75" customHeight="1">
      <c r="A896" s="1"/>
      <c r="F896" s="203"/>
      <c r="H896" s="1"/>
    </row>
    <row r="897" ht="15.75" customHeight="1">
      <c r="A897" s="1"/>
      <c r="F897" s="203"/>
      <c r="H897" s="1"/>
    </row>
    <row r="898" ht="15.75" customHeight="1">
      <c r="A898" s="1"/>
      <c r="F898" s="203"/>
      <c r="H898" s="1"/>
    </row>
    <row r="899" ht="15.75" customHeight="1">
      <c r="A899" s="1"/>
      <c r="F899" s="203"/>
      <c r="H899" s="1"/>
    </row>
    <row r="900" ht="15.75" customHeight="1">
      <c r="A900" s="1"/>
      <c r="F900" s="203"/>
      <c r="H900" s="1"/>
    </row>
    <row r="901" ht="15.75" customHeight="1">
      <c r="A901" s="1"/>
      <c r="F901" s="203"/>
      <c r="H901" s="1"/>
    </row>
    <row r="902" ht="15.75" customHeight="1">
      <c r="A902" s="1"/>
      <c r="F902" s="203"/>
      <c r="H902" s="1"/>
    </row>
    <row r="903" ht="15.75" customHeight="1">
      <c r="A903" s="1"/>
      <c r="F903" s="203"/>
      <c r="H903" s="1"/>
    </row>
    <row r="904" ht="15.75" customHeight="1">
      <c r="A904" s="1"/>
      <c r="F904" s="203"/>
      <c r="H904" s="1"/>
    </row>
    <row r="905" ht="15.75" customHeight="1">
      <c r="A905" s="1"/>
      <c r="F905" s="203"/>
      <c r="H905" s="1"/>
    </row>
    <row r="906" ht="15.75" customHeight="1">
      <c r="A906" s="1"/>
      <c r="F906" s="203"/>
      <c r="H906" s="1"/>
    </row>
    <row r="907" ht="15.75" customHeight="1">
      <c r="A907" s="1"/>
      <c r="F907" s="203"/>
      <c r="H907" s="1"/>
    </row>
    <row r="908" ht="15.75" customHeight="1">
      <c r="A908" s="1"/>
      <c r="F908" s="203"/>
      <c r="H908" s="1"/>
    </row>
    <row r="909" ht="15.75" customHeight="1">
      <c r="A909" s="1"/>
      <c r="F909" s="203"/>
      <c r="H909" s="1"/>
    </row>
    <row r="910" ht="15.75" customHeight="1">
      <c r="A910" s="1"/>
      <c r="F910" s="203"/>
      <c r="H910" s="1"/>
    </row>
    <row r="911" ht="15.75" customHeight="1">
      <c r="A911" s="1"/>
      <c r="F911" s="203"/>
      <c r="H911" s="1"/>
    </row>
    <row r="912" ht="15.75" customHeight="1">
      <c r="A912" s="1"/>
      <c r="F912" s="203"/>
      <c r="H912" s="1"/>
    </row>
    <row r="913" ht="15.75" customHeight="1">
      <c r="A913" s="1"/>
      <c r="F913" s="203"/>
      <c r="H913" s="1"/>
    </row>
    <row r="914" ht="15.75" customHeight="1">
      <c r="A914" s="1"/>
      <c r="F914" s="203"/>
      <c r="H914" s="1"/>
    </row>
    <row r="915" ht="15.75" customHeight="1">
      <c r="A915" s="1"/>
      <c r="F915" s="203"/>
      <c r="H915" s="1"/>
    </row>
    <row r="916" ht="15.75" customHeight="1">
      <c r="A916" s="1"/>
      <c r="F916" s="203"/>
      <c r="H916" s="1"/>
    </row>
    <row r="917" ht="15.75" customHeight="1">
      <c r="A917" s="1"/>
      <c r="F917" s="203"/>
      <c r="H917" s="1"/>
    </row>
    <row r="918" ht="15.75" customHeight="1">
      <c r="A918" s="1"/>
      <c r="F918" s="203"/>
      <c r="H918" s="1"/>
    </row>
    <row r="919" ht="15.75" customHeight="1">
      <c r="A919" s="1"/>
      <c r="F919" s="203"/>
      <c r="H919" s="1"/>
    </row>
    <row r="920" ht="15.75" customHeight="1">
      <c r="A920" s="1"/>
      <c r="F920" s="203"/>
      <c r="H920" s="1"/>
    </row>
    <row r="921" ht="15.75" customHeight="1">
      <c r="A921" s="1"/>
      <c r="F921" s="203"/>
      <c r="H921" s="1"/>
    </row>
    <row r="922" ht="15.75" customHeight="1">
      <c r="A922" s="1"/>
      <c r="F922" s="203"/>
      <c r="H922" s="1"/>
    </row>
    <row r="923" ht="15.75" customHeight="1">
      <c r="A923" s="1"/>
      <c r="F923" s="203"/>
      <c r="H923" s="1"/>
    </row>
    <row r="924" ht="15.75" customHeight="1">
      <c r="A924" s="1"/>
      <c r="F924" s="203"/>
      <c r="H924" s="1"/>
    </row>
    <row r="925" ht="15.75" customHeight="1">
      <c r="A925" s="1"/>
      <c r="F925" s="203"/>
      <c r="H925" s="1"/>
    </row>
    <row r="926" ht="15.75" customHeight="1">
      <c r="A926" s="1"/>
      <c r="F926" s="203"/>
      <c r="H926" s="1"/>
    </row>
    <row r="927" ht="15.75" customHeight="1">
      <c r="A927" s="1"/>
      <c r="F927" s="203"/>
      <c r="H927" s="1"/>
    </row>
    <row r="928" ht="15.75" customHeight="1">
      <c r="A928" s="1"/>
      <c r="F928" s="203"/>
      <c r="H928" s="1"/>
    </row>
    <row r="929" ht="15.75" customHeight="1">
      <c r="A929" s="1"/>
      <c r="F929" s="203"/>
      <c r="H929" s="1"/>
    </row>
    <row r="930" ht="15.75" customHeight="1">
      <c r="A930" s="1"/>
      <c r="F930" s="203"/>
      <c r="H930" s="1"/>
    </row>
    <row r="931" ht="15.75" customHeight="1">
      <c r="A931" s="1"/>
      <c r="F931" s="203"/>
      <c r="H931" s="1"/>
    </row>
    <row r="932" ht="15.75" customHeight="1">
      <c r="A932" s="1"/>
      <c r="F932" s="203"/>
      <c r="H932" s="1"/>
    </row>
    <row r="933" ht="15.75" customHeight="1">
      <c r="A933" s="1"/>
      <c r="F933" s="203"/>
      <c r="H933" s="1"/>
    </row>
    <row r="934" ht="15.75" customHeight="1">
      <c r="A934" s="1"/>
      <c r="F934" s="203"/>
      <c r="H934" s="1"/>
    </row>
    <row r="935" ht="15.75" customHeight="1">
      <c r="A935" s="1"/>
      <c r="F935" s="203"/>
      <c r="H935" s="1"/>
    </row>
    <row r="936" ht="15.75" customHeight="1">
      <c r="A936" s="1"/>
      <c r="F936" s="203"/>
      <c r="H936" s="1"/>
    </row>
    <row r="937" ht="15.75" customHeight="1">
      <c r="A937" s="1"/>
      <c r="F937" s="203"/>
      <c r="H937" s="1"/>
    </row>
    <row r="938" ht="15.75" customHeight="1">
      <c r="A938" s="1"/>
      <c r="F938" s="203"/>
      <c r="H938" s="1"/>
    </row>
    <row r="939" ht="15.75" customHeight="1">
      <c r="A939" s="1"/>
      <c r="F939" s="203"/>
      <c r="H939" s="1"/>
    </row>
    <row r="940" ht="15.75" customHeight="1">
      <c r="A940" s="1"/>
      <c r="F940" s="203"/>
      <c r="H940" s="1"/>
    </row>
    <row r="941" ht="15.75" customHeight="1">
      <c r="A941" s="1"/>
      <c r="F941" s="203"/>
      <c r="H941" s="1"/>
    </row>
    <row r="942" ht="15.75" customHeight="1">
      <c r="A942" s="1"/>
      <c r="F942" s="203"/>
      <c r="H942" s="1"/>
    </row>
    <row r="943" ht="15.75" customHeight="1">
      <c r="A943" s="1"/>
      <c r="F943" s="203"/>
      <c r="H943" s="1"/>
    </row>
    <row r="944" ht="15.75" customHeight="1">
      <c r="A944" s="1"/>
      <c r="F944" s="203"/>
      <c r="H944" s="1"/>
    </row>
    <row r="945" ht="15.75" customHeight="1">
      <c r="A945" s="1"/>
      <c r="F945" s="203"/>
      <c r="H945" s="1"/>
    </row>
    <row r="946" ht="15.75" customHeight="1">
      <c r="A946" s="1"/>
      <c r="F946" s="203"/>
      <c r="H946" s="1"/>
    </row>
    <row r="947" ht="15.75" customHeight="1">
      <c r="A947" s="1"/>
      <c r="F947" s="203"/>
      <c r="H947" s="1"/>
    </row>
    <row r="948" ht="15.75" customHeight="1">
      <c r="A948" s="1"/>
      <c r="F948" s="203"/>
      <c r="H948" s="1"/>
    </row>
    <row r="949" ht="15.75" customHeight="1">
      <c r="A949" s="1"/>
      <c r="F949" s="203"/>
      <c r="H949" s="1"/>
    </row>
    <row r="950" ht="15.75" customHeight="1">
      <c r="A950" s="1"/>
      <c r="F950" s="203"/>
      <c r="H950" s="1"/>
    </row>
    <row r="951" ht="15.75" customHeight="1">
      <c r="A951" s="1"/>
      <c r="F951" s="203"/>
      <c r="H951" s="1"/>
    </row>
    <row r="952" ht="15.75" customHeight="1">
      <c r="A952" s="1"/>
      <c r="F952" s="203"/>
      <c r="H952" s="1"/>
    </row>
    <row r="953" ht="15.75" customHeight="1">
      <c r="A953" s="1"/>
      <c r="F953" s="203"/>
      <c r="H953" s="1"/>
    </row>
    <row r="954" ht="15.75" customHeight="1">
      <c r="A954" s="1"/>
      <c r="F954" s="203"/>
      <c r="H954" s="1"/>
    </row>
    <row r="955" ht="15.75" customHeight="1">
      <c r="A955" s="1"/>
      <c r="F955" s="203"/>
      <c r="H955" s="1"/>
    </row>
    <row r="956" ht="15.75" customHeight="1">
      <c r="A956" s="1"/>
      <c r="F956" s="203"/>
      <c r="H956" s="1"/>
    </row>
    <row r="957" ht="15.75" customHeight="1">
      <c r="A957" s="1"/>
      <c r="F957" s="203"/>
      <c r="H957" s="1"/>
    </row>
    <row r="958" ht="15.75" customHeight="1">
      <c r="A958" s="1"/>
      <c r="F958" s="203"/>
      <c r="H958" s="1"/>
    </row>
    <row r="959" ht="15.75" customHeight="1">
      <c r="A959" s="1"/>
      <c r="F959" s="203"/>
      <c r="H959" s="1"/>
    </row>
    <row r="960" ht="15.75" customHeight="1">
      <c r="A960" s="1"/>
      <c r="F960" s="203"/>
      <c r="H960" s="1"/>
    </row>
    <row r="961" ht="15.75" customHeight="1">
      <c r="A961" s="1"/>
      <c r="F961" s="203"/>
      <c r="H961" s="1"/>
    </row>
    <row r="962" ht="15.75" customHeight="1">
      <c r="A962" s="1"/>
      <c r="F962" s="203"/>
      <c r="H962" s="1"/>
    </row>
    <row r="963" ht="15.75" customHeight="1">
      <c r="A963" s="1"/>
      <c r="F963" s="203"/>
      <c r="H963" s="1"/>
    </row>
    <row r="964" ht="15.75" customHeight="1">
      <c r="A964" s="1"/>
      <c r="F964" s="203"/>
      <c r="H964" s="1"/>
    </row>
    <row r="965" ht="15.75" customHeight="1">
      <c r="A965" s="1"/>
      <c r="F965" s="203"/>
      <c r="H965" s="1"/>
    </row>
    <row r="966" ht="15.75" customHeight="1">
      <c r="A966" s="1"/>
      <c r="F966" s="203"/>
      <c r="H966" s="1"/>
    </row>
    <row r="967" ht="15.75" customHeight="1">
      <c r="A967" s="1"/>
      <c r="F967" s="203"/>
      <c r="H967" s="1"/>
    </row>
    <row r="968" ht="15.75" customHeight="1">
      <c r="A968" s="1"/>
      <c r="F968" s="203"/>
      <c r="H968" s="1"/>
    </row>
    <row r="969" ht="15.75" customHeight="1">
      <c r="A969" s="1"/>
      <c r="F969" s="203"/>
      <c r="H969" s="1"/>
    </row>
    <row r="970" ht="15.75" customHeight="1">
      <c r="A970" s="1"/>
      <c r="F970" s="203"/>
      <c r="H970" s="1"/>
    </row>
    <row r="971" ht="15.75" customHeight="1">
      <c r="A971" s="1"/>
      <c r="F971" s="203"/>
      <c r="H971" s="1"/>
    </row>
    <row r="972" ht="15.75" customHeight="1">
      <c r="A972" s="1"/>
      <c r="F972" s="203"/>
      <c r="H972" s="1"/>
    </row>
    <row r="973" ht="15.75" customHeight="1">
      <c r="A973" s="1"/>
      <c r="F973" s="203"/>
      <c r="H973" s="1"/>
    </row>
    <row r="974" ht="15.75" customHeight="1">
      <c r="A974" s="1"/>
      <c r="F974" s="203"/>
      <c r="H974" s="1"/>
    </row>
    <row r="975" ht="15.75" customHeight="1">
      <c r="A975" s="1"/>
      <c r="F975" s="203"/>
      <c r="H975" s="1"/>
    </row>
    <row r="976" ht="15.75" customHeight="1">
      <c r="A976" s="1"/>
      <c r="F976" s="203"/>
      <c r="H976" s="1"/>
    </row>
    <row r="977" ht="15.75" customHeight="1">
      <c r="A977" s="1"/>
      <c r="F977" s="203"/>
      <c r="H977" s="1"/>
    </row>
    <row r="978" ht="15.75" customHeight="1">
      <c r="A978" s="1"/>
      <c r="F978" s="203"/>
      <c r="H978" s="1"/>
    </row>
    <row r="979" ht="15.75" customHeight="1">
      <c r="A979" s="1"/>
      <c r="F979" s="203"/>
      <c r="H979" s="1"/>
    </row>
    <row r="980" ht="15.75" customHeight="1">
      <c r="A980" s="1"/>
      <c r="F980" s="203"/>
      <c r="H980" s="1"/>
    </row>
    <row r="981" ht="15.75" customHeight="1">
      <c r="A981" s="1"/>
      <c r="F981" s="203"/>
      <c r="H981" s="1"/>
    </row>
    <row r="982" ht="15.75" customHeight="1">
      <c r="A982" s="1"/>
      <c r="F982" s="203"/>
      <c r="H982" s="1"/>
    </row>
    <row r="983" ht="15.75" customHeight="1">
      <c r="A983" s="1"/>
      <c r="F983" s="203"/>
      <c r="H983" s="1"/>
    </row>
    <row r="984" ht="15.75" customHeight="1">
      <c r="A984" s="1"/>
      <c r="F984" s="203"/>
      <c r="H984" s="1"/>
    </row>
    <row r="985" ht="15.75" customHeight="1">
      <c r="A985" s="1"/>
      <c r="F985" s="203"/>
      <c r="H985" s="1"/>
    </row>
    <row r="986" ht="15.75" customHeight="1">
      <c r="A986" s="1"/>
      <c r="F986" s="203"/>
      <c r="H986" s="1"/>
    </row>
    <row r="987" ht="15.75" customHeight="1">
      <c r="A987" s="1"/>
      <c r="F987" s="203"/>
      <c r="H987" s="1"/>
    </row>
    <row r="988" ht="15.75" customHeight="1">
      <c r="A988" s="1"/>
      <c r="F988" s="203"/>
      <c r="H988" s="1"/>
    </row>
    <row r="989" ht="15.75" customHeight="1">
      <c r="A989" s="1"/>
      <c r="F989" s="203"/>
      <c r="H989" s="1"/>
    </row>
    <row r="990" ht="15.75" customHeight="1">
      <c r="A990" s="1"/>
      <c r="F990" s="203"/>
      <c r="H990" s="1"/>
    </row>
    <row r="991" ht="15.75" customHeight="1">
      <c r="A991" s="1"/>
      <c r="F991" s="203"/>
      <c r="H991" s="1"/>
    </row>
    <row r="992" ht="15.75" customHeight="1">
      <c r="A992" s="1"/>
      <c r="F992" s="203"/>
      <c r="H992" s="1"/>
    </row>
    <row r="993" ht="15.75" customHeight="1">
      <c r="A993" s="1"/>
      <c r="F993" s="203"/>
      <c r="H993" s="1"/>
    </row>
    <row r="994" ht="15.75" customHeight="1">
      <c r="A994" s="1"/>
      <c r="F994" s="203"/>
      <c r="H994" s="1"/>
    </row>
    <row r="995" ht="15.75" customHeight="1">
      <c r="A995" s="1"/>
      <c r="F995" s="203"/>
      <c r="H995" s="1"/>
    </row>
    <row r="996" ht="15.75" customHeight="1">
      <c r="A996" s="1"/>
      <c r="F996" s="203"/>
      <c r="H996" s="1"/>
    </row>
    <row r="997" ht="15.75" customHeight="1">
      <c r="A997" s="1"/>
      <c r="F997" s="203"/>
      <c r="H997" s="1"/>
    </row>
  </sheetData>
  <conditionalFormatting sqref="F3:G4 F7:G16">
    <cfRule type="cellIs" dxfId="0" priority="1" stopIfTrue="1" operator="greaterThan">
      <formula>0</formula>
    </cfRule>
  </conditionalFormatting>
  <conditionalFormatting sqref="F3:G4 F7:G16">
    <cfRule type="cellIs" dxfId="1" priority="2" stopIfTrue="1" operator="lessThanOrEqual">
      <formula>0</formula>
    </cfRule>
  </conditionalFormatting>
  <conditionalFormatting sqref="G17:G18">
    <cfRule type="cellIs" dxfId="0" priority="3" stopIfTrue="1" operator="greaterThan">
      <formula>0</formula>
    </cfRule>
  </conditionalFormatting>
  <conditionalFormatting sqref="G17:G18">
    <cfRule type="cellIs" dxfId="1" priority="4" stopIfTrue="1" operator="lessThanOrEqual">
      <formula>0</formula>
    </cfRule>
  </conditionalFormatting>
  <conditionalFormatting sqref="F17:F18">
    <cfRule type="cellIs" dxfId="0" priority="5" stopIfTrue="1" operator="greaterThan">
      <formula>0</formula>
    </cfRule>
  </conditionalFormatting>
  <conditionalFormatting sqref="F17:F18">
    <cfRule type="cellIs" dxfId="1" priority="6" stopIfTrue="1" operator="lessThanOrEqual">
      <formula>0</formula>
    </cfRule>
  </conditionalFormatting>
  <conditionalFormatting sqref="G18">
    <cfRule type="cellIs" dxfId="0" priority="7" stopIfTrue="1" operator="greaterThan">
      <formula>0</formula>
    </cfRule>
  </conditionalFormatting>
  <conditionalFormatting sqref="G18">
    <cfRule type="cellIs" dxfId="1" priority="8" stopIfTrue="1" operator="lessThanOrEqual">
      <formula>0</formula>
    </cfRule>
  </conditionalFormatting>
  <conditionalFormatting sqref="F18">
    <cfRule type="cellIs" dxfId="0" priority="9" stopIfTrue="1" operator="greaterThan">
      <formula>0</formula>
    </cfRule>
  </conditionalFormatting>
  <conditionalFormatting sqref="F18">
    <cfRule type="cellIs" dxfId="1" priority="10" stopIfTrue="1" operator="lessThanOrEqual">
      <formula>0</formula>
    </cfRule>
  </conditionalFormatting>
  <conditionalFormatting sqref="F5">
    <cfRule type="cellIs" dxfId="0" priority="11" stopIfTrue="1" operator="greaterThan">
      <formula>0</formula>
    </cfRule>
  </conditionalFormatting>
  <conditionalFormatting sqref="F5">
    <cfRule type="cellIs" dxfId="1" priority="12" stopIfTrue="1" operator="less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3.14"/>
    <col customWidth="1" hidden="1" min="2" max="2" width="2.57"/>
    <col customWidth="1" min="3" max="3" width="30.43"/>
    <col customWidth="1" min="4" max="5" width="13.0"/>
    <col customWidth="1" min="6" max="6" width="13.86"/>
    <col customWidth="1" min="7" max="7" width="13.0"/>
    <col customWidth="1" min="8" max="9" width="13.57"/>
    <col customWidth="1" min="10" max="10" width="16.43"/>
    <col customWidth="1" min="11" max="11" width="15.86"/>
    <col customWidth="1" min="12" max="12" width="16.43"/>
    <col customWidth="1" min="13" max="13" width="14.0"/>
    <col customWidth="1" min="14" max="15" width="13.86"/>
    <col customWidth="1" min="16" max="16" width="12.57"/>
    <col customWidth="1" min="17" max="17" width="9.14"/>
    <col customWidth="1" min="18" max="18" width="10.86"/>
    <col customWidth="1" min="19" max="32" width="9.14"/>
  </cols>
  <sheetData>
    <row r="1" ht="10.5" customHeight="1">
      <c r="A1" s="76"/>
      <c r="B1" s="78" t="s">
        <v>224</v>
      </c>
      <c r="C1" s="795" t="s">
        <v>225</v>
      </c>
      <c r="D1" s="796" t="s">
        <v>58</v>
      </c>
      <c r="E1" s="796" t="s">
        <v>59</v>
      </c>
      <c r="F1" s="796" t="s">
        <v>60</v>
      </c>
      <c r="G1" s="796" t="s">
        <v>61</v>
      </c>
      <c r="H1" s="796" t="s">
        <v>62</v>
      </c>
      <c r="I1" s="796" t="s">
        <v>63</v>
      </c>
      <c r="J1" s="796" t="s">
        <v>64</v>
      </c>
      <c r="K1" s="796" t="s">
        <v>65</v>
      </c>
      <c r="L1" s="796" t="s">
        <v>66</v>
      </c>
      <c r="M1" s="796" t="s">
        <v>67</v>
      </c>
      <c r="N1" s="796" t="s">
        <v>68</v>
      </c>
      <c r="O1" s="796" t="s">
        <v>69</v>
      </c>
      <c r="P1" s="796" t="s">
        <v>70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</row>
    <row r="2" ht="10.5" customHeight="1">
      <c r="A2" s="630" t="s">
        <v>226</v>
      </c>
      <c r="B2" s="632">
        <v>1.0</v>
      </c>
      <c r="C2" s="82" t="s">
        <v>40</v>
      </c>
      <c r="D2" s="797">
        <v>3921563.08</v>
      </c>
      <c r="E2" s="797">
        <v>3928542.47</v>
      </c>
      <c r="F2" s="798">
        <v>3916006.3</v>
      </c>
      <c r="G2" s="797">
        <v>3931987.62</v>
      </c>
      <c r="H2" s="797">
        <v>3943152.34</v>
      </c>
      <c r="I2" s="797">
        <v>3939567.97</v>
      </c>
      <c r="J2" s="797">
        <v>4067122.01</v>
      </c>
      <c r="K2" s="797">
        <v>4073097.66</v>
      </c>
      <c r="L2" s="797">
        <v>4070964.4</v>
      </c>
      <c r="M2" s="797">
        <v>4171186.16</v>
      </c>
      <c r="N2" s="797">
        <v>4218508.08</v>
      </c>
      <c r="O2" s="797">
        <v>4273127.85</v>
      </c>
      <c r="P2" s="642">
        <f t="shared" ref="P2:P3" si="1">SUM(D2:O2)</f>
        <v>48454825.94</v>
      </c>
      <c r="Q2" s="4"/>
      <c r="R2" s="91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0.5" customHeight="1">
      <c r="A3" s="630" t="s">
        <v>227</v>
      </c>
      <c r="B3" s="632">
        <v>2.0</v>
      </c>
      <c r="C3" s="82" t="s">
        <v>71</v>
      </c>
      <c r="D3" s="797">
        <v>147051.99</v>
      </c>
      <c r="E3" s="797">
        <v>144114.43</v>
      </c>
      <c r="F3" s="798">
        <v>144340.12</v>
      </c>
      <c r="G3" s="797">
        <v>145492.72</v>
      </c>
      <c r="H3" s="797">
        <v>145466.66</v>
      </c>
      <c r="I3" s="797">
        <v>153085.23</v>
      </c>
      <c r="J3" s="797">
        <v>313104.71</v>
      </c>
      <c r="K3" s="797">
        <v>304236.54</v>
      </c>
      <c r="L3" s="797">
        <v>302941.53</v>
      </c>
      <c r="M3" s="797">
        <v>413558.04</v>
      </c>
      <c r="N3" s="797">
        <v>305355.78</v>
      </c>
      <c r="O3" s="797">
        <v>308208.78</v>
      </c>
      <c r="P3" s="642">
        <f t="shared" si="1"/>
        <v>2826956.53</v>
      </c>
      <c r="Q3" s="4"/>
      <c r="R3" s="9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0.5" customHeight="1">
      <c r="A4" s="630" t="s">
        <v>229</v>
      </c>
      <c r="B4" s="632">
        <v>3.0</v>
      </c>
      <c r="C4" s="82" t="s">
        <v>72</v>
      </c>
      <c r="D4" s="797">
        <v>3774511.09</v>
      </c>
      <c r="E4" s="797">
        <v>3784428.04</v>
      </c>
      <c r="F4" s="797">
        <v>3771666.1799999997</v>
      </c>
      <c r="G4" s="797">
        <v>3786494.9</v>
      </c>
      <c r="H4" s="797">
        <v>3797685.6799999997</v>
      </c>
      <c r="I4" s="797">
        <v>3786482.74</v>
      </c>
      <c r="J4" s="797">
        <v>3754017.3</v>
      </c>
      <c r="K4" s="797">
        <v>3768861.12</v>
      </c>
      <c r="L4" s="797">
        <v>3768022.87</v>
      </c>
      <c r="M4" s="797">
        <v>3757628.12</v>
      </c>
      <c r="N4" s="797">
        <v>3913152.3</v>
      </c>
      <c r="O4" s="797">
        <v>3964919.0699999994</v>
      </c>
      <c r="P4" s="642">
        <f>P2-P3</f>
        <v>45627869.41</v>
      </c>
      <c r="Q4" s="4"/>
      <c r="R4" s="91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0.5" customHeight="1">
      <c r="A5" s="630" t="s">
        <v>230</v>
      </c>
      <c r="B5" s="632">
        <v>4.0</v>
      </c>
      <c r="C5" s="82" t="s">
        <v>284</v>
      </c>
      <c r="D5" s="799">
        <v>0.0</v>
      </c>
      <c r="E5" s="799">
        <v>0.0</v>
      </c>
      <c r="F5" s="799">
        <v>0.0</v>
      </c>
      <c r="G5" s="799">
        <v>0.0</v>
      </c>
      <c r="H5" s="799">
        <v>0.0</v>
      </c>
      <c r="I5" s="799">
        <v>0.0</v>
      </c>
      <c r="J5" s="799">
        <v>0.0</v>
      </c>
      <c r="K5" s="799">
        <v>0.0</v>
      </c>
      <c r="L5" s="799">
        <v>0.0</v>
      </c>
      <c r="M5" s="799">
        <v>0.0</v>
      </c>
      <c r="N5" s="799">
        <v>0.0</v>
      </c>
      <c r="O5" s="799">
        <v>0.0</v>
      </c>
      <c r="P5" s="650">
        <f>SUM(D5:O5)</f>
        <v>0</v>
      </c>
      <c r="Q5" s="4"/>
      <c r="R5" s="91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0.5" customHeight="1">
      <c r="A6" s="630" t="s">
        <v>231</v>
      </c>
      <c r="B6" s="632">
        <v>5.0</v>
      </c>
      <c r="C6" s="82" t="s">
        <v>75</v>
      </c>
      <c r="D6" s="797">
        <v>3774511.09</v>
      </c>
      <c r="E6" s="797">
        <v>3784428.04</v>
      </c>
      <c r="F6" s="798">
        <v>3771666.1799999997</v>
      </c>
      <c r="G6" s="797">
        <v>3786494.9</v>
      </c>
      <c r="H6" s="797">
        <v>3797685.6799999997</v>
      </c>
      <c r="I6" s="797">
        <v>3786482.74</v>
      </c>
      <c r="J6" s="797">
        <v>3754017.3</v>
      </c>
      <c r="K6" s="797">
        <v>3768861.12</v>
      </c>
      <c r="L6" s="797">
        <v>3768022.87</v>
      </c>
      <c r="M6" s="797">
        <v>3757628.12</v>
      </c>
      <c r="N6" s="797">
        <v>3913152.3</v>
      </c>
      <c r="O6" s="797">
        <v>3964919.0699999994</v>
      </c>
      <c r="P6" s="642">
        <f>P4-P5</f>
        <v>45627869.41</v>
      </c>
      <c r="Q6" s="4"/>
      <c r="R6" s="91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9.0" customHeight="1">
      <c r="A7" s="630" t="s">
        <v>232</v>
      </c>
      <c r="B7" s="632">
        <v>6.0</v>
      </c>
      <c r="C7" s="82" t="s">
        <v>77</v>
      </c>
      <c r="D7" s="797">
        <v>435376.55</v>
      </c>
      <c r="E7" s="797">
        <v>457603.95</v>
      </c>
      <c r="F7" s="798">
        <v>484620.37</v>
      </c>
      <c r="G7" s="797">
        <v>473715.71</v>
      </c>
      <c r="H7" s="797">
        <v>492385.82999999996</v>
      </c>
      <c r="I7" s="797">
        <v>495859.02</v>
      </c>
      <c r="J7" s="797">
        <v>636642.99</v>
      </c>
      <c r="K7" s="797">
        <v>464578.86</v>
      </c>
      <c r="L7" s="797">
        <v>480648.4</v>
      </c>
      <c r="M7" s="797">
        <v>534878.55</v>
      </c>
      <c r="N7" s="797">
        <v>452381.84</v>
      </c>
      <c r="O7" s="797">
        <v>569117.8</v>
      </c>
      <c r="P7" s="642">
        <f>SUM(D7:O7)</f>
        <v>5977809.87</v>
      </c>
      <c r="Q7" s="4"/>
      <c r="R7" s="91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0.5" customHeight="1">
      <c r="A8" s="800" t="s">
        <v>233</v>
      </c>
      <c r="B8" s="801">
        <v>7.0</v>
      </c>
      <c r="C8" s="82" t="s">
        <v>80</v>
      </c>
      <c r="D8" s="797">
        <v>3339134.54</v>
      </c>
      <c r="E8" s="797">
        <v>3326824.09</v>
      </c>
      <c r="F8" s="797">
        <v>3287045.8099999996</v>
      </c>
      <c r="G8" s="797">
        <v>3312779.19</v>
      </c>
      <c r="H8" s="797">
        <v>3305299.8499999996</v>
      </c>
      <c r="I8" s="797">
        <v>3290623.72</v>
      </c>
      <c r="J8" s="797">
        <v>3117374.3099999996</v>
      </c>
      <c r="K8" s="797">
        <v>3304282.2600000002</v>
      </c>
      <c r="L8" s="797">
        <v>3287374.47</v>
      </c>
      <c r="M8" s="797">
        <v>3222749.5700000003</v>
      </c>
      <c r="N8" s="797">
        <v>3460770.46</v>
      </c>
      <c r="O8" s="797">
        <v>3395801.2699999996</v>
      </c>
      <c r="P8" s="642">
        <f>P6-P7</f>
        <v>39650059.54</v>
      </c>
      <c r="Q8" s="802"/>
      <c r="R8" s="803"/>
      <c r="S8" s="802"/>
      <c r="T8" s="802"/>
      <c r="U8" s="802"/>
      <c r="V8" s="802"/>
      <c r="W8" s="802"/>
      <c r="X8" s="802"/>
      <c r="Y8" s="802"/>
      <c r="Z8" s="802"/>
      <c r="AA8" s="802"/>
      <c r="AB8" s="802"/>
      <c r="AC8" s="802"/>
      <c r="AD8" s="802"/>
      <c r="AE8" s="802"/>
      <c r="AF8" s="802"/>
    </row>
    <row r="9" ht="10.5" customHeight="1">
      <c r="A9" s="630" t="s">
        <v>234</v>
      </c>
      <c r="B9" s="632">
        <v>8.0</v>
      </c>
      <c r="C9" s="82" t="s">
        <v>82</v>
      </c>
      <c r="D9" s="797">
        <v>101306.51</v>
      </c>
      <c r="E9" s="797">
        <v>101306.51</v>
      </c>
      <c r="F9" s="798">
        <v>101306.51</v>
      </c>
      <c r="G9" s="797">
        <v>100836.01</v>
      </c>
      <c r="H9" s="797">
        <v>100836.01</v>
      </c>
      <c r="I9" s="797">
        <v>114295.51</v>
      </c>
      <c r="J9" s="797">
        <v>115967.92</v>
      </c>
      <c r="K9" s="797">
        <v>114831.47</v>
      </c>
      <c r="L9" s="797">
        <v>118433.31</v>
      </c>
      <c r="M9" s="797">
        <v>118433.31</v>
      </c>
      <c r="N9" s="797">
        <v>119336.25</v>
      </c>
      <c r="O9" s="797">
        <v>119336.25</v>
      </c>
      <c r="P9" s="642">
        <f>SUM(D9:O9)</f>
        <v>1326225.57</v>
      </c>
      <c r="Q9" s="4"/>
      <c r="R9" s="91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0.5" customHeight="1">
      <c r="A10" s="630" t="s">
        <v>235</v>
      </c>
      <c r="B10" s="632">
        <v>9.0</v>
      </c>
      <c r="C10" s="82" t="s">
        <v>83</v>
      </c>
      <c r="D10" s="797">
        <v>3237828.0300000003</v>
      </c>
      <c r="E10" s="797">
        <v>3225517.58</v>
      </c>
      <c r="F10" s="797">
        <v>3185739.3</v>
      </c>
      <c r="G10" s="797">
        <v>3211943.18</v>
      </c>
      <c r="H10" s="797">
        <v>3204463.84</v>
      </c>
      <c r="I10" s="797">
        <v>3176328.2100000004</v>
      </c>
      <c r="J10" s="797">
        <v>3001406.3899999997</v>
      </c>
      <c r="K10" s="797">
        <v>3189450.79</v>
      </c>
      <c r="L10" s="797">
        <v>3168941.16</v>
      </c>
      <c r="M10" s="797">
        <v>3104316.2600000002</v>
      </c>
      <c r="N10" s="797">
        <v>3341434.21</v>
      </c>
      <c r="O10" s="797">
        <v>3276465.0199999996</v>
      </c>
      <c r="P10" s="642">
        <f>P8-P9</f>
        <v>38323833.97</v>
      </c>
      <c r="Q10" s="4"/>
      <c r="R10" s="9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0.5" customHeight="1">
      <c r="A11" s="4"/>
      <c r="B11" s="632">
        <v>10.0</v>
      </c>
      <c r="C11" s="82" t="s">
        <v>84</v>
      </c>
      <c r="D11" s="797">
        <v>364788.28</v>
      </c>
      <c r="E11" s="797">
        <v>212179.3</v>
      </c>
      <c r="F11" s="797">
        <v>14276.12</v>
      </c>
      <c r="G11" s="797">
        <v>899101.22</v>
      </c>
      <c r="H11" s="797">
        <v>690960.32</v>
      </c>
      <c r="I11" s="797">
        <v>225350.32</v>
      </c>
      <c r="J11" s="797">
        <v>137813.93</v>
      </c>
      <c r="K11" s="797">
        <v>174906.06</v>
      </c>
      <c r="L11" s="797">
        <v>365732.84</v>
      </c>
      <c r="M11" s="797">
        <v>188143.11</v>
      </c>
      <c r="N11" s="797">
        <v>320095.64</v>
      </c>
      <c r="O11" s="797">
        <v>650923.7</v>
      </c>
      <c r="P11" s="650">
        <f t="shared" ref="P11:P15" si="2">SUM(D11:O11)</f>
        <v>4244270.84</v>
      </c>
      <c r="Q11" s="4"/>
      <c r="R11" s="9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0.5" customHeight="1">
      <c r="A12" s="630" t="s">
        <v>238</v>
      </c>
      <c r="B12" s="632">
        <v>11.0</v>
      </c>
      <c r="C12" s="82" t="s">
        <v>236</v>
      </c>
      <c r="D12" s="797">
        <v>48239.21</v>
      </c>
      <c r="E12" s="797">
        <v>27932.54</v>
      </c>
      <c r="F12" s="798">
        <v>32504.85</v>
      </c>
      <c r="G12" s="797">
        <v>60289.86</v>
      </c>
      <c r="H12" s="797">
        <v>72028.09</v>
      </c>
      <c r="I12" s="797">
        <v>60225.6</v>
      </c>
      <c r="J12" s="797">
        <v>61339.09</v>
      </c>
      <c r="K12" s="797">
        <v>36862.45</v>
      </c>
      <c r="L12" s="797">
        <v>30143.97</v>
      </c>
      <c r="M12" s="797">
        <v>26186.09</v>
      </c>
      <c r="N12" s="797">
        <v>24504.71</v>
      </c>
      <c r="O12" s="797">
        <v>19076.89</v>
      </c>
      <c r="P12" s="642">
        <f t="shared" si="2"/>
        <v>499333.35</v>
      </c>
      <c r="Q12" s="4"/>
      <c r="R12" s="9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0.5" customHeight="1">
      <c r="A13" s="630" t="s">
        <v>240</v>
      </c>
      <c r="B13" s="632">
        <v>12.0</v>
      </c>
      <c r="C13" s="82" t="s">
        <v>237</v>
      </c>
      <c r="D13" s="797">
        <v>157546.11</v>
      </c>
      <c r="E13" s="797">
        <v>152824.71</v>
      </c>
      <c r="F13" s="797">
        <v>346692.96</v>
      </c>
      <c r="G13" s="797">
        <v>231113.89</v>
      </c>
      <c r="H13" s="797">
        <v>243954.05</v>
      </c>
      <c r="I13" s="797">
        <v>240352.76</v>
      </c>
      <c r="J13" s="797">
        <v>271538.73</v>
      </c>
      <c r="K13" s="797">
        <v>246672.15</v>
      </c>
      <c r="L13" s="797">
        <v>254792.03</v>
      </c>
      <c r="M13" s="797">
        <v>320680.85</v>
      </c>
      <c r="N13" s="797">
        <v>244875.65</v>
      </c>
      <c r="O13" s="797">
        <v>278291.5</v>
      </c>
      <c r="P13" s="642">
        <f t="shared" si="2"/>
        <v>2989335.39</v>
      </c>
      <c r="Q13" s="4"/>
      <c r="R13" s="9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0.5" customHeight="1">
      <c r="A14" s="630" t="s">
        <v>242</v>
      </c>
      <c r="B14" s="632">
        <v>13.0</v>
      </c>
      <c r="C14" s="82" t="s">
        <v>239</v>
      </c>
      <c r="D14" s="797">
        <v>3493309.4100000006</v>
      </c>
      <c r="E14" s="797">
        <v>3312804.71</v>
      </c>
      <c r="F14" s="797">
        <v>2885827.31</v>
      </c>
      <c r="G14" s="797">
        <v>3940220.37</v>
      </c>
      <c r="H14" s="797">
        <v>3723498.1999999997</v>
      </c>
      <c r="I14" s="797">
        <v>3221551.37</v>
      </c>
      <c r="J14" s="797">
        <v>2929020.6799999997</v>
      </c>
      <c r="K14" s="797">
        <v>3154547.1500000004</v>
      </c>
      <c r="L14" s="797">
        <v>3310025.9400000004</v>
      </c>
      <c r="M14" s="797">
        <v>2997964.61</v>
      </c>
      <c r="N14" s="797">
        <v>3441158.91</v>
      </c>
      <c r="O14" s="797">
        <v>3668174.11</v>
      </c>
      <c r="P14" s="642">
        <f t="shared" si="2"/>
        <v>40078102.77</v>
      </c>
      <c r="Q14" s="4"/>
      <c r="R14" s="9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0.5" customHeight="1">
      <c r="A15" s="4"/>
      <c r="B15" s="4"/>
      <c r="C15" s="82" t="s">
        <v>241</v>
      </c>
      <c r="D15" s="797">
        <v>441218.13</v>
      </c>
      <c r="E15" s="797">
        <v>436862.61</v>
      </c>
      <c r="F15" s="798">
        <v>435849.99</v>
      </c>
      <c r="G15" s="797">
        <v>681903.88</v>
      </c>
      <c r="H15" s="797">
        <v>598335.97</v>
      </c>
      <c r="I15" s="797">
        <v>446670.46</v>
      </c>
      <c r="J15" s="797">
        <v>443303.75</v>
      </c>
      <c r="K15" s="797">
        <v>436648.12</v>
      </c>
      <c r="L15" s="797">
        <v>434425.12</v>
      </c>
      <c r="M15" s="797">
        <v>431798.92</v>
      </c>
      <c r="N15" s="797">
        <v>448778.12</v>
      </c>
      <c r="O15" s="797">
        <v>452212.54</v>
      </c>
      <c r="P15" s="642">
        <f t="shared" si="2"/>
        <v>5688007.61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0.5" customHeight="1">
      <c r="A16" s="804"/>
      <c r="B16" s="804"/>
      <c r="C16" s="82" t="s">
        <v>243</v>
      </c>
      <c r="D16" s="797">
        <v>3052091.2800000007</v>
      </c>
      <c r="E16" s="797">
        <v>2875942.1</v>
      </c>
      <c r="F16" s="797">
        <v>2449977.3200000003</v>
      </c>
      <c r="G16" s="797">
        <v>3258316.49</v>
      </c>
      <c r="H16" s="797">
        <v>3125162.2299999995</v>
      </c>
      <c r="I16" s="797">
        <v>2774880.91</v>
      </c>
      <c r="J16" s="797">
        <v>2485716.9299999997</v>
      </c>
      <c r="K16" s="797">
        <v>2717899.0300000003</v>
      </c>
      <c r="L16" s="797">
        <v>2875600.8200000003</v>
      </c>
      <c r="M16" s="797">
        <v>2566165.69</v>
      </c>
      <c r="N16" s="797">
        <v>2992380.79</v>
      </c>
      <c r="O16" s="797">
        <v>3215961.57</v>
      </c>
      <c r="P16" s="642">
        <f>P14-P15</f>
        <v>34390095.16</v>
      </c>
      <c r="Q16" s="804"/>
      <c r="R16" s="804"/>
      <c r="S16" s="804"/>
      <c r="T16" s="804"/>
      <c r="U16" s="804"/>
      <c r="V16" s="804"/>
      <c r="W16" s="804"/>
      <c r="X16" s="804"/>
      <c r="Y16" s="804"/>
      <c r="Z16" s="804"/>
      <c r="AA16" s="804"/>
      <c r="AB16" s="804"/>
      <c r="AC16" s="804"/>
      <c r="AD16" s="804"/>
      <c r="AE16" s="804"/>
      <c r="AF16" s="804"/>
    </row>
    <row r="17" ht="10.5" customHeight="1">
      <c r="A17" s="804"/>
      <c r="B17" s="804"/>
      <c r="C17" s="804" t="s">
        <v>285</v>
      </c>
      <c r="D17" s="805">
        <f t="shared" ref="D17:P17" si="3">D16*42.5%</f>
        <v>1297138.794</v>
      </c>
      <c r="E17" s="805">
        <f t="shared" si="3"/>
        <v>1222275.393</v>
      </c>
      <c r="F17" s="805">
        <f t="shared" si="3"/>
        <v>1041240.361</v>
      </c>
      <c r="G17" s="805">
        <f t="shared" si="3"/>
        <v>1384784.508</v>
      </c>
      <c r="H17" s="805">
        <f t="shared" si="3"/>
        <v>1328193.948</v>
      </c>
      <c r="I17" s="805">
        <f t="shared" si="3"/>
        <v>1179324.387</v>
      </c>
      <c r="J17" s="805">
        <f t="shared" si="3"/>
        <v>1056429.695</v>
      </c>
      <c r="K17" s="805">
        <f t="shared" si="3"/>
        <v>1155107.088</v>
      </c>
      <c r="L17" s="805">
        <f t="shared" si="3"/>
        <v>1222130.349</v>
      </c>
      <c r="M17" s="805">
        <f t="shared" si="3"/>
        <v>1090620.418</v>
      </c>
      <c r="N17" s="805">
        <f t="shared" si="3"/>
        <v>1271761.836</v>
      </c>
      <c r="O17" s="805">
        <f t="shared" si="3"/>
        <v>1366783.667</v>
      </c>
      <c r="P17" s="805">
        <f t="shared" si="3"/>
        <v>14615790.44</v>
      </c>
      <c r="Q17" s="804"/>
      <c r="R17" s="804"/>
      <c r="S17" s="804"/>
      <c r="T17" s="804"/>
      <c r="U17" s="804"/>
      <c r="V17" s="804"/>
      <c r="W17" s="804"/>
      <c r="X17" s="804"/>
      <c r="Y17" s="804"/>
      <c r="Z17" s="804"/>
      <c r="AA17" s="804"/>
      <c r="AB17" s="804"/>
      <c r="AC17" s="804"/>
      <c r="AD17" s="804"/>
      <c r="AE17" s="804"/>
      <c r="AF17" s="804"/>
    </row>
    <row r="18" ht="10.5" customHeight="1">
      <c r="A18" s="806"/>
      <c r="B18" s="806"/>
      <c r="C18" s="806" t="s">
        <v>70</v>
      </c>
      <c r="D18" s="807">
        <f t="shared" ref="D18:P18" si="4">D16+D17</f>
        <v>4349230.074</v>
      </c>
      <c r="E18" s="807">
        <f t="shared" si="4"/>
        <v>4098217.493</v>
      </c>
      <c r="F18" s="807">
        <f t="shared" si="4"/>
        <v>3491217.681</v>
      </c>
      <c r="G18" s="807">
        <f t="shared" si="4"/>
        <v>4643100.998</v>
      </c>
      <c r="H18" s="807">
        <f t="shared" si="4"/>
        <v>4453356.178</v>
      </c>
      <c r="I18" s="807">
        <f t="shared" si="4"/>
        <v>3954205.297</v>
      </c>
      <c r="J18" s="807">
        <f t="shared" si="4"/>
        <v>3542146.625</v>
      </c>
      <c r="K18" s="807">
        <f t="shared" si="4"/>
        <v>3873006.118</v>
      </c>
      <c r="L18" s="807">
        <f t="shared" si="4"/>
        <v>4097731.169</v>
      </c>
      <c r="M18" s="807">
        <f t="shared" si="4"/>
        <v>3656786.108</v>
      </c>
      <c r="N18" s="807">
        <f t="shared" si="4"/>
        <v>4264142.626</v>
      </c>
      <c r="O18" s="807">
        <f t="shared" si="4"/>
        <v>4582745.237</v>
      </c>
      <c r="P18" s="807">
        <f t="shared" si="4"/>
        <v>49005885.6</v>
      </c>
      <c r="Q18" s="806"/>
      <c r="R18" s="806"/>
      <c r="S18" s="806"/>
      <c r="T18" s="806"/>
      <c r="U18" s="806"/>
      <c r="V18" s="806"/>
      <c r="W18" s="806"/>
      <c r="X18" s="806"/>
      <c r="Y18" s="806"/>
      <c r="Z18" s="806"/>
      <c r="AA18" s="806"/>
      <c r="AB18" s="806"/>
      <c r="AC18" s="806"/>
      <c r="AD18" s="806"/>
      <c r="AE18" s="806"/>
      <c r="AF18" s="806"/>
    </row>
    <row r="19" ht="10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0.5" customHeight="1">
      <c r="A20" s="4"/>
      <c r="B20" s="78" t="s">
        <v>224</v>
      </c>
      <c r="C20" s="808" t="s">
        <v>286</v>
      </c>
      <c r="D20" s="809" t="s">
        <v>58</v>
      </c>
      <c r="E20" s="809" t="s">
        <v>59</v>
      </c>
      <c r="F20" s="809" t="s">
        <v>60</v>
      </c>
      <c r="G20" s="809" t="s">
        <v>61</v>
      </c>
      <c r="H20" s="809" t="s">
        <v>62</v>
      </c>
      <c r="I20" s="809" t="s">
        <v>63</v>
      </c>
      <c r="J20" s="809" t="s">
        <v>64</v>
      </c>
      <c r="K20" s="809" t="s">
        <v>65</v>
      </c>
      <c r="L20" s="809" t="s">
        <v>66</v>
      </c>
      <c r="M20" s="809" t="s">
        <v>67</v>
      </c>
      <c r="N20" s="809" t="s">
        <v>68</v>
      </c>
      <c r="O20" s="809" t="s">
        <v>69</v>
      </c>
      <c r="P20" s="809" t="s">
        <v>70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0.5" customHeight="1">
      <c r="A21" s="630" t="s">
        <v>226</v>
      </c>
      <c r="B21" s="632">
        <v>1.0</v>
      </c>
      <c r="C21" s="82" t="s">
        <v>40</v>
      </c>
      <c r="D21" s="797">
        <v>4236329.22</v>
      </c>
      <c r="E21" s="797">
        <v>4242865.31</v>
      </c>
      <c r="F21" s="797">
        <v>4244300.08</v>
      </c>
      <c r="G21" s="797">
        <v>4245498.55</v>
      </c>
      <c r="H21" s="797">
        <v>4249739.62</v>
      </c>
      <c r="I21" s="797">
        <v>4290704.06</v>
      </c>
      <c r="J21" s="797">
        <v>4298074.37</v>
      </c>
      <c r="K21" s="797">
        <v>4298400.84</v>
      </c>
      <c r="L21" s="797">
        <v>4310471.33</v>
      </c>
      <c r="M21" s="797">
        <v>4357460.15</v>
      </c>
      <c r="N21" s="797">
        <v>4469738.01</v>
      </c>
      <c r="O21" s="797">
        <v>4477826.52</v>
      </c>
      <c r="P21" s="642">
        <f t="shared" ref="P21:P22" si="5">SUM(D21:O21)</f>
        <v>51721408.06</v>
      </c>
      <c r="Q21" s="4"/>
      <c r="R21" s="9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0.5" customHeight="1">
      <c r="A22" s="630" t="s">
        <v>227</v>
      </c>
      <c r="B22" s="632">
        <v>2.0</v>
      </c>
      <c r="C22" s="82" t="s">
        <v>71</v>
      </c>
      <c r="D22" s="797">
        <v>178424.47</v>
      </c>
      <c r="E22" s="797">
        <v>178663.03</v>
      </c>
      <c r="F22" s="797">
        <v>179871.6</v>
      </c>
      <c r="G22" s="797">
        <v>179915.35</v>
      </c>
      <c r="H22" s="797">
        <v>173123.31</v>
      </c>
      <c r="I22" s="797">
        <v>174618.51</v>
      </c>
      <c r="J22" s="797">
        <v>173442.28</v>
      </c>
      <c r="K22" s="797">
        <v>173454.2</v>
      </c>
      <c r="L22" s="797">
        <v>173894.77</v>
      </c>
      <c r="M22" s="797">
        <v>175609.86</v>
      </c>
      <c r="N22" s="797">
        <v>179708.0</v>
      </c>
      <c r="O22" s="797">
        <v>180003.23</v>
      </c>
      <c r="P22" s="642">
        <f t="shared" si="5"/>
        <v>2120728.61</v>
      </c>
      <c r="Q22" s="4"/>
      <c r="R22" s="9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0.5" customHeight="1">
      <c r="A23" s="630" t="s">
        <v>229</v>
      </c>
      <c r="B23" s="632">
        <v>3.0</v>
      </c>
      <c r="C23" s="82" t="s">
        <v>72</v>
      </c>
      <c r="D23" s="797">
        <f t="shared" ref="D23:P23" si="6">D21-D22</f>
        <v>4057904.75</v>
      </c>
      <c r="E23" s="797">
        <f t="shared" si="6"/>
        <v>4064202.28</v>
      </c>
      <c r="F23" s="797">
        <f t="shared" si="6"/>
        <v>4064428.48</v>
      </c>
      <c r="G23" s="797">
        <f t="shared" si="6"/>
        <v>4065583.2</v>
      </c>
      <c r="H23" s="797">
        <f t="shared" si="6"/>
        <v>4076616.31</v>
      </c>
      <c r="I23" s="797">
        <f t="shared" si="6"/>
        <v>4116085.55</v>
      </c>
      <c r="J23" s="797">
        <f t="shared" si="6"/>
        <v>4124632.09</v>
      </c>
      <c r="K23" s="797">
        <f t="shared" si="6"/>
        <v>4124946.64</v>
      </c>
      <c r="L23" s="797">
        <f t="shared" si="6"/>
        <v>4136576.56</v>
      </c>
      <c r="M23" s="797">
        <f t="shared" si="6"/>
        <v>4181850.29</v>
      </c>
      <c r="N23" s="797">
        <f t="shared" si="6"/>
        <v>4290030.01</v>
      </c>
      <c r="O23" s="797">
        <f t="shared" si="6"/>
        <v>4297823.29</v>
      </c>
      <c r="P23" s="642">
        <f t="shared" si="6"/>
        <v>49600679.45</v>
      </c>
      <c r="Q23" s="4"/>
      <c r="R23" s="9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0.5" customHeight="1">
      <c r="A24" s="630" t="s">
        <v>230</v>
      </c>
      <c r="B24" s="632">
        <v>4.0</v>
      </c>
      <c r="C24" s="82" t="s">
        <v>284</v>
      </c>
      <c r="D24" s="799">
        <v>0.0</v>
      </c>
      <c r="E24" s="799">
        <v>0.0</v>
      </c>
      <c r="F24" s="799">
        <v>0.0</v>
      </c>
      <c r="G24" s="799">
        <v>0.0</v>
      </c>
      <c r="H24" s="799">
        <v>0.0</v>
      </c>
      <c r="I24" s="799">
        <v>0.0</v>
      </c>
      <c r="J24" s="799">
        <v>0.0</v>
      </c>
      <c r="K24" s="799">
        <v>0.0</v>
      </c>
      <c r="L24" s="799">
        <v>0.0</v>
      </c>
      <c r="M24" s="799">
        <v>0.0</v>
      </c>
      <c r="N24" s="799">
        <v>0.0</v>
      </c>
      <c r="O24" s="799">
        <v>0.0</v>
      </c>
      <c r="P24" s="650">
        <f>SUM(D24:O24)</f>
        <v>0</v>
      </c>
      <c r="Q24" s="4"/>
      <c r="R24" s="9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0.5" customHeight="1">
      <c r="A25" s="630" t="s">
        <v>231</v>
      </c>
      <c r="B25" s="632">
        <v>5.0</v>
      </c>
      <c r="C25" s="82" t="s">
        <v>75</v>
      </c>
      <c r="D25" s="810">
        <f t="shared" ref="D25:O25" si="7">D23</f>
        <v>4057904.75</v>
      </c>
      <c r="E25" s="810">
        <f t="shared" si="7"/>
        <v>4064202.28</v>
      </c>
      <c r="F25" s="810">
        <f t="shared" si="7"/>
        <v>4064428.48</v>
      </c>
      <c r="G25" s="810">
        <f t="shared" si="7"/>
        <v>4065583.2</v>
      </c>
      <c r="H25" s="810">
        <f t="shared" si="7"/>
        <v>4076616.31</v>
      </c>
      <c r="I25" s="810">
        <f t="shared" si="7"/>
        <v>4116085.55</v>
      </c>
      <c r="J25" s="810">
        <f t="shared" si="7"/>
        <v>4124632.09</v>
      </c>
      <c r="K25" s="810">
        <f t="shared" si="7"/>
        <v>4124946.64</v>
      </c>
      <c r="L25" s="810">
        <f t="shared" si="7"/>
        <v>4136576.56</v>
      </c>
      <c r="M25" s="810">
        <f t="shared" si="7"/>
        <v>4181850.29</v>
      </c>
      <c r="N25" s="810">
        <f t="shared" si="7"/>
        <v>4290030.01</v>
      </c>
      <c r="O25" s="810">
        <f t="shared" si="7"/>
        <v>4297823.29</v>
      </c>
      <c r="P25" s="642">
        <f>P23-P24</f>
        <v>49600679.45</v>
      </c>
      <c r="Q25" s="4"/>
      <c r="R25" s="9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0.5" customHeight="1">
      <c r="A26" s="630" t="s">
        <v>232</v>
      </c>
      <c r="B26" s="632">
        <v>6.0</v>
      </c>
      <c r="C26" s="82" t="s">
        <v>77</v>
      </c>
      <c r="D26" s="810">
        <v>513344.5</v>
      </c>
      <c r="E26" s="810">
        <v>543833.22</v>
      </c>
      <c r="F26" s="810">
        <v>569095.53</v>
      </c>
      <c r="G26" s="810">
        <v>609494.9</v>
      </c>
      <c r="H26" s="810">
        <v>664479.05</v>
      </c>
      <c r="I26" s="810">
        <v>731786.55</v>
      </c>
      <c r="J26" s="810">
        <v>543447.71</v>
      </c>
      <c r="K26" s="810">
        <v>549690.78</v>
      </c>
      <c r="L26" s="810">
        <v>499279.73</v>
      </c>
      <c r="M26" s="810">
        <v>561064.93</v>
      </c>
      <c r="N26" s="810">
        <v>513264.69</v>
      </c>
      <c r="O26" s="810">
        <v>483063.82</v>
      </c>
      <c r="P26" s="642">
        <f>SUM(D26:O26)</f>
        <v>6781845.41</v>
      </c>
      <c r="Q26" s="4"/>
      <c r="R26" s="9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0.5" customHeight="1">
      <c r="A27" s="800" t="s">
        <v>233</v>
      </c>
      <c r="B27" s="801">
        <v>7.0</v>
      </c>
      <c r="C27" s="82" t="s">
        <v>80</v>
      </c>
      <c r="D27" s="810">
        <f t="shared" ref="D27:P27" si="8">D25-D26</f>
        <v>3544560.25</v>
      </c>
      <c r="E27" s="810">
        <f t="shared" si="8"/>
        <v>3520369.06</v>
      </c>
      <c r="F27" s="810">
        <f t="shared" si="8"/>
        <v>3495332.95</v>
      </c>
      <c r="G27" s="810">
        <f t="shared" si="8"/>
        <v>3456088.3</v>
      </c>
      <c r="H27" s="810">
        <f t="shared" si="8"/>
        <v>3412137.26</v>
      </c>
      <c r="I27" s="810">
        <f t="shared" si="8"/>
        <v>3384299</v>
      </c>
      <c r="J27" s="810">
        <f t="shared" si="8"/>
        <v>3581184.38</v>
      </c>
      <c r="K27" s="810">
        <f t="shared" si="8"/>
        <v>3575255.86</v>
      </c>
      <c r="L27" s="810">
        <f t="shared" si="8"/>
        <v>3637296.83</v>
      </c>
      <c r="M27" s="810">
        <f t="shared" si="8"/>
        <v>3620785.36</v>
      </c>
      <c r="N27" s="810">
        <f t="shared" si="8"/>
        <v>3776765.32</v>
      </c>
      <c r="O27" s="810">
        <f t="shared" si="8"/>
        <v>3814759.47</v>
      </c>
      <c r="P27" s="642">
        <f t="shared" si="8"/>
        <v>42818834.04</v>
      </c>
      <c r="Q27" s="802"/>
      <c r="R27" s="803"/>
      <c r="S27" s="802"/>
      <c r="T27" s="802"/>
      <c r="U27" s="802"/>
      <c r="V27" s="802"/>
      <c r="W27" s="802"/>
      <c r="X27" s="802"/>
      <c r="Y27" s="802"/>
      <c r="Z27" s="802"/>
      <c r="AA27" s="802"/>
      <c r="AB27" s="802"/>
      <c r="AC27" s="802"/>
      <c r="AD27" s="802"/>
      <c r="AE27" s="802"/>
      <c r="AF27" s="802"/>
    </row>
    <row r="28" ht="10.5" customHeight="1">
      <c r="A28" s="630" t="s">
        <v>234</v>
      </c>
      <c r="B28" s="632">
        <v>8.0</v>
      </c>
      <c r="C28" s="82" t="s">
        <v>82</v>
      </c>
      <c r="D28" s="810">
        <v>118536.09</v>
      </c>
      <c r="E28" s="810">
        <v>118798.32</v>
      </c>
      <c r="F28" s="810">
        <v>118858.72</v>
      </c>
      <c r="G28" s="810">
        <v>119249.77</v>
      </c>
      <c r="H28" s="810">
        <v>119295.1</v>
      </c>
      <c r="I28" s="810">
        <v>118973.94</v>
      </c>
      <c r="J28" s="810">
        <v>117752.0</v>
      </c>
      <c r="K28" s="810">
        <v>118410.24</v>
      </c>
      <c r="L28" s="810">
        <v>118510.4</v>
      </c>
      <c r="M28" s="810">
        <v>118514.83</v>
      </c>
      <c r="N28" s="810">
        <v>112679.63</v>
      </c>
      <c r="O28" s="810">
        <v>127524.02</v>
      </c>
      <c r="P28" s="642">
        <f>SUM(D28:O28)</f>
        <v>1427103.06</v>
      </c>
      <c r="Q28" s="4"/>
      <c r="R28" s="9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0.5" customHeight="1">
      <c r="A29" s="630" t="s">
        <v>235</v>
      </c>
      <c r="B29" s="632">
        <v>9.0</v>
      </c>
      <c r="C29" s="82" t="s">
        <v>83</v>
      </c>
      <c r="D29" s="810">
        <f t="shared" ref="D29:P29" si="9">D27-D28</f>
        <v>3426024.16</v>
      </c>
      <c r="E29" s="810">
        <f t="shared" si="9"/>
        <v>3401570.74</v>
      </c>
      <c r="F29" s="810">
        <f t="shared" si="9"/>
        <v>3376474.23</v>
      </c>
      <c r="G29" s="810">
        <f t="shared" si="9"/>
        <v>3336838.53</v>
      </c>
      <c r="H29" s="810">
        <f t="shared" si="9"/>
        <v>3292842.16</v>
      </c>
      <c r="I29" s="810">
        <f t="shared" si="9"/>
        <v>3265325.06</v>
      </c>
      <c r="J29" s="810">
        <f t="shared" si="9"/>
        <v>3463432.38</v>
      </c>
      <c r="K29" s="810">
        <f t="shared" si="9"/>
        <v>3456845.62</v>
      </c>
      <c r="L29" s="810">
        <f t="shared" si="9"/>
        <v>3518786.43</v>
      </c>
      <c r="M29" s="810">
        <f t="shared" si="9"/>
        <v>3502270.53</v>
      </c>
      <c r="N29" s="810">
        <f t="shared" si="9"/>
        <v>3664085.69</v>
      </c>
      <c r="O29" s="810">
        <f t="shared" si="9"/>
        <v>3687235.45</v>
      </c>
      <c r="P29" s="642">
        <f t="shared" si="9"/>
        <v>41391730.98</v>
      </c>
      <c r="Q29" s="4"/>
      <c r="R29" s="9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0.5" customHeight="1">
      <c r="A30" s="4"/>
      <c r="B30" s="632">
        <v>10.0</v>
      </c>
      <c r="C30" s="82" t="s">
        <v>84</v>
      </c>
      <c r="D30" s="810">
        <v>335627.6</v>
      </c>
      <c r="E30" s="810">
        <v>211590.56</v>
      </c>
      <c r="F30" s="810">
        <v>200200.89</v>
      </c>
      <c r="G30" s="810">
        <v>180297.05</v>
      </c>
      <c r="H30" s="810">
        <v>263254.97</v>
      </c>
      <c r="I30" s="810">
        <v>307482.62</v>
      </c>
      <c r="J30" s="810">
        <v>221462.75</v>
      </c>
      <c r="K30" s="810">
        <v>239815.7</v>
      </c>
      <c r="L30" s="810">
        <v>199921.06</v>
      </c>
      <c r="M30" s="810">
        <v>277496.56</v>
      </c>
      <c r="N30" s="810">
        <v>300244.43</v>
      </c>
      <c r="O30" s="810">
        <v>583009.85</v>
      </c>
      <c r="P30" s="642">
        <f t="shared" ref="P30:P34" si="10">SUM(D30:O30)</f>
        <v>3320404.04</v>
      </c>
      <c r="Q30" s="4"/>
      <c r="R30" s="9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0.5" customHeight="1">
      <c r="A31" s="630" t="s">
        <v>238</v>
      </c>
      <c r="B31" s="632">
        <v>11.0</v>
      </c>
      <c r="C31" s="82" t="s">
        <v>236</v>
      </c>
      <c r="D31" s="810">
        <v>11950.0</v>
      </c>
      <c r="E31" s="810">
        <v>13950.0</v>
      </c>
      <c r="F31" s="810">
        <v>12950.0</v>
      </c>
      <c r="G31" s="810">
        <v>13950.0</v>
      </c>
      <c r="H31" s="810">
        <v>21950.0</v>
      </c>
      <c r="I31" s="810">
        <v>22950.0</v>
      </c>
      <c r="J31" s="810">
        <v>23950.0</v>
      </c>
      <c r="K31" s="810">
        <v>12950.0</v>
      </c>
      <c r="L31" s="810">
        <v>12950.0</v>
      </c>
      <c r="M31" s="810">
        <v>13950.0</v>
      </c>
      <c r="N31" s="810">
        <v>11950.0</v>
      </c>
      <c r="O31" s="810">
        <v>12950.0</v>
      </c>
      <c r="P31" s="642">
        <f t="shared" si="10"/>
        <v>186400</v>
      </c>
      <c r="Q31" s="4"/>
      <c r="R31" s="9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0.5" customHeight="1">
      <c r="A32" s="630" t="s">
        <v>240</v>
      </c>
      <c r="B32" s="632">
        <v>12.0</v>
      </c>
      <c r="C32" s="82" t="s">
        <v>237</v>
      </c>
      <c r="D32" s="810">
        <v>278442.36</v>
      </c>
      <c r="E32" s="810">
        <v>269920.63</v>
      </c>
      <c r="F32" s="810">
        <v>272268.6</v>
      </c>
      <c r="G32" s="810">
        <v>264220.16</v>
      </c>
      <c r="H32" s="810">
        <v>259776.27</v>
      </c>
      <c r="I32" s="810">
        <v>545199.62</v>
      </c>
      <c r="J32" s="810">
        <v>346302.09</v>
      </c>
      <c r="K32" s="810">
        <v>340238.81</v>
      </c>
      <c r="L32" s="810">
        <v>636622.59</v>
      </c>
      <c r="M32" s="810">
        <v>429239.9</v>
      </c>
      <c r="N32" s="810">
        <v>418573.35</v>
      </c>
      <c r="O32" s="810">
        <v>417749.49</v>
      </c>
      <c r="P32" s="642">
        <f t="shared" si="10"/>
        <v>4478553.87</v>
      </c>
      <c r="Q32" s="4"/>
      <c r="R32" s="9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0.5" customHeight="1">
      <c r="A33" s="630" t="s">
        <v>242</v>
      </c>
      <c r="B33" s="632">
        <v>13.0</v>
      </c>
      <c r="C33" s="82" t="s">
        <v>239</v>
      </c>
      <c r="D33" s="810">
        <f t="shared" ref="D33:O33" si="11">D29+D30+D31-D32</f>
        <v>3495159.4</v>
      </c>
      <c r="E33" s="810">
        <f t="shared" si="11"/>
        <v>3357190.67</v>
      </c>
      <c r="F33" s="810">
        <f t="shared" si="11"/>
        <v>3317356.52</v>
      </c>
      <c r="G33" s="810">
        <f t="shared" si="11"/>
        <v>3266865.42</v>
      </c>
      <c r="H33" s="810">
        <f t="shared" si="11"/>
        <v>3318270.86</v>
      </c>
      <c r="I33" s="810">
        <f t="shared" si="11"/>
        <v>3050558.06</v>
      </c>
      <c r="J33" s="810">
        <f t="shared" si="11"/>
        <v>3362543.04</v>
      </c>
      <c r="K33" s="810">
        <f t="shared" si="11"/>
        <v>3369372.51</v>
      </c>
      <c r="L33" s="810">
        <f t="shared" si="11"/>
        <v>3095034.9</v>
      </c>
      <c r="M33" s="810">
        <f t="shared" si="11"/>
        <v>3364477.19</v>
      </c>
      <c r="N33" s="810">
        <f t="shared" si="11"/>
        <v>3557706.77</v>
      </c>
      <c r="O33" s="810">
        <f t="shared" si="11"/>
        <v>3865445.81</v>
      </c>
      <c r="P33" s="642">
        <f t="shared" si="10"/>
        <v>40419981.15</v>
      </c>
      <c r="Q33" s="4"/>
      <c r="R33" s="9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0.5" customHeight="1">
      <c r="A34" s="4"/>
      <c r="B34" s="4"/>
      <c r="C34" s="82" t="s">
        <v>241</v>
      </c>
      <c r="D34" s="810">
        <v>460490.4</v>
      </c>
      <c r="E34" s="810">
        <v>461881.0</v>
      </c>
      <c r="F34" s="810">
        <v>461654.17</v>
      </c>
      <c r="G34" s="810">
        <v>462193.77</v>
      </c>
      <c r="H34" s="810">
        <v>466130.08</v>
      </c>
      <c r="I34" s="810">
        <v>470940.29</v>
      </c>
      <c r="J34" s="810">
        <v>472377.75</v>
      </c>
      <c r="K34" s="810">
        <v>468408.82</v>
      </c>
      <c r="L34" s="810">
        <v>469793.24</v>
      </c>
      <c r="M34" s="810">
        <v>475493.63</v>
      </c>
      <c r="N34" s="810">
        <v>486656.65</v>
      </c>
      <c r="O34" s="810">
        <v>488099.89</v>
      </c>
      <c r="P34" s="642">
        <f t="shared" si="10"/>
        <v>5644119.69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0.5" customHeight="1">
      <c r="A35" s="804"/>
      <c r="B35" s="804"/>
      <c r="C35" s="82" t="s">
        <v>243</v>
      </c>
      <c r="D35" s="810">
        <f t="shared" ref="D35:P35" si="12">D33-D34</f>
        <v>3034669</v>
      </c>
      <c r="E35" s="810">
        <f t="shared" si="12"/>
        <v>2895309.67</v>
      </c>
      <c r="F35" s="810">
        <f t="shared" si="12"/>
        <v>2855702.35</v>
      </c>
      <c r="G35" s="810">
        <f t="shared" si="12"/>
        <v>2804671.65</v>
      </c>
      <c r="H35" s="810">
        <f t="shared" si="12"/>
        <v>2852140.78</v>
      </c>
      <c r="I35" s="810">
        <f t="shared" si="12"/>
        <v>2579617.77</v>
      </c>
      <c r="J35" s="810">
        <f t="shared" si="12"/>
        <v>2890165.29</v>
      </c>
      <c r="K35" s="810">
        <f t="shared" si="12"/>
        <v>2900963.69</v>
      </c>
      <c r="L35" s="810">
        <f t="shared" si="12"/>
        <v>2625241.66</v>
      </c>
      <c r="M35" s="810">
        <f t="shared" si="12"/>
        <v>2888983.56</v>
      </c>
      <c r="N35" s="810">
        <f t="shared" si="12"/>
        <v>3071050.12</v>
      </c>
      <c r="O35" s="810">
        <f t="shared" si="12"/>
        <v>3377345.92</v>
      </c>
      <c r="P35" s="642">
        <f t="shared" si="12"/>
        <v>34775861.46</v>
      </c>
      <c r="Q35" s="804"/>
      <c r="R35" s="804"/>
      <c r="S35" s="804"/>
      <c r="T35" s="804"/>
      <c r="U35" s="804"/>
      <c r="V35" s="804"/>
      <c r="W35" s="804"/>
      <c r="X35" s="804"/>
      <c r="Y35" s="804"/>
      <c r="Z35" s="804"/>
      <c r="AA35" s="804"/>
      <c r="AB35" s="804"/>
      <c r="AC35" s="804"/>
      <c r="AD35" s="804"/>
      <c r="AE35" s="804"/>
      <c r="AF35" s="804"/>
    </row>
    <row r="36" ht="10.5" customHeight="1">
      <c r="A36" s="804"/>
      <c r="B36" s="804"/>
      <c r="C36" s="804" t="s">
        <v>285</v>
      </c>
      <c r="D36" s="811">
        <f t="shared" ref="D36:P36" si="13">D35*42.5%</f>
        <v>1289734.325</v>
      </c>
      <c r="E36" s="811">
        <f t="shared" si="13"/>
        <v>1230506.61</v>
      </c>
      <c r="F36" s="811">
        <f t="shared" si="13"/>
        <v>1213673.499</v>
      </c>
      <c r="G36" s="811">
        <f t="shared" si="13"/>
        <v>1191985.451</v>
      </c>
      <c r="H36" s="811">
        <f t="shared" si="13"/>
        <v>1212159.832</v>
      </c>
      <c r="I36" s="811">
        <f t="shared" si="13"/>
        <v>1096337.552</v>
      </c>
      <c r="J36" s="811">
        <f t="shared" si="13"/>
        <v>1228320.248</v>
      </c>
      <c r="K36" s="811">
        <f t="shared" si="13"/>
        <v>1232909.568</v>
      </c>
      <c r="L36" s="811">
        <f t="shared" si="13"/>
        <v>1115727.706</v>
      </c>
      <c r="M36" s="811">
        <f t="shared" si="13"/>
        <v>1227818.013</v>
      </c>
      <c r="N36" s="811">
        <f t="shared" si="13"/>
        <v>1305196.301</v>
      </c>
      <c r="O36" s="811">
        <f t="shared" si="13"/>
        <v>1435372.016</v>
      </c>
      <c r="P36" s="811">
        <f t="shared" si="13"/>
        <v>14779741.12</v>
      </c>
      <c r="Q36" s="804"/>
      <c r="R36" s="804"/>
      <c r="S36" s="804"/>
      <c r="T36" s="804"/>
      <c r="U36" s="804"/>
      <c r="V36" s="804"/>
      <c r="W36" s="804"/>
      <c r="X36" s="804"/>
      <c r="Y36" s="804"/>
      <c r="Z36" s="804"/>
      <c r="AA36" s="804"/>
      <c r="AB36" s="804"/>
      <c r="AC36" s="804"/>
      <c r="AD36" s="804"/>
      <c r="AE36" s="804"/>
      <c r="AF36" s="804"/>
    </row>
    <row r="37" ht="10.5" customHeight="1">
      <c r="A37" s="806"/>
      <c r="B37" s="806"/>
      <c r="C37" s="806" t="s">
        <v>70</v>
      </c>
      <c r="D37" s="812">
        <f t="shared" ref="D37:O37" si="14">D35+D36</f>
        <v>4324403.325</v>
      </c>
      <c r="E37" s="812">
        <f t="shared" si="14"/>
        <v>4125816.28</v>
      </c>
      <c r="F37" s="812">
        <f t="shared" si="14"/>
        <v>4069375.849</v>
      </c>
      <c r="G37" s="812">
        <f t="shared" si="14"/>
        <v>3996657.101</v>
      </c>
      <c r="H37" s="812">
        <f t="shared" si="14"/>
        <v>4064300.612</v>
      </c>
      <c r="I37" s="812">
        <f t="shared" si="14"/>
        <v>3675955.322</v>
      </c>
      <c r="J37" s="812">
        <f t="shared" si="14"/>
        <v>4118485.538</v>
      </c>
      <c r="K37" s="812">
        <f t="shared" si="14"/>
        <v>4133873.258</v>
      </c>
      <c r="L37" s="812">
        <f t="shared" si="14"/>
        <v>3740969.366</v>
      </c>
      <c r="M37" s="812">
        <f t="shared" si="14"/>
        <v>4116801.573</v>
      </c>
      <c r="N37" s="812">
        <f t="shared" si="14"/>
        <v>4376246.421</v>
      </c>
      <c r="O37" s="812">
        <f t="shared" si="14"/>
        <v>4812717.936</v>
      </c>
      <c r="P37" s="812">
        <f>SUM(D37:O37)</f>
        <v>49555602.58</v>
      </c>
      <c r="Q37" s="806"/>
      <c r="R37" s="806"/>
      <c r="S37" s="806"/>
      <c r="T37" s="806"/>
      <c r="U37" s="806"/>
      <c r="V37" s="806"/>
      <c r="W37" s="806"/>
      <c r="X37" s="806"/>
      <c r="Y37" s="806"/>
      <c r="Z37" s="806"/>
      <c r="AA37" s="806"/>
      <c r="AB37" s="806"/>
      <c r="AC37" s="806"/>
      <c r="AD37" s="806"/>
      <c r="AE37" s="806"/>
      <c r="AF37" s="806"/>
    </row>
    <row r="38" ht="10.5" customHeight="1">
      <c r="A38" s="4"/>
      <c r="B38" s="4"/>
      <c r="C38" s="4"/>
      <c r="D38" s="4"/>
      <c r="E38" s="4"/>
      <c r="F38" s="4"/>
      <c r="G38" s="4"/>
      <c r="H38" s="4"/>
      <c r="I38" s="684">
        <f>(320791.08*98%)</f>
        <v>314375.2584</v>
      </c>
      <c r="J38" s="813">
        <v>307482.62</v>
      </c>
      <c r="K38" s="684">
        <f>I38-J38</f>
        <v>6892.6384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0.5" customHeight="1">
      <c r="A39" s="4"/>
      <c r="B39" s="78" t="s">
        <v>224</v>
      </c>
      <c r="C39" s="814" t="s">
        <v>287</v>
      </c>
      <c r="D39" s="815" t="s">
        <v>58</v>
      </c>
      <c r="E39" s="815" t="s">
        <v>59</v>
      </c>
      <c r="F39" s="815" t="s">
        <v>60</v>
      </c>
      <c r="G39" s="815" t="s">
        <v>61</v>
      </c>
      <c r="H39" s="815" t="s">
        <v>62</v>
      </c>
      <c r="I39" s="815" t="s">
        <v>63</v>
      </c>
      <c r="J39" s="815" t="s">
        <v>64</v>
      </c>
      <c r="K39" s="815" t="s">
        <v>65</v>
      </c>
      <c r="L39" s="815" t="s">
        <v>66</v>
      </c>
      <c r="M39" s="815" t="s">
        <v>67</v>
      </c>
      <c r="N39" s="815" t="s">
        <v>68</v>
      </c>
      <c r="O39" s="816" t="s">
        <v>69</v>
      </c>
      <c r="P39" s="815" t="s">
        <v>70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0.5" customHeight="1">
      <c r="A40" s="630" t="s">
        <v>226</v>
      </c>
      <c r="B40" s="632">
        <v>1.0</v>
      </c>
      <c r="C40" s="817" t="s">
        <v>40</v>
      </c>
      <c r="D40" s="818">
        <v>4280823.26</v>
      </c>
      <c r="E40" s="818">
        <v>4257963.71</v>
      </c>
      <c r="F40" s="695">
        <v>4283229.46</v>
      </c>
      <c r="G40" s="695">
        <v>4261812.45</v>
      </c>
      <c r="H40" s="695">
        <v>4270127.81</v>
      </c>
      <c r="I40" s="695">
        <v>4320626.03</v>
      </c>
      <c r="J40" s="637">
        <v>4343579.05</v>
      </c>
      <c r="K40" s="637">
        <v>4349331.58</v>
      </c>
      <c r="L40" s="637">
        <v>4358350.96</v>
      </c>
      <c r="M40" s="637">
        <v>4364305.28</v>
      </c>
      <c r="N40" s="637">
        <v>4506604.31</v>
      </c>
      <c r="O40" s="637">
        <v>4515354.53</v>
      </c>
      <c r="P40" s="642">
        <f t="shared" ref="P40:P43" si="15">SUM(D40:O40)</f>
        <v>52112108.43</v>
      </c>
      <c r="Q40" s="4"/>
      <c r="R40" s="9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0.5" customHeight="1">
      <c r="A41" s="630" t="s">
        <v>227</v>
      </c>
      <c r="B41" s="632">
        <v>2.0</v>
      </c>
      <c r="C41" s="817" t="s">
        <v>71</v>
      </c>
      <c r="D41" s="818">
        <v>177969.37</v>
      </c>
      <c r="E41" s="818">
        <v>179485.36</v>
      </c>
      <c r="F41" s="695">
        <v>179000.81</v>
      </c>
      <c r="G41" s="695">
        <v>179088.78</v>
      </c>
      <c r="H41" s="695">
        <v>172763.09</v>
      </c>
      <c r="I41" s="695">
        <v>175413.69</v>
      </c>
      <c r="J41" s="637">
        <v>175103.2</v>
      </c>
      <c r="K41" s="637">
        <v>175313.17</v>
      </c>
      <c r="L41" s="637">
        <v>175642.38</v>
      </c>
      <c r="M41" s="637">
        <v>175859.71</v>
      </c>
      <c r="N41" s="637">
        <v>181053.62</v>
      </c>
      <c r="O41" s="637">
        <v>181373.01</v>
      </c>
      <c r="P41" s="642">
        <f t="shared" si="15"/>
        <v>2128066.19</v>
      </c>
      <c r="Q41" s="4"/>
      <c r="R41" s="9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0.5" customHeight="1">
      <c r="A42" s="630" t="s">
        <v>229</v>
      </c>
      <c r="B42" s="632">
        <v>3.0</v>
      </c>
      <c r="C42" s="817" t="s">
        <v>72</v>
      </c>
      <c r="D42" s="818">
        <v>4102853.8899999997</v>
      </c>
      <c r="E42" s="818">
        <v>4078478.35</v>
      </c>
      <c r="F42" s="695">
        <f>F40-F41</f>
        <v>4104228.65</v>
      </c>
      <c r="G42" s="695">
        <v>4082723.6700000004</v>
      </c>
      <c r="H42" s="695">
        <v>4097364.7199999997</v>
      </c>
      <c r="I42" s="695">
        <v>4145212.3400000003</v>
      </c>
      <c r="J42" s="637">
        <f t="shared" ref="J42:O42" si="16">J40-J41</f>
        <v>4168475.85</v>
      </c>
      <c r="K42" s="637">
        <f t="shared" si="16"/>
        <v>4174018.41</v>
      </c>
      <c r="L42" s="637">
        <f t="shared" si="16"/>
        <v>4182708.58</v>
      </c>
      <c r="M42" s="637">
        <f t="shared" si="16"/>
        <v>4188445.57</v>
      </c>
      <c r="N42" s="637">
        <f t="shared" si="16"/>
        <v>4325550.69</v>
      </c>
      <c r="O42" s="637">
        <f t="shared" si="16"/>
        <v>4333981.52</v>
      </c>
      <c r="P42" s="642">
        <f t="shared" si="15"/>
        <v>49984042.24</v>
      </c>
      <c r="Q42" s="4"/>
      <c r="R42" s="9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0.5" customHeight="1">
      <c r="A43" s="630" t="s">
        <v>230</v>
      </c>
      <c r="B43" s="632">
        <v>4.0</v>
      </c>
      <c r="C43" s="817" t="s">
        <v>73</v>
      </c>
      <c r="D43" s="818">
        <v>0.0</v>
      </c>
      <c r="E43" s="818">
        <v>0.0</v>
      </c>
      <c r="F43" s="695">
        <v>0.0</v>
      </c>
      <c r="G43" s="695">
        <v>0.0</v>
      </c>
      <c r="H43" s="650">
        <v>0.0</v>
      </c>
      <c r="I43" s="650">
        <v>0.0</v>
      </c>
      <c r="J43" s="637">
        <f t="shared" ref="J43:N43" si="17">J62</f>
        <v>1029672.484</v>
      </c>
      <c r="K43" s="637">
        <f t="shared" si="17"/>
        <v>1051307.623</v>
      </c>
      <c r="L43" s="637">
        <f t="shared" si="17"/>
        <v>1074583.73</v>
      </c>
      <c r="M43" s="637">
        <f t="shared" si="17"/>
        <v>1122655.848</v>
      </c>
      <c r="N43" s="637">
        <f t="shared" si="17"/>
        <v>1165447.656</v>
      </c>
      <c r="O43" s="637">
        <v>0.0</v>
      </c>
      <c r="P43" s="642">
        <f t="shared" si="15"/>
        <v>5443667.342</v>
      </c>
      <c r="Q43" s="4"/>
      <c r="R43" s="9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0.5" customHeight="1">
      <c r="A44" s="630" t="s">
        <v>231</v>
      </c>
      <c r="B44" s="632">
        <v>5.0</v>
      </c>
      <c r="C44" s="817" t="s">
        <v>75</v>
      </c>
      <c r="D44" s="818">
        <v>4102853.8899999997</v>
      </c>
      <c r="E44" s="818">
        <v>4078478.35</v>
      </c>
      <c r="F44" s="695">
        <f>F42-F43</f>
        <v>4104228.65</v>
      </c>
      <c r="G44" s="695">
        <v>4082723.6700000004</v>
      </c>
      <c r="H44" s="695">
        <v>4097364.7199999997</v>
      </c>
      <c r="I44" s="695">
        <v>4145212.3400000003</v>
      </c>
      <c r="J44" s="637">
        <f t="shared" ref="J44:P44" si="18">J42-J43</f>
        <v>3138803.366</v>
      </c>
      <c r="K44" s="637">
        <f t="shared" si="18"/>
        <v>3122710.787</v>
      </c>
      <c r="L44" s="637">
        <f t="shared" si="18"/>
        <v>3108124.85</v>
      </c>
      <c r="M44" s="637">
        <f t="shared" si="18"/>
        <v>3065789.722</v>
      </c>
      <c r="N44" s="637">
        <f t="shared" si="18"/>
        <v>3160103.034</v>
      </c>
      <c r="O44" s="637">
        <f t="shared" si="18"/>
        <v>4333981.52</v>
      </c>
      <c r="P44" s="819">
        <f t="shared" si="18"/>
        <v>44540374.9</v>
      </c>
      <c r="Q44" s="4"/>
      <c r="R44" s="9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0.5" customHeight="1">
      <c r="A45" s="820" t="s">
        <v>232</v>
      </c>
      <c r="B45" s="821">
        <v>6.0</v>
      </c>
      <c r="C45" s="822" t="s">
        <v>77</v>
      </c>
      <c r="D45" s="818">
        <v>653027.64</v>
      </c>
      <c r="E45" s="818">
        <v>584593.06</v>
      </c>
      <c r="F45" s="695">
        <v>552930.55</v>
      </c>
      <c r="G45" s="695">
        <v>533062.26</v>
      </c>
      <c r="H45" s="695">
        <v>481941.87</v>
      </c>
      <c r="I45" s="695">
        <v>497040.16</v>
      </c>
      <c r="J45" s="637">
        <v>530345.22</v>
      </c>
      <c r="K45" s="637">
        <v>570753.14</v>
      </c>
      <c r="L45" s="637">
        <v>547868.68</v>
      </c>
      <c r="M45" s="637">
        <v>481322.04</v>
      </c>
      <c r="N45" s="637">
        <v>484987.48</v>
      </c>
      <c r="O45" s="637">
        <v>515901.21</v>
      </c>
      <c r="P45" s="810">
        <f>SUM(D45:O45)</f>
        <v>6433773.31</v>
      </c>
      <c r="Q45" s="823"/>
      <c r="R45" s="824"/>
      <c r="S45" s="823"/>
      <c r="T45" s="823"/>
      <c r="U45" s="823"/>
      <c r="V45" s="823"/>
      <c r="W45" s="823"/>
      <c r="X45" s="823"/>
      <c r="Y45" s="823"/>
      <c r="Z45" s="823"/>
      <c r="AA45" s="823"/>
      <c r="AB45" s="823"/>
      <c r="AC45" s="823"/>
      <c r="AD45" s="823"/>
      <c r="AE45" s="823"/>
      <c r="AF45" s="823"/>
    </row>
    <row r="46" ht="10.5" customHeight="1">
      <c r="A46" s="800" t="s">
        <v>233</v>
      </c>
      <c r="B46" s="801">
        <v>7.0</v>
      </c>
      <c r="C46" s="825" t="s">
        <v>80</v>
      </c>
      <c r="D46" s="818">
        <v>3449826.2499999995</v>
      </c>
      <c r="E46" s="818">
        <v>3493885.29</v>
      </c>
      <c r="F46" s="695">
        <f>F44-F45</f>
        <v>3551298.1</v>
      </c>
      <c r="G46" s="695">
        <v>3549661.41</v>
      </c>
      <c r="H46" s="695">
        <v>3615422.8499999996</v>
      </c>
      <c r="I46" s="695">
        <v>3648172.18</v>
      </c>
      <c r="J46" s="637">
        <f t="shared" ref="J46:P46" si="19">J44-J45</f>
        <v>2608458.146</v>
      </c>
      <c r="K46" s="637">
        <f t="shared" si="19"/>
        <v>2551957.647</v>
      </c>
      <c r="L46" s="637">
        <f t="shared" si="19"/>
        <v>2560256.17</v>
      </c>
      <c r="M46" s="637">
        <f t="shared" si="19"/>
        <v>2584467.682</v>
      </c>
      <c r="N46" s="637">
        <f t="shared" si="19"/>
        <v>2675115.554</v>
      </c>
      <c r="O46" s="637">
        <f t="shared" si="19"/>
        <v>3818080.31</v>
      </c>
      <c r="P46" s="819">
        <f t="shared" si="19"/>
        <v>38106601.59</v>
      </c>
      <c r="Q46" s="802"/>
      <c r="R46" s="803"/>
      <c r="S46" s="802"/>
      <c r="T46" s="802"/>
      <c r="U46" s="802"/>
      <c r="V46" s="802"/>
      <c r="W46" s="802"/>
      <c r="X46" s="802"/>
      <c r="Y46" s="802"/>
      <c r="Z46" s="802"/>
      <c r="AA46" s="802"/>
      <c r="AB46" s="802"/>
      <c r="AC46" s="802"/>
      <c r="AD46" s="802"/>
      <c r="AE46" s="802"/>
      <c r="AF46" s="802"/>
    </row>
    <row r="47" ht="10.5" customHeight="1">
      <c r="A47" s="630" t="s">
        <v>234</v>
      </c>
      <c r="B47" s="632">
        <v>8.0</v>
      </c>
      <c r="C47" s="817" t="s">
        <v>82</v>
      </c>
      <c r="D47" s="818">
        <v>119336.25</v>
      </c>
      <c r="E47" s="818">
        <v>118348.25</v>
      </c>
      <c r="F47" s="695">
        <v>117952.35</v>
      </c>
      <c r="G47" s="695">
        <v>117482.45</v>
      </c>
      <c r="H47" s="695">
        <v>117397.26</v>
      </c>
      <c r="I47" s="695">
        <v>117397.26</v>
      </c>
      <c r="J47" s="637">
        <v>117453.99</v>
      </c>
      <c r="K47" s="637">
        <v>118176.54</v>
      </c>
      <c r="L47" s="637">
        <v>118600.51</v>
      </c>
      <c r="M47" s="637">
        <v>118604.94</v>
      </c>
      <c r="N47" s="637">
        <v>112769.74</v>
      </c>
      <c r="O47" s="637">
        <v>127598.12</v>
      </c>
      <c r="P47" s="810">
        <f>SUM(D47:O47)</f>
        <v>1421117.66</v>
      </c>
      <c r="Q47" s="4"/>
      <c r="R47" s="9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0.5" customHeight="1">
      <c r="A48" s="630" t="s">
        <v>235</v>
      </c>
      <c r="B48" s="632">
        <v>9.0</v>
      </c>
      <c r="C48" s="817" t="s">
        <v>83</v>
      </c>
      <c r="D48" s="818">
        <v>3330489.9999999995</v>
      </c>
      <c r="E48" s="818">
        <v>3375537.04</v>
      </c>
      <c r="F48" s="695">
        <f>F46-F47</f>
        <v>3433345.75</v>
      </c>
      <c r="G48" s="695">
        <v>3432178.96</v>
      </c>
      <c r="H48" s="695">
        <v>3498025.59</v>
      </c>
      <c r="I48" s="695">
        <v>3530774.9200000004</v>
      </c>
      <c r="J48" s="637">
        <f t="shared" ref="J48:P48" si="20">J46-J47</f>
        <v>2491004.156</v>
      </c>
      <c r="K48" s="637">
        <f t="shared" si="20"/>
        <v>2433781.107</v>
      </c>
      <c r="L48" s="637">
        <f t="shared" si="20"/>
        <v>2441655.66</v>
      </c>
      <c r="M48" s="637">
        <f t="shared" si="20"/>
        <v>2465862.742</v>
      </c>
      <c r="N48" s="637">
        <f t="shared" si="20"/>
        <v>2562345.814</v>
      </c>
      <c r="O48" s="637">
        <f t="shared" si="20"/>
        <v>3690482.19</v>
      </c>
      <c r="P48" s="819">
        <f t="shared" si="20"/>
        <v>36685483.93</v>
      </c>
      <c r="Q48" s="4"/>
      <c r="R48" s="9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0.5" customHeight="1">
      <c r="A49" s="4"/>
      <c r="B49" s="632">
        <v>10.0</v>
      </c>
      <c r="C49" s="817" t="s">
        <v>84</v>
      </c>
      <c r="D49" s="818">
        <v>436948.66</v>
      </c>
      <c r="E49" s="818">
        <v>321271.38</v>
      </c>
      <c r="F49" s="695">
        <v>316530.68</v>
      </c>
      <c r="G49" s="695">
        <v>335100.14</v>
      </c>
      <c r="H49" s="695">
        <v>416587.24</v>
      </c>
      <c r="I49" s="695">
        <v>326416.55000000005</v>
      </c>
      <c r="J49" s="637">
        <v>319153.21</v>
      </c>
      <c r="K49" s="637">
        <v>338058.31</v>
      </c>
      <c r="L49" s="637">
        <v>288430.62</v>
      </c>
      <c r="M49" s="637">
        <v>318680.65</v>
      </c>
      <c r="N49" s="637">
        <v>369546.04</v>
      </c>
      <c r="O49" s="637">
        <v>647032.33</v>
      </c>
      <c r="P49" s="810">
        <f t="shared" ref="P49:P55" si="21">SUM(D49:O49)</f>
        <v>4433755.81</v>
      </c>
      <c r="Q49" s="4"/>
      <c r="R49" s="9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0.5" customHeight="1">
      <c r="A50" s="4"/>
      <c r="B50" s="632"/>
      <c r="C50" s="817" t="s">
        <v>118</v>
      </c>
      <c r="D50" s="818">
        <v>31135.92</v>
      </c>
      <c r="E50" s="818">
        <v>23066.49</v>
      </c>
      <c r="F50" s="695">
        <v>39267.39</v>
      </c>
      <c r="G50" s="695">
        <v>37589.36</v>
      </c>
      <c r="H50" s="695">
        <v>34566.45</v>
      </c>
      <c r="I50" s="695">
        <v>45933.7</v>
      </c>
      <c r="J50" s="637">
        <v>32284.02</v>
      </c>
      <c r="K50" s="637">
        <v>47849.23</v>
      </c>
      <c r="L50" s="637">
        <v>26694.84</v>
      </c>
      <c r="M50" s="637">
        <v>28006.23</v>
      </c>
      <c r="N50" s="637">
        <v>40478.29</v>
      </c>
      <c r="O50" s="637">
        <v>21148.2</v>
      </c>
      <c r="P50" s="810">
        <f t="shared" si="21"/>
        <v>408020.12</v>
      </c>
      <c r="Q50" s="4"/>
      <c r="R50" s="9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0.5" customHeight="1">
      <c r="A51" s="4"/>
      <c r="B51" s="632"/>
      <c r="C51" s="817" t="s">
        <v>121</v>
      </c>
      <c r="D51" s="818">
        <v>262428.07</v>
      </c>
      <c r="E51" s="818">
        <v>228730.17</v>
      </c>
      <c r="F51" s="695">
        <v>267799.13</v>
      </c>
      <c r="G51" s="695">
        <v>245056.13</v>
      </c>
      <c r="H51" s="695">
        <v>239451.93</v>
      </c>
      <c r="I51" s="695">
        <v>251283.89</v>
      </c>
      <c r="J51" s="637">
        <v>553761.09</v>
      </c>
      <c r="K51" s="637">
        <v>346759.81</v>
      </c>
      <c r="L51" s="637">
        <v>640639.59</v>
      </c>
      <c r="M51" s="637">
        <v>435660.9</v>
      </c>
      <c r="N51" s="637">
        <v>424844.35</v>
      </c>
      <c r="O51" s="637">
        <v>424020.49</v>
      </c>
      <c r="P51" s="810">
        <f t="shared" si="21"/>
        <v>4320435.55</v>
      </c>
      <c r="Q51" s="4"/>
      <c r="R51" s="9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0.5" customHeight="1">
      <c r="A52" s="4"/>
      <c r="B52" s="632"/>
      <c r="C52" s="826" t="s">
        <v>288</v>
      </c>
      <c r="D52" s="827"/>
      <c r="E52" s="827"/>
      <c r="F52" s="642"/>
      <c r="G52" s="642"/>
      <c r="H52" s="797"/>
      <c r="I52" s="797"/>
      <c r="J52" s="797"/>
      <c r="K52" s="797"/>
      <c r="L52" s="797"/>
      <c r="M52" s="797"/>
      <c r="N52" s="797"/>
      <c r="O52" s="797"/>
      <c r="P52" s="642">
        <f t="shared" si="21"/>
        <v>0</v>
      </c>
      <c r="Q52" s="4"/>
      <c r="R52" s="9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0.5" customHeight="1">
      <c r="A53" s="630" t="s">
        <v>238</v>
      </c>
      <c r="B53" s="632">
        <v>11.0</v>
      </c>
      <c r="C53" s="817" t="s">
        <v>86</v>
      </c>
      <c r="D53" s="828">
        <v>3536146.51</v>
      </c>
      <c r="E53" s="828">
        <v>3491144.74</v>
      </c>
      <c r="F53" s="695">
        <v>3521344.69</v>
      </c>
      <c r="G53" s="695">
        <v>3559812.33</v>
      </c>
      <c r="H53" s="695">
        <v>3709727.35</v>
      </c>
      <c r="I53" s="695">
        <v>3651841.2800000007</v>
      </c>
      <c r="J53" s="637">
        <v>3318352.78</v>
      </c>
      <c r="K53" s="637">
        <v>3524236.46</v>
      </c>
      <c r="L53" s="637">
        <v>3190725.2600000002</v>
      </c>
      <c r="M53" s="637">
        <v>3499544.5700000003</v>
      </c>
      <c r="N53" s="637">
        <v>3712973.4499999993</v>
      </c>
      <c r="O53" s="637">
        <v>3934642.2300000004</v>
      </c>
      <c r="P53" s="642">
        <f t="shared" si="21"/>
        <v>42650491.65</v>
      </c>
      <c r="Q53" s="4"/>
      <c r="R53" s="9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0.5" customHeight="1">
      <c r="A54" s="630" t="s">
        <v>240</v>
      </c>
      <c r="B54" s="632">
        <v>12.0</v>
      </c>
      <c r="C54" s="817" t="s">
        <v>87</v>
      </c>
      <c r="D54" s="818">
        <v>503754.3</v>
      </c>
      <c r="E54" s="818">
        <v>497480.27</v>
      </c>
      <c r="F54" s="695">
        <v>506074.84</v>
      </c>
      <c r="G54" s="695">
        <v>513922.31</v>
      </c>
      <c r="H54" s="695">
        <v>514725.87</v>
      </c>
      <c r="I54" s="695">
        <v>524522.51</v>
      </c>
      <c r="J54" s="637">
        <v>522943.42</v>
      </c>
      <c r="K54" s="637">
        <v>528924.06</v>
      </c>
      <c r="L54" s="637">
        <v>522811.7</v>
      </c>
      <c r="M54" s="637">
        <v>523976.49</v>
      </c>
      <c r="N54" s="637">
        <v>545247.62</v>
      </c>
      <c r="O54" s="637">
        <v>539722.61</v>
      </c>
      <c r="P54" s="642">
        <f t="shared" si="21"/>
        <v>6244106</v>
      </c>
      <c r="Q54" s="4"/>
      <c r="R54" s="9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0.5" customHeight="1">
      <c r="A55" s="630" t="s">
        <v>242</v>
      </c>
      <c r="B55" s="632">
        <v>13.0</v>
      </c>
      <c r="C55" s="817" t="s">
        <v>89</v>
      </c>
      <c r="D55" s="818">
        <v>3032392.21</v>
      </c>
      <c r="E55" s="818">
        <v>2993664.47</v>
      </c>
      <c r="F55" s="829">
        <v>3015269.85</v>
      </c>
      <c r="G55" s="829">
        <v>3045890.02</v>
      </c>
      <c r="H55" s="830">
        <v>3195001.48</v>
      </c>
      <c r="I55" s="831">
        <v>3127318.7700000005</v>
      </c>
      <c r="J55" s="831">
        <v>2795409.36</v>
      </c>
      <c r="K55" s="831">
        <v>2995312.4</v>
      </c>
      <c r="L55" s="831">
        <v>2667913.56</v>
      </c>
      <c r="M55" s="831">
        <v>2975568.08</v>
      </c>
      <c r="N55" s="831">
        <v>3167725.829999999</v>
      </c>
      <c r="O55" s="832">
        <v>3394919.6200000006</v>
      </c>
      <c r="P55" s="642">
        <f t="shared" si="21"/>
        <v>36406385.65</v>
      </c>
      <c r="Q55" s="4"/>
      <c r="R55" s="9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0.5" customHeight="1">
      <c r="A56" s="4"/>
      <c r="B56" s="4"/>
      <c r="C56" s="833" t="s">
        <v>289</v>
      </c>
      <c r="D56" s="834">
        <f>D55</f>
        <v>3032392.21</v>
      </c>
      <c r="E56" s="834">
        <f>D55+E55</f>
        <v>6026056.68</v>
      </c>
      <c r="F56" s="834">
        <f t="shared" ref="F56:H56" si="22">E56+F55</f>
        <v>9041326.53</v>
      </c>
      <c r="G56" s="834">
        <f t="shared" si="22"/>
        <v>12087216.55</v>
      </c>
      <c r="H56" s="834">
        <f t="shared" si="22"/>
        <v>15282218.03</v>
      </c>
      <c r="I56" s="835"/>
      <c r="J56" s="835"/>
      <c r="K56" s="835"/>
      <c r="L56" s="835"/>
      <c r="M56" s="835"/>
      <c r="N56" s="835"/>
      <c r="O56" s="835"/>
      <c r="P56" s="836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0.5" customHeight="1">
      <c r="A57" s="804"/>
      <c r="B57" s="804"/>
      <c r="C57" s="837" t="s">
        <v>290</v>
      </c>
      <c r="D57" s="838">
        <f t="shared" ref="D57:O57" si="23">D55*42.5%</f>
        <v>1288766.689</v>
      </c>
      <c r="E57" s="839">
        <f t="shared" si="23"/>
        <v>1272307.4</v>
      </c>
      <c r="F57" s="839">
        <f t="shared" si="23"/>
        <v>1281489.686</v>
      </c>
      <c r="G57" s="839">
        <f t="shared" si="23"/>
        <v>1294503.259</v>
      </c>
      <c r="H57" s="839">
        <f t="shared" si="23"/>
        <v>1357875.629</v>
      </c>
      <c r="I57" s="839">
        <f t="shared" si="23"/>
        <v>1329110.477</v>
      </c>
      <c r="J57" s="839">
        <f t="shared" si="23"/>
        <v>1188048.978</v>
      </c>
      <c r="K57" s="839">
        <f t="shared" si="23"/>
        <v>1273007.77</v>
      </c>
      <c r="L57" s="839">
        <f t="shared" si="23"/>
        <v>1133863.263</v>
      </c>
      <c r="M57" s="839">
        <f t="shared" si="23"/>
        <v>1264616.434</v>
      </c>
      <c r="N57" s="839">
        <f t="shared" si="23"/>
        <v>1346283.478</v>
      </c>
      <c r="O57" s="839">
        <f t="shared" si="23"/>
        <v>1442840.839</v>
      </c>
      <c r="P57" s="839">
        <f t="shared" ref="P57:P59" si="24">SUM(D57:O57)</f>
        <v>15472713.9</v>
      </c>
      <c r="Q57" s="804"/>
      <c r="R57" s="804"/>
      <c r="S57" s="804"/>
      <c r="T57" s="804"/>
      <c r="U57" s="804"/>
      <c r="V57" s="804"/>
      <c r="W57" s="804"/>
      <c r="X57" s="804"/>
      <c r="Y57" s="804"/>
      <c r="Z57" s="804"/>
      <c r="AA57" s="804"/>
      <c r="AB57" s="804"/>
      <c r="AC57" s="804"/>
      <c r="AD57" s="804"/>
      <c r="AE57" s="804"/>
      <c r="AF57" s="804"/>
    </row>
    <row r="58" ht="10.5" customHeight="1">
      <c r="A58" s="804"/>
      <c r="B58" s="804"/>
      <c r="C58" s="837" t="s">
        <v>285</v>
      </c>
      <c r="D58" s="840"/>
      <c r="E58" s="840"/>
      <c r="F58" s="840"/>
      <c r="G58" s="840"/>
      <c r="H58" s="840"/>
      <c r="I58" s="840"/>
      <c r="J58" s="840"/>
      <c r="K58" s="840"/>
      <c r="L58" s="840"/>
      <c r="M58" s="840"/>
      <c r="N58" s="840"/>
      <c r="O58" s="840"/>
      <c r="P58" s="839">
        <f t="shared" si="24"/>
        <v>0</v>
      </c>
      <c r="Q58" s="804"/>
      <c r="R58" s="804"/>
      <c r="S58" s="804"/>
      <c r="T58" s="804"/>
      <c r="U58" s="804"/>
      <c r="V58" s="804"/>
      <c r="W58" s="804"/>
      <c r="X58" s="804"/>
      <c r="Y58" s="804"/>
      <c r="Z58" s="804"/>
      <c r="AA58" s="804"/>
      <c r="AB58" s="804"/>
      <c r="AC58" s="804"/>
      <c r="AD58" s="804"/>
      <c r="AE58" s="804"/>
      <c r="AF58" s="804"/>
    </row>
    <row r="59" ht="10.5" customHeight="1">
      <c r="A59" s="806"/>
      <c r="B59" s="806"/>
      <c r="C59" s="841" t="s">
        <v>70</v>
      </c>
      <c r="D59" s="838">
        <f t="shared" ref="D59:O59" si="25">D57+D58</f>
        <v>1288766.689</v>
      </c>
      <c r="E59" s="839">
        <f t="shared" si="25"/>
        <v>1272307.4</v>
      </c>
      <c r="F59" s="839">
        <f t="shared" si="25"/>
        <v>1281489.686</v>
      </c>
      <c r="G59" s="839">
        <f t="shared" si="25"/>
        <v>1294503.259</v>
      </c>
      <c r="H59" s="839">
        <f t="shared" si="25"/>
        <v>1357875.629</v>
      </c>
      <c r="I59" s="839">
        <f t="shared" si="25"/>
        <v>1329110.477</v>
      </c>
      <c r="J59" s="839">
        <f t="shared" si="25"/>
        <v>1188048.978</v>
      </c>
      <c r="K59" s="839">
        <f t="shared" si="25"/>
        <v>1273007.77</v>
      </c>
      <c r="L59" s="839">
        <f t="shared" si="25"/>
        <v>1133863.263</v>
      </c>
      <c r="M59" s="839">
        <f t="shared" si="25"/>
        <v>1264616.434</v>
      </c>
      <c r="N59" s="839">
        <f t="shared" si="25"/>
        <v>1346283.478</v>
      </c>
      <c r="O59" s="839">
        <f t="shared" si="25"/>
        <v>1442840.839</v>
      </c>
      <c r="P59" s="842">
        <f t="shared" si="24"/>
        <v>15472713.9</v>
      </c>
      <c r="Q59" s="806"/>
      <c r="R59" s="806"/>
      <c r="S59" s="806"/>
      <c r="T59" s="806"/>
      <c r="U59" s="806"/>
      <c r="V59" s="806"/>
      <c r="W59" s="806"/>
      <c r="X59" s="806"/>
      <c r="Y59" s="806"/>
      <c r="Z59" s="806"/>
      <c r="AA59" s="806"/>
      <c r="AB59" s="806"/>
      <c r="AC59" s="806"/>
      <c r="AD59" s="806"/>
      <c r="AE59" s="806"/>
      <c r="AF59" s="806"/>
    </row>
    <row r="60" ht="10.5" customHeight="1">
      <c r="A60" s="4"/>
      <c r="B60" s="4"/>
      <c r="C60" s="4"/>
      <c r="D60" s="9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91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0.5" customHeight="1">
      <c r="A61" s="4"/>
      <c r="B61" s="4"/>
      <c r="C61" s="4"/>
      <c r="D61" s="9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91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0.5" customHeight="1">
      <c r="A62" s="4"/>
      <c r="B62" s="4"/>
      <c r="C62" s="4"/>
      <c r="D62" s="843">
        <v>1086853.87394</v>
      </c>
      <c r="E62" s="843">
        <v>1003841.0636949999</v>
      </c>
      <c r="F62" s="843">
        <v>961023.4264299999</v>
      </c>
      <c r="G62" s="843">
        <v>988722.81095</v>
      </c>
      <c r="H62" s="843">
        <v>1034088.247565</v>
      </c>
      <c r="I62" s="843">
        <v>988468.620575</v>
      </c>
      <c r="J62" s="843">
        <v>1029672.4843900001</v>
      </c>
      <c r="K62" s="843">
        <v>1051307.6231299997</v>
      </c>
      <c r="L62" s="843">
        <v>1074583.730475</v>
      </c>
      <c r="M62" s="843">
        <v>1122655.8481850002</v>
      </c>
      <c r="N62" s="843">
        <v>1165447.6562449997</v>
      </c>
      <c r="O62" s="4">
        <v>1278609.7642749997</v>
      </c>
      <c r="P62" s="4" t="s">
        <v>291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0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0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0.5" customHeight="1">
      <c r="A65" s="4"/>
      <c r="B65" s="4"/>
      <c r="C65" s="4"/>
      <c r="D65" s="4"/>
      <c r="E65" s="4"/>
      <c r="F65" s="4"/>
      <c r="G65" s="4"/>
      <c r="H65" s="844">
        <v>2513945.09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0.5" customHeight="1">
      <c r="A66" s="4"/>
      <c r="B66" s="4"/>
      <c r="C66" s="4"/>
      <c r="D66" s="4"/>
      <c r="E66" s="4"/>
      <c r="F66" s="4"/>
      <c r="G66" s="4"/>
      <c r="H66" s="845">
        <f>H65-H55</f>
        <v>-681056.39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0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0.5" customHeight="1">
      <c r="A68" s="4"/>
      <c r="B68" s="4"/>
      <c r="C68" s="846" t="s">
        <v>288</v>
      </c>
      <c r="D68" s="813" t="s">
        <v>292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0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0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0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0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0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0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0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0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0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0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0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0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0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0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0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0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0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0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0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0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0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0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0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0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0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0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0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0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0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0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0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0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0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0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0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0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0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0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0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0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0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0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0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0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0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0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0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0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0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0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0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0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0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0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0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0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0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0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0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0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0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0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0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0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0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0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0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0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0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0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0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0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0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0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0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0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0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0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0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0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0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0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0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0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0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0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0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0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0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0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0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0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0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0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0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0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0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0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0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0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0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0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0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0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0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0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0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0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0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0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0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0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0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0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0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0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0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0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0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0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0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0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0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0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0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0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0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0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0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0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0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0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0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0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0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0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0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0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0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0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0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0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0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0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0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0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0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0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0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0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0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0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0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0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0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0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0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0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0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0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0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0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0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0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0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0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0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0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0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0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0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0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0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0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0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0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0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0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0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0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0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0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0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0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0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0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0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0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0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0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0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0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0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0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0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0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0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0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0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0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0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0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0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0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0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0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0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0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0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0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0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0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0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0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0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0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0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0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0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0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0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0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0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0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0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0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0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0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0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0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0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0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0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0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0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0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0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0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0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0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0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0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0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0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0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0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0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0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0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0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0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0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0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0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0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0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0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0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0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0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0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0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0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0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0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0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0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0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0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0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0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0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0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0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0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0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0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0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0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0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0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0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0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0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0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0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0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0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0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0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0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0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0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0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0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0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0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0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0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0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0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0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0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0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0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0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0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0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0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0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0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0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0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0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0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0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0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0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0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0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0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0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0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0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0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0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0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0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0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0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0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0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0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0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0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0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0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0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0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0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0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0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0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0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0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0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0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0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0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0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0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0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0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0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0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0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0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0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0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0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0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0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0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0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0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0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0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0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0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0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0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0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0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0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0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0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0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0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0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0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0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0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0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0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0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0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0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0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0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0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0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0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0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0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0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0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0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0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0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0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0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0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0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0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0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0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0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0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0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0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0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0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0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0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0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0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0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0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0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0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0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0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0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0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0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0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0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0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0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0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0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0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0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0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0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0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0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0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0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0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0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0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0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0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0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0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0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0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0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0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0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0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0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0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0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0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0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0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0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0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0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0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0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0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0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0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0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0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0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0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0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0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0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0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0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0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0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0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0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0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0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0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0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0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0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0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0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0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0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0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0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0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0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0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0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0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0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0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0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0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0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0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0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0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0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0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0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0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0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0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0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0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0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0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0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0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0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0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0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0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0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0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0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0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0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0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0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0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0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0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0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0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0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0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0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0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0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0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0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0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0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0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0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0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0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0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0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0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0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0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0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0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0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0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0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0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0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0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0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0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0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0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0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0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0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0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0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0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0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0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0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0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0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0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0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0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0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0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0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0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0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0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0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0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0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0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0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0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0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0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0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0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0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0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0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0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0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0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0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0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0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0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0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0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0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0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0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0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0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0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0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0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0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0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0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0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0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0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0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0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0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0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0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0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0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0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0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0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0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0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0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0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0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0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0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0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0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0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0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0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0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0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0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0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0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0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0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0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0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0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0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0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0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0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0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0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0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0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0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0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0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0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0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0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0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0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0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0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0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0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0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0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0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0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0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0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0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0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0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0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0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0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0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0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0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0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0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0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0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0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0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0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0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0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0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0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0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0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0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0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0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0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0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0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0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0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0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0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0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0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0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0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0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0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0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0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0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0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0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0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0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0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0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0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0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0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0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0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0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0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0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0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0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0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0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0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0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0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0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0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0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0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0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0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0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0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0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0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0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0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0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0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0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0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0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0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0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0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0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0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0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0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0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0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0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0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0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0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0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0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0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0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0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0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0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0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0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0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0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0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0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0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0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0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0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0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0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0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0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0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0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0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0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0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0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0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0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0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0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0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0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0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0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0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0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0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0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0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0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0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0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0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0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0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0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0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0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0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0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0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0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0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0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0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0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0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0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0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0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0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0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0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0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0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0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0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0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0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0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0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0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0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0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0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0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0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0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0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0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0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0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0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0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0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0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0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0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0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0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0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0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0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0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0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0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0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0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0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0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0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0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0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0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0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0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0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0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0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0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0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0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0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0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0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0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0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0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0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0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0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0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0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0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0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0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0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0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0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0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0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0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0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0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0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0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0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0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0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0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0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0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0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0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0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0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0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0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0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0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0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0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0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0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0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0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0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0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0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0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0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0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0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10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10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ht="10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43.29"/>
    <col customWidth="1" min="3" max="5" width="12.86"/>
    <col customWidth="1" min="6" max="6" width="13.29"/>
    <col customWidth="1" min="7" max="7" width="13.71"/>
    <col customWidth="1" min="8" max="8" width="8.71"/>
    <col customWidth="1" min="9" max="9" width="11.43"/>
    <col customWidth="1" min="10" max="27" width="8.71"/>
  </cols>
  <sheetData>
    <row r="1">
      <c r="F1" s="3"/>
    </row>
    <row r="2" ht="19.5" customHeight="1">
      <c r="B2" s="847" t="s">
        <v>293</v>
      </c>
      <c r="C2" s="848" t="s">
        <v>27</v>
      </c>
      <c r="D2" s="848" t="s">
        <v>30</v>
      </c>
      <c r="E2" s="848" t="s">
        <v>31</v>
      </c>
      <c r="F2" s="849" t="s">
        <v>258</v>
      </c>
      <c r="G2" s="849" t="s">
        <v>259</v>
      </c>
    </row>
    <row r="3" ht="19.5" customHeight="1">
      <c r="B3" s="742" t="s">
        <v>261</v>
      </c>
      <c r="C3" s="731">
        <v>167473.11</v>
      </c>
      <c r="D3" s="732">
        <v>314301.25</v>
      </c>
      <c r="E3" s="732">
        <v>275638.57</v>
      </c>
      <c r="F3" s="850">
        <f t="shared" ref="F3:F5" si="1">E3-D3</f>
        <v>-38662.68</v>
      </c>
      <c r="G3" s="851">
        <f t="shared" ref="G3:G5" si="2">E3/D3-1</f>
        <v>-0.1230115375</v>
      </c>
      <c r="I3" s="852"/>
    </row>
    <row r="4" ht="19.5" customHeight="1">
      <c r="A4" s="853"/>
      <c r="B4" s="742" t="s">
        <v>294</v>
      </c>
      <c r="C4" s="731">
        <v>15799.7</v>
      </c>
      <c r="D4" s="732">
        <v>11691.09</v>
      </c>
      <c r="E4" s="732">
        <v>9655.77</v>
      </c>
      <c r="F4" s="850">
        <f t="shared" si="1"/>
        <v>-2035.32</v>
      </c>
      <c r="G4" s="851">
        <f t="shared" si="2"/>
        <v>-0.1740915518</v>
      </c>
      <c r="H4" s="853"/>
      <c r="I4" s="852"/>
      <c r="J4" s="853"/>
      <c r="K4" s="853"/>
      <c r="L4" s="853"/>
      <c r="M4" s="853"/>
      <c r="N4" s="853"/>
      <c r="O4" s="853"/>
      <c r="P4" s="853"/>
      <c r="Q4" s="853"/>
      <c r="R4" s="853"/>
      <c r="S4" s="853"/>
      <c r="T4" s="853"/>
      <c r="U4" s="853"/>
      <c r="V4" s="853"/>
      <c r="W4" s="853"/>
      <c r="X4" s="853"/>
      <c r="Y4" s="853"/>
      <c r="Z4" s="853"/>
      <c r="AA4" s="853"/>
    </row>
    <row r="5" ht="19.5" customHeight="1">
      <c r="B5" s="735" t="s">
        <v>70</v>
      </c>
      <c r="C5" s="736">
        <f t="shared" ref="C5:E5" si="3">SUM(C3:C4)</f>
        <v>183272.81</v>
      </c>
      <c r="D5" s="736">
        <f t="shared" si="3"/>
        <v>325992.34</v>
      </c>
      <c r="E5" s="736">
        <f t="shared" si="3"/>
        <v>285294.34</v>
      </c>
      <c r="F5" s="854">
        <f t="shared" si="1"/>
        <v>-40698</v>
      </c>
      <c r="G5" s="855">
        <f t="shared" si="2"/>
        <v>-0.1248434242</v>
      </c>
      <c r="I5" s="852"/>
    </row>
    <row r="6" ht="19.5" customHeight="1">
      <c r="B6" s="847" t="s">
        <v>262</v>
      </c>
      <c r="C6" s="848" t="s">
        <v>27</v>
      </c>
      <c r="D6" s="848" t="s">
        <v>30</v>
      </c>
      <c r="E6" s="848" t="s">
        <v>31</v>
      </c>
      <c r="F6" s="849" t="s">
        <v>258</v>
      </c>
      <c r="G6" s="849" t="s">
        <v>259</v>
      </c>
      <c r="I6" s="852"/>
    </row>
    <row r="7" ht="18.75" customHeight="1">
      <c r="B7" s="742" t="s">
        <v>295</v>
      </c>
      <c r="C7" s="856">
        <v>2935245.02</v>
      </c>
      <c r="D7" s="732">
        <v>3059213.25</v>
      </c>
      <c r="E7" s="732">
        <v>3090569.5</v>
      </c>
      <c r="F7" s="850">
        <f t="shared" ref="F7:F13" si="4">E7-D7</f>
        <v>31356.25</v>
      </c>
      <c r="G7" s="851">
        <f t="shared" ref="G7:G13" si="5">E7/D7-1</f>
        <v>0.01024977582</v>
      </c>
      <c r="I7" s="852"/>
    </row>
    <row r="8" ht="19.5" customHeight="1">
      <c r="A8" s="853"/>
      <c r="B8" s="742" t="s">
        <v>263</v>
      </c>
      <c r="C8" s="857">
        <v>507473.06</v>
      </c>
      <c r="D8" s="732">
        <v>540975.48</v>
      </c>
      <c r="E8" s="732">
        <v>566069.68</v>
      </c>
      <c r="F8" s="850">
        <f t="shared" si="4"/>
        <v>25094.2</v>
      </c>
      <c r="G8" s="851">
        <f t="shared" si="5"/>
        <v>0.0463869453</v>
      </c>
      <c r="H8" s="853"/>
      <c r="I8" s="852"/>
      <c r="J8" s="853"/>
      <c r="K8" s="853"/>
      <c r="L8" s="853"/>
      <c r="M8" s="853"/>
      <c r="N8" s="853"/>
      <c r="O8" s="853"/>
      <c r="P8" s="853"/>
      <c r="Q8" s="853"/>
      <c r="R8" s="853"/>
      <c r="S8" s="853"/>
      <c r="T8" s="853"/>
      <c r="U8" s="853"/>
      <c r="V8" s="853"/>
      <c r="W8" s="853"/>
      <c r="X8" s="853"/>
      <c r="Y8" s="853"/>
      <c r="Z8" s="853"/>
      <c r="AA8" s="853"/>
    </row>
    <row r="9" ht="19.5" customHeight="1">
      <c r="B9" s="742" t="s">
        <v>296</v>
      </c>
      <c r="C9" s="731">
        <v>293888.96</v>
      </c>
      <c r="D9" s="732">
        <v>343048.8</v>
      </c>
      <c r="E9" s="732">
        <v>356803.24</v>
      </c>
      <c r="F9" s="850">
        <f t="shared" si="4"/>
        <v>13754.44</v>
      </c>
      <c r="G9" s="851">
        <f t="shared" si="5"/>
        <v>0.04009470373</v>
      </c>
      <c r="I9" s="852"/>
    </row>
    <row r="10" ht="19.5" customHeight="1">
      <c r="B10" s="742" t="s">
        <v>264</v>
      </c>
      <c r="C10" s="731">
        <v>7788.12</v>
      </c>
      <c r="D10" s="732">
        <v>9213.07</v>
      </c>
      <c r="E10" s="732">
        <v>9628.15</v>
      </c>
      <c r="F10" s="850">
        <f t="shared" si="4"/>
        <v>415.08</v>
      </c>
      <c r="G10" s="851">
        <f t="shared" si="5"/>
        <v>0.04505338611</v>
      </c>
      <c r="I10" s="852"/>
    </row>
    <row r="11" ht="19.5" customHeight="1">
      <c r="A11" s="853"/>
      <c r="B11" s="742" t="s">
        <v>297</v>
      </c>
      <c r="C11" s="731">
        <v>11900.0</v>
      </c>
      <c r="D11" s="732">
        <v>12261.12</v>
      </c>
      <c r="E11" s="732">
        <v>12261.12</v>
      </c>
      <c r="F11" s="850">
        <f t="shared" si="4"/>
        <v>0</v>
      </c>
      <c r="G11" s="851">
        <f t="shared" si="5"/>
        <v>0</v>
      </c>
      <c r="H11" s="853"/>
      <c r="I11" s="852"/>
      <c r="J11" s="853"/>
      <c r="K11" s="853"/>
      <c r="L11" s="853"/>
      <c r="M11" s="853"/>
      <c r="N11" s="853"/>
      <c r="O11" s="853"/>
      <c r="P11" s="853"/>
      <c r="Q11" s="853"/>
      <c r="R11" s="853"/>
      <c r="S11" s="853"/>
      <c r="T11" s="853"/>
      <c r="U11" s="853"/>
      <c r="V11" s="853"/>
      <c r="W11" s="853"/>
      <c r="X11" s="853"/>
      <c r="Y11" s="853"/>
      <c r="Z11" s="853"/>
      <c r="AA11" s="853"/>
    </row>
    <row r="12" ht="19.5" customHeight="1">
      <c r="B12" s="735" t="s">
        <v>70</v>
      </c>
      <c r="C12" s="746">
        <f t="shared" ref="C12:E12" si="6">SUM(C7:C11)</f>
        <v>3756295.16</v>
      </c>
      <c r="D12" s="746">
        <f t="shared" si="6"/>
        <v>3964711.72</v>
      </c>
      <c r="E12" s="746">
        <f t="shared" si="6"/>
        <v>4035331.69</v>
      </c>
      <c r="F12" s="854">
        <f t="shared" si="4"/>
        <v>70619.97</v>
      </c>
      <c r="G12" s="858">
        <f t="shared" si="5"/>
        <v>0.01781213238</v>
      </c>
    </row>
    <row r="13" ht="19.5" customHeight="1">
      <c r="B13" s="859" t="s">
        <v>265</v>
      </c>
      <c r="C13" s="746">
        <f t="shared" ref="C13:E13" si="7">C5+C12</f>
        <v>3939567.97</v>
      </c>
      <c r="D13" s="746">
        <f t="shared" si="7"/>
        <v>4290704.06</v>
      </c>
      <c r="E13" s="746">
        <f t="shared" si="7"/>
        <v>4320626.03</v>
      </c>
      <c r="F13" s="860">
        <f t="shared" si="4"/>
        <v>29921.97</v>
      </c>
      <c r="G13" s="858">
        <f t="shared" si="5"/>
        <v>0.006973673687</v>
      </c>
    </row>
    <row r="14">
      <c r="C14" s="861">
        <f>'DCL_senha capita'!I2</f>
        <v>3939567.97</v>
      </c>
      <c r="D14" s="861">
        <f>'DCL_senha capita'!I21</f>
        <v>4290704.06</v>
      </c>
      <c r="E14" s="862">
        <f>'DCL_senha capita'!I40</f>
        <v>4320626.03</v>
      </c>
      <c r="F14" s="3"/>
    </row>
    <row r="15">
      <c r="C15" s="863">
        <f t="shared" ref="C15:E15" si="8">C13-C14</f>
        <v>0</v>
      </c>
      <c r="D15" s="863">
        <f t="shared" si="8"/>
        <v>0</v>
      </c>
      <c r="E15" s="863">
        <f t="shared" si="8"/>
        <v>0</v>
      </c>
      <c r="F15" s="3"/>
    </row>
    <row r="16">
      <c r="B16" s="754"/>
      <c r="F16" s="3"/>
    </row>
    <row r="17">
      <c r="B17" s="754"/>
      <c r="F17" s="3"/>
    </row>
    <row r="18" ht="15.75" customHeight="1">
      <c r="F18" s="3"/>
    </row>
    <row r="19" ht="15.75" customHeight="1">
      <c r="F19" s="3"/>
    </row>
    <row r="20" ht="15.75" customHeight="1">
      <c r="F20" s="3"/>
    </row>
    <row r="21" ht="15.75" customHeight="1">
      <c r="F21" s="3"/>
    </row>
    <row r="22" ht="15.75" customHeight="1">
      <c r="F22" s="3"/>
    </row>
    <row r="23" ht="15.75" customHeight="1">
      <c r="F23" s="3"/>
    </row>
    <row r="24" ht="15.75" customHeight="1">
      <c r="F24" s="3"/>
    </row>
    <row r="25" ht="15.75" customHeight="1">
      <c r="F25" s="3"/>
    </row>
    <row r="26" ht="15.75" customHeight="1">
      <c r="F26" s="3"/>
    </row>
    <row r="27" ht="15.75" customHeight="1">
      <c r="F27" s="3"/>
    </row>
    <row r="28" ht="15.75" customHeight="1">
      <c r="F28" s="3"/>
    </row>
    <row r="29" ht="15.75" customHeight="1">
      <c r="F29" s="3"/>
    </row>
    <row r="30" ht="15.75" customHeight="1">
      <c r="F30" s="3"/>
    </row>
    <row r="31" ht="15.75" customHeight="1">
      <c r="F31" s="3"/>
    </row>
    <row r="32" ht="15.75" customHeight="1">
      <c r="F32" s="3"/>
    </row>
    <row r="33" ht="15.75" customHeight="1">
      <c r="F33" s="3"/>
    </row>
    <row r="34" ht="15.75" customHeight="1">
      <c r="F34" s="3"/>
    </row>
    <row r="35" ht="15.75" customHeight="1">
      <c r="F35" s="3"/>
    </row>
    <row r="36" ht="15.75" customHeight="1">
      <c r="F36" s="3"/>
    </row>
    <row r="37" ht="15.75" customHeight="1">
      <c r="F37" s="3"/>
    </row>
    <row r="38" ht="15.75" customHeight="1">
      <c r="F38" s="3"/>
    </row>
    <row r="39" ht="15.75" customHeight="1">
      <c r="F39" s="3"/>
    </row>
    <row r="40" ht="15.75" customHeight="1">
      <c r="F40" s="3"/>
    </row>
    <row r="41" ht="15.75" customHeight="1">
      <c r="F41" s="3"/>
    </row>
    <row r="42" ht="15.75" customHeight="1">
      <c r="F42" s="3"/>
    </row>
    <row r="43" ht="15.75" customHeight="1">
      <c r="F43" s="3"/>
    </row>
    <row r="44" ht="15.75" customHeight="1">
      <c r="F44" s="3"/>
    </row>
    <row r="45" ht="15.75" customHeight="1">
      <c r="F45" s="3"/>
    </row>
    <row r="46" ht="15.75" customHeight="1">
      <c r="F46" s="3"/>
    </row>
    <row r="47" ht="15.75" customHeight="1">
      <c r="F47" s="3"/>
    </row>
    <row r="48" ht="15.75" customHeight="1">
      <c r="F48" s="3"/>
    </row>
    <row r="49" ht="15.75" customHeight="1">
      <c r="F49" s="3"/>
    </row>
    <row r="50" ht="15.75" customHeight="1">
      <c r="F50" s="3"/>
    </row>
    <row r="51" ht="15.75" customHeight="1">
      <c r="F51" s="3"/>
    </row>
    <row r="52" ht="15.75" customHeight="1">
      <c r="F52" s="3"/>
    </row>
    <row r="53" ht="15.75" customHeight="1">
      <c r="F53" s="3"/>
    </row>
    <row r="54" ht="15.75" customHeight="1">
      <c r="F54" s="3"/>
    </row>
    <row r="55" ht="15.75" customHeight="1">
      <c r="F55" s="3"/>
    </row>
    <row r="56" ht="15.75" customHeight="1">
      <c r="F56" s="3"/>
    </row>
    <row r="57" ht="15.75" customHeight="1">
      <c r="F57" s="3"/>
    </row>
    <row r="58" ht="15.75" customHeight="1">
      <c r="F58" s="3"/>
    </row>
    <row r="59" ht="15.75" customHeight="1">
      <c r="F59" s="3"/>
    </row>
    <row r="60" ht="15.75" customHeight="1">
      <c r="F60" s="3"/>
    </row>
    <row r="61" ht="15.75" customHeight="1">
      <c r="F61" s="3"/>
    </row>
    <row r="62" ht="15.75" customHeight="1">
      <c r="F62" s="3"/>
    </row>
    <row r="63" ht="15.75" customHeight="1">
      <c r="F63" s="3"/>
    </row>
    <row r="64" ht="15.75" customHeight="1">
      <c r="F64" s="3"/>
    </row>
    <row r="65" ht="15.75" customHeight="1">
      <c r="F65" s="3"/>
    </row>
    <row r="66" ht="15.75" customHeight="1">
      <c r="F66" s="3"/>
    </row>
    <row r="67" ht="15.75" customHeight="1">
      <c r="F67" s="3"/>
    </row>
    <row r="68" ht="15.75" customHeight="1">
      <c r="F68" s="3"/>
    </row>
    <row r="69" ht="15.75" customHeight="1">
      <c r="F69" s="3"/>
    </row>
    <row r="70" ht="15.75" customHeight="1">
      <c r="F70" s="3"/>
    </row>
    <row r="71" ht="15.75" customHeight="1">
      <c r="F71" s="3"/>
    </row>
    <row r="72" ht="15.75" customHeight="1">
      <c r="F72" s="3"/>
    </row>
    <row r="73" ht="15.75" customHeight="1">
      <c r="F73" s="3"/>
    </row>
    <row r="74" ht="15.75" customHeight="1">
      <c r="F74" s="3"/>
    </row>
    <row r="75" ht="15.75" customHeight="1">
      <c r="F75" s="3"/>
    </row>
    <row r="76" ht="15.75" customHeight="1">
      <c r="F76" s="3"/>
    </row>
    <row r="77" ht="15.75" customHeight="1">
      <c r="F77" s="3"/>
    </row>
    <row r="78" ht="15.75" customHeight="1">
      <c r="F78" s="3"/>
    </row>
    <row r="79" ht="15.75" customHeight="1">
      <c r="F79" s="3"/>
    </row>
    <row r="80" ht="15.75" customHeight="1">
      <c r="F80" s="3"/>
    </row>
    <row r="81" ht="15.75" customHeight="1">
      <c r="F81" s="3"/>
    </row>
    <row r="82" ht="15.75" customHeight="1">
      <c r="F82" s="3"/>
    </row>
    <row r="83" ht="15.75" customHeight="1">
      <c r="F83" s="3"/>
    </row>
    <row r="84" ht="15.75" customHeight="1">
      <c r="F84" s="3"/>
    </row>
    <row r="85" ht="15.75" customHeight="1">
      <c r="F85" s="3"/>
    </row>
    <row r="86" ht="15.75" customHeight="1">
      <c r="F86" s="3"/>
    </row>
    <row r="87" ht="15.75" customHeight="1">
      <c r="F87" s="3"/>
    </row>
    <row r="88" ht="15.75" customHeight="1">
      <c r="F88" s="3"/>
    </row>
    <row r="89" ht="15.75" customHeight="1">
      <c r="F89" s="3"/>
    </row>
    <row r="90" ht="15.75" customHeight="1">
      <c r="F90" s="3"/>
    </row>
    <row r="91" ht="15.75" customHeight="1">
      <c r="F91" s="3"/>
    </row>
    <row r="92" ht="15.75" customHeight="1">
      <c r="F92" s="3"/>
    </row>
    <row r="93" ht="15.75" customHeight="1">
      <c r="F93" s="3"/>
    </row>
    <row r="94" ht="15.75" customHeight="1">
      <c r="F94" s="3"/>
    </row>
    <row r="95" ht="15.75" customHeight="1">
      <c r="F95" s="3"/>
    </row>
    <row r="96" ht="15.75" customHeight="1">
      <c r="F96" s="3"/>
    </row>
    <row r="97" ht="15.75" customHeight="1">
      <c r="F97" s="3"/>
    </row>
    <row r="98" ht="15.75" customHeight="1">
      <c r="F98" s="3"/>
    </row>
    <row r="99" ht="15.75" customHeight="1">
      <c r="F99" s="3"/>
    </row>
    <row r="100" ht="15.75" customHeight="1">
      <c r="F100" s="3"/>
    </row>
    <row r="101" ht="15.75" customHeight="1">
      <c r="F101" s="3"/>
    </row>
    <row r="102" ht="15.75" customHeight="1">
      <c r="F102" s="3"/>
    </row>
    <row r="103" ht="15.75" customHeight="1">
      <c r="F103" s="3"/>
    </row>
    <row r="104" ht="15.75" customHeight="1">
      <c r="F104" s="3"/>
    </row>
    <row r="105" ht="15.75" customHeight="1">
      <c r="F105" s="3"/>
    </row>
    <row r="106" ht="15.75" customHeight="1">
      <c r="F106" s="3"/>
    </row>
    <row r="107" ht="15.75" customHeight="1">
      <c r="F107" s="3"/>
    </row>
    <row r="108" ht="15.75" customHeight="1">
      <c r="F108" s="3"/>
    </row>
    <row r="109" ht="15.75" customHeight="1">
      <c r="F109" s="3"/>
    </row>
    <row r="110" ht="15.75" customHeight="1">
      <c r="F110" s="3"/>
    </row>
    <row r="111" ht="15.75" customHeight="1">
      <c r="F111" s="3"/>
    </row>
    <row r="112" ht="15.75" customHeight="1">
      <c r="F112" s="3"/>
    </row>
    <row r="113" ht="15.75" customHeight="1">
      <c r="F113" s="3"/>
    </row>
    <row r="114" ht="15.75" customHeight="1">
      <c r="F114" s="3"/>
    </row>
    <row r="115" ht="15.75" customHeight="1">
      <c r="F115" s="3"/>
    </row>
    <row r="116" ht="15.75" customHeight="1">
      <c r="F116" s="3"/>
    </row>
    <row r="117" ht="15.75" customHeight="1">
      <c r="F117" s="3"/>
    </row>
    <row r="118" ht="15.75" customHeight="1">
      <c r="F118" s="3"/>
    </row>
    <row r="119" ht="15.75" customHeight="1">
      <c r="F119" s="3"/>
    </row>
    <row r="120" ht="15.75" customHeight="1">
      <c r="F120" s="3"/>
    </row>
    <row r="121" ht="15.75" customHeight="1">
      <c r="F121" s="3"/>
    </row>
    <row r="122" ht="15.75" customHeight="1">
      <c r="F122" s="3"/>
    </row>
    <row r="123" ht="15.75" customHeight="1">
      <c r="F123" s="3"/>
    </row>
    <row r="124" ht="15.75" customHeight="1">
      <c r="F124" s="3"/>
    </row>
    <row r="125" ht="15.75" customHeight="1">
      <c r="F125" s="3"/>
    </row>
    <row r="126" ht="15.75" customHeight="1">
      <c r="F126" s="3"/>
    </row>
    <row r="127" ht="15.75" customHeight="1">
      <c r="F127" s="3"/>
    </row>
    <row r="128" ht="15.75" customHeight="1">
      <c r="F128" s="3"/>
    </row>
    <row r="129" ht="15.75" customHeight="1">
      <c r="F129" s="3"/>
    </row>
    <row r="130" ht="15.75" customHeight="1">
      <c r="F130" s="3"/>
    </row>
    <row r="131" ht="15.75" customHeight="1">
      <c r="F131" s="3"/>
    </row>
    <row r="132" ht="15.75" customHeight="1">
      <c r="F132" s="3"/>
    </row>
    <row r="133" ht="15.75" customHeight="1">
      <c r="F133" s="3"/>
    </row>
    <row r="134" ht="15.75" customHeight="1">
      <c r="F134" s="3"/>
    </row>
    <row r="135" ht="15.75" customHeight="1">
      <c r="F135" s="3"/>
    </row>
    <row r="136" ht="15.75" customHeight="1">
      <c r="F136" s="3"/>
    </row>
    <row r="137" ht="15.75" customHeight="1">
      <c r="F137" s="3"/>
    </row>
    <row r="138" ht="15.75" customHeight="1">
      <c r="F138" s="3"/>
    </row>
    <row r="139" ht="15.75" customHeight="1">
      <c r="F139" s="3"/>
    </row>
    <row r="140" ht="15.75" customHeight="1">
      <c r="F140" s="3"/>
    </row>
    <row r="141" ht="15.75" customHeight="1">
      <c r="F141" s="3"/>
    </row>
    <row r="142" ht="15.75" customHeight="1">
      <c r="F142" s="3"/>
    </row>
    <row r="143" ht="15.75" customHeight="1">
      <c r="F143" s="3"/>
    </row>
    <row r="144" ht="15.75" customHeight="1">
      <c r="F144" s="3"/>
    </row>
    <row r="145" ht="15.75" customHeight="1">
      <c r="F145" s="3"/>
    </row>
    <row r="146" ht="15.75" customHeight="1">
      <c r="F146" s="3"/>
    </row>
    <row r="147" ht="15.75" customHeight="1">
      <c r="F147" s="3"/>
    </row>
    <row r="148" ht="15.75" customHeight="1">
      <c r="F148" s="3"/>
    </row>
    <row r="149" ht="15.75" customHeight="1">
      <c r="F149" s="3"/>
    </row>
    <row r="150" ht="15.75" customHeight="1">
      <c r="F150" s="3"/>
    </row>
    <row r="151" ht="15.75" customHeight="1">
      <c r="F151" s="3"/>
    </row>
    <row r="152" ht="15.75" customHeight="1">
      <c r="F152" s="3"/>
    </row>
    <row r="153" ht="15.75" customHeight="1">
      <c r="F153" s="3"/>
    </row>
    <row r="154" ht="15.75" customHeight="1">
      <c r="F154" s="3"/>
    </row>
    <row r="155" ht="15.75" customHeight="1">
      <c r="F155" s="3"/>
    </row>
    <row r="156" ht="15.75" customHeight="1">
      <c r="F156" s="3"/>
    </row>
    <row r="157" ht="15.75" customHeight="1">
      <c r="F157" s="3"/>
    </row>
    <row r="158" ht="15.75" customHeight="1">
      <c r="F158" s="3"/>
    </row>
    <row r="159" ht="15.75" customHeight="1">
      <c r="F159" s="3"/>
    </row>
    <row r="160" ht="15.75" customHeight="1">
      <c r="F160" s="3"/>
    </row>
    <row r="161" ht="15.75" customHeight="1">
      <c r="F161" s="3"/>
    </row>
    <row r="162" ht="15.75" customHeight="1">
      <c r="F162" s="3"/>
    </row>
    <row r="163" ht="15.75" customHeight="1">
      <c r="F163" s="3"/>
    </row>
    <row r="164" ht="15.75" customHeight="1">
      <c r="F164" s="3"/>
    </row>
    <row r="165" ht="15.75" customHeight="1">
      <c r="F165" s="3"/>
    </row>
    <row r="166" ht="15.75" customHeight="1">
      <c r="F166" s="3"/>
    </row>
    <row r="167" ht="15.75" customHeight="1">
      <c r="F167" s="3"/>
    </row>
    <row r="168" ht="15.75" customHeight="1">
      <c r="F168" s="3"/>
    </row>
    <row r="169" ht="15.75" customHeight="1">
      <c r="F169" s="3"/>
    </row>
    <row r="170" ht="15.75" customHeight="1">
      <c r="F170" s="3"/>
    </row>
    <row r="171" ht="15.75" customHeight="1">
      <c r="F171" s="3"/>
    </row>
    <row r="172" ht="15.75" customHeight="1">
      <c r="F172" s="3"/>
    </row>
    <row r="173" ht="15.75" customHeight="1">
      <c r="F173" s="3"/>
    </row>
    <row r="174" ht="15.75" customHeight="1">
      <c r="F174" s="3"/>
    </row>
    <row r="175" ht="15.75" customHeight="1">
      <c r="F175" s="3"/>
    </row>
    <row r="176" ht="15.75" customHeight="1">
      <c r="F176" s="3"/>
    </row>
    <row r="177" ht="15.75" customHeight="1">
      <c r="F177" s="3"/>
    </row>
    <row r="178" ht="15.75" customHeight="1">
      <c r="F178" s="3"/>
    </row>
    <row r="179" ht="15.75" customHeight="1">
      <c r="F179" s="3"/>
    </row>
    <row r="180" ht="15.75" customHeight="1">
      <c r="F180" s="3"/>
    </row>
    <row r="181" ht="15.75" customHeight="1">
      <c r="F181" s="3"/>
    </row>
    <row r="182" ht="15.75" customHeight="1">
      <c r="F182" s="3"/>
    </row>
    <row r="183" ht="15.75" customHeight="1">
      <c r="F183" s="3"/>
    </row>
    <row r="184" ht="15.75" customHeight="1">
      <c r="F184" s="3"/>
    </row>
    <row r="185" ht="15.75" customHeight="1">
      <c r="F185" s="3"/>
    </row>
    <row r="186" ht="15.75" customHeight="1">
      <c r="F186" s="3"/>
    </row>
    <row r="187" ht="15.75" customHeight="1">
      <c r="F187" s="3"/>
    </row>
    <row r="188" ht="15.75" customHeight="1">
      <c r="F188" s="3"/>
    </row>
    <row r="189" ht="15.75" customHeight="1">
      <c r="F189" s="3"/>
    </row>
    <row r="190" ht="15.75" customHeight="1">
      <c r="F190" s="3"/>
    </row>
    <row r="191" ht="15.75" customHeight="1">
      <c r="F191" s="3"/>
    </row>
    <row r="192" ht="15.75" customHeight="1">
      <c r="F192" s="3"/>
    </row>
    <row r="193" ht="15.75" customHeight="1">
      <c r="F193" s="3"/>
    </row>
    <row r="194" ht="15.75" customHeight="1">
      <c r="F194" s="3"/>
    </row>
    <row r="195" ht="15.75" customHeight="1">
      <c r="F195" s="3"/>
    </row>
    <row r="196" ht="15.75" customHeight="1">
      <c r="F196" s="3"/>
    </row>
    <row r="197" ht="15.75" customHeight="1">
      <c r="F197" s="3"/>
    </row>
    <row r="198" ht="15.75" customHeight="1">
      <c r="F198" s="3"/>
    </row>
    <row r="199" ht="15.75" customHeight="1">
      <c r="F199" s="3"/>
    </row>
    <row r="200" ht="15.75" customHeight="1">
      <c r="F200" s="3"/>
    </row>
    <row r="201" ht="15.75" customHeight="1">
      <c r="F201" s="3"/>
    </row>
    <row r="202" ht="15.75" customHeight="1">
      <c r="F202" s="3"/>
    </row>
    <row r="203" ht="15.75" customHeight="1">
      <c r="F203" s="3"/>
    </row>
    <row r="204" ht="15.75" customHeight="1">
      <c r="F204" s="3"/>
    </row>
    <row r="205" ht="15.75" customHeight="1">
      <c r="F205" s="3"/>
    </row>
    <row r="206" ht="15.75" customHeight="1">
      <c r="F206" s="3"/>
    </row>
    <row r="207" ht="15.75" customHeight="1">
      <c r="F207" s="3"/>
    </row>
    <row r="208" ht="15.75" customHeight="1">
      <c r="F208" s="3"/>
    </row>
    <row r="209" ht="15.75" customHeight="1">
      <c r="F209" s="3"/>
    </row>
    <row r="210" ht="15.75" customHeight="1">
      <c r="F210" s="3"/>
    </row>
    <row r="211" ht="15.75" customHeight="1">
      <c r="F211" s="3"/>
    </row>
    <row r="212" ht="15.75" customHeight="1">
      <c r="F212" s="3"/>
    </row>
    <row r="213" ht="15.75" customHeight="1">
      <c r="F213" s="3"/>
    </row>
    <row r="214" ht="15.75" customHeight="1">
      <c r="F214" s="3"/>
    </row>
    <row r="215" ht="15.75" customHeight="1">
      <c r="F215" s="3"/>
    </row>
    <row r="216" ht="15.75" customHeight="1">
      <c r="F216" s="3"/>
    </row>
    <row r="217" ht="15.75" customHeight="1">
      <c r="F217" s="3"/>
    </row>
    <row r="218" ht="15.75" customHeight="1">
      <c r="F218" s="3"/>
    </row>
    <row r="219" ht="15.75" customHeight="1">
      <c r="F219" s="3"/>
    </row>
    <row r="220" ht="15.75" customHeight="1">
      <c r="F220" s="3"/>
    </row>
    <row r="221" ht="15.75" customHeight="1">
      <c r="F221" s="3"/>
    </row>
    <row r="222" ht="15.75" customHeight="1">
      <c r="F222" s="3"/>
    </row>
    <row r="223" ht="15.75" customHeight="1">
      <c r="F223" s="3"/>
    </row>
    <row r="224" ht="15.75" customHeight="1">
      <c r="F224" s="3"/>
    </row>
    <row r="225" ht="15.75" customHeight="1">
      <c r="F225" s="3"/>
    </row>
    <row r="226" ht="15.75" customHeight="1">
      <c r="F226" s="3"/>
    </row>
    <row r="227" ht="15.75" customHeight="1">
      <c r="F227" s="3"/>
    </row>
    <row r="228" ht="15.75" customHeight="1">
      <c r="F228" s="3"/>
    </row>
    <row r="229" ht="15.75" customHeight="1">
      <c r="F229" s="3"/>
    </row>
    <row r="230" ht="15.75" customHeight="1">
      <c r="F230" s="3"/>
    </row>
    <row r="231" ht="15.75" customHeight="1">
      <c r="F231" s="3"/>
    </row>
    <row r="232" ht="15.75" customHeight="1">
      <c r="F232" s="3"/>
    </row>
    <row r="233" ht="15.75" customHeight="1">
      <c r="F233" s="3"/>
    </row>
    <row r="234" ht="15.75" customHeight="1">
      <c r="F234" s="3"/>
    </row>
    <row r="235" ht="15.75" customHeight="1">
      <c r="F235" s="3"/>
    </row>
    <row r="236" ht="15.75" customHeight="1">
      <c r="F236" s="3"/>
    </row>
    <row r="237" ht="15.75" customHeight="1">
      <c r="F237" s="3"/>
    </row>
    <row r="238" ht="15.75" customHeight="1">
      <c r="F238" s="3"/>
    </row>
    <row r="239" ht="15.75" customHeight="1">
      <c r="F239" s="3"/>
    </row>
    <row r="240" ht="15.75" customHeight="1">
      <c r="F240" s="3"/>
    </row>
    <row r="241" ht="15.75" customHeight="1">
      <c r="F241" s="3"/>
    </row>
    <row r="242" ht="15.75" customHeight="1">
      <c r="F242" s="3"/>
    </row>
    <row r="243" ht="15.75" customHeight="1">
      <c r="F243" s="3"/>
    </row>
    <row r="244" ht="15.75" customHeight="1">
      <c r="F244" s="3"/>
    </row>
    <row r="245" ht="15.75" customHeight="1">
      <c r="F245" s="3"/>
    </row>
    <row r="246" ht="15.75" customHeight="1">
      <c r="F246" s="3"/>
    </row>
    <row r="247" ht="15.75" customHeight="1">
      <c r="F247" s="3"/>
    </row>
    <row r="248" ht="15.75" customHeight="1">
      <c r="F248" s="3"/>
    </row>
    <row r="249" ht="15.75" customHeight="1">
      <c r="F249" s="3"/>
    </row>
    <row r="250" ht="15.75" customHeight="1">
      <c r="F250" s="3"/>
    </row>
    <row r="251" ht="15.75" customHeight="1">
      <c r="F251" s="3"/>
    </row>
    <row r="252" ht="15.75" customHeight="1">
      <c r="F252" s="3"/>
    </row>
    <row r="253" ht="15.75" customHeight="1">
      <c r="F253" s="3"/>
    </row>
    <row r="254" ht="15.75" customHeight="1">
      <c r="F254" s="3"/>
    </row>
    <row r="255" ht="15.75" customHeight="1">
      <c r="F255" s="3"/>
    </row>
    <row r="256" ht="15.75" customHeight="1">
      <c r="F256" s="3"/>
    </row>
    <row r="257" ht="15.75" customHeight="1">
      <c r="F257" s="3"/>
    </row>
    <row r="258" ht="15.75" customHeight="1">
      <c r="F258" s="3"/>
    </row>
    <row r="259" ht="15.75" customHeight="1">
      <c r="F259" s="3"/>
    </row>
    <row r="260" ht="15.75" customHeight="1">
      <c r="F260" s="3"/>
    </row>
    <row r="261" ht="15.75" customHeight="1">
      <c r="F261" s="3"/>
    </row>
    <row r="262" ht="15.75" customHeight="1">
      <c r="F262" s="3"/>
    </row>
    <row r="263" ht="15.75" customHeight="1">
      <c r="F263" s="3"/>
    </row>
    <row r="264" ht="15.75" customHeight="1">
      <c r="F264" s="3"/>
    </row>
    <row r="265" ht="15.75" customHeight="1">
      <c r="F265" s="3"/>
    </row>
    <row r="266" ht="15.75" customHeight="1">
      <c r="F266" s="3"/>
    </row>
    <row r="267" ht="15.75" customHeight="1">
      <c r="F267" s="3"/>
    </row>
    <row r="268" ht="15.75" customHeight="1">
      <c r="F268" s="3"/>
    </row>
    <row r="269" ht="15.75" customHeight="1">
      <c r="F269" s="3"/>
    </row>
    <row r="270" ht="15.75" customHeight="1">
      <c r="F270" s="3"/>
    </row>
    <row r="271" ht="15.75" customHeight="1">
      <c r="F271" s="3"/>
    </row>
    <row r="272" ht="15.75" customHeight="1">
      <c r="F272" s="3"/>
    </row>
    <row r="273" ht="15.75" customHeight="1">
      <c r="F273" s="3"/>
    </row>
    <row r="274" ht="15.75" customHeight="1">
      <c r="F274" s="3"/>
    </row>
    <row r="275" ht="15.75" customHeight="1">
      <c r="F275" s="3"/>
    </row>
    <row r="276" ht="15.75" customHeight="1">
      <c r="F276" s="3"/>
    </row>
    <row r="277" ht="15.75" customHeight="1">
      <c r="F277" s="3"/>
    </row>
    <row r="278" ht="15.75" customHeight="1">
      <c r="F278" s="3"/>
    </row>
    <row r="279" ht="15.75" customHeight="1">
      <c r="F279" s="3"/>
    </row>
    <row r="280" ht="15.75" customHeight="1">
      <c r="F280" s="3"/>
    </row>
    <row r="281" ht="15.75" customHeight="1">
      <c r="F281" s="3"/>
    </row>
    <row r="282" ht="15.75" customHeight="1">
      <c r="F282" s="3"/>
    </row>
    <row r="283" ht="15.75" customHeight="1">
      <c r="F283" s="3"/>
    </row>
    <row r="284" ht="15.75" customHeight="1">
      <c r="F284" s="3"/>
    </row>
    <row r="285" ht="15.75" customHeight="1">
      <c r="F285" s="3"/>
    </row>
    <row r="286" ht="15.75" customHeight="1">
      <c r="F286" s="3"/>
    </row>
    <row r="287" ht="15.75" customHeight="1">
      <c r="F287" s="3"/>
    </row>
    <row r="288" ht="15.75" customHeight="1">
      <c r="F288" s="3"/>
    </row>
    <row r="289" ht="15.75" customHeight="1">
      <c r="F289" s="3"/>
    </row>
    <row r="290" ht="15.75" customHeight="1">
      <c r="F290" s="3"/>
    </row>
    <row r="291" ht="15.75" customHeight="1">
      <c r="F291" s="3"/>
    </row>
    <row r="292" ht="15.75" customHeight="1">
      <c r="F292" s="3"/>
    </row>
    <row r="293" ht="15.75" customHeight="1">
      <c r="F293" s="3"/>
    </row>
    <row r="294" ht="15.75" customHeight="1">
      <c r="F294" s="3"/>
    </row>
    <row r="295" ht="15.75" customHeight="1">
      <c r="F295" s="3"/>
    </row>
    <row r="296" ht="15.75" customHeight="1">
      <c r="F296" s="3"/>
    </row>
    <row r="297" ht="15.75" customHeight="1">
      <c r="F297" s="3"/>
    </row>
    <row r="298" ht="15.75" customHeight="1">
      <c r="F298" s="3"/>
    </row>
    <row r="299" ht="15.75" customHeight="1">
      <c r="F299" s="3"/>
    </row>
    <row r="300" ht="15.75" customHeight="1">
      <c r="F300" s="3"/>
    </row>
    <row r="301" ht="15.75" customHeight="1">
      <c r="F301" s="3"/>
    </row>
    <row r="302" ht="15.75" customHeight="1">
      <c r="F302" s="3"/>
    </row>
    <row r="303" ht="15.75" customHeight="1">
      <c r="F303" s="3"/>
    </row>
    <row r="304" ht="15.75" customHeight="1">
      <c r="F304" s="3"/>
    </row>
    <row r="305" ht="15.75" customHeight="1">
      <c r="F305" s="3"/>
    </row>
    <row r="306" ht="15.75" customHeight="1">
      <c r="F306" s="3"/>
    </row>
    <row r="307" ht="15.75" customHeight="1">
      <c r="F307" s="3"/>
    </row>
    <row r="308" ht="15.75" customHeight="1">
      <c r="F308" s="3"/>
    </row>
    <row r="309" ht="15.75" customHeight="1">
      <c r="F309" s="3"/>
    </row>
    <row r="310" ht="15.75" customHeight="1">
      <c r="F310" s="3"/>
    </row>
    <row r="311" ht="15.75" customHeight="1">
      <c r="F311" s="3"/>
    </row>
    <row r="312" ht="15.75" customHeight="1">
      <c r="F312" s="3"/>
    </row>
    <row r="313" ht="15.75" customHeight="1">
      <c r="F313" s="3"/>
    </row>
    <row r="314" ht="15.75" customHeight="1">
      <c r="F314" s="3"/>
    </row>
    <row r="315" ht="15.75" customHeight="1">
      <c r="F315" s="3"/>
    </row>
    <row r="316" ht="15.75" customHeight="1">
      <c r="F316" s="3"/>
    </row>
    <row r="317" ht="15.75" customHeight="1">
      <c r="F317" s="3"/>
    </row>
    <row r="318" ht="15.75" customHeight="1">
      <c r="F318" s="3"/>
    </row>
    <row r="319" ht="15.75" customHeight="1">
      <c r="F319" s="3"/>
    </row>
    <row r="320" ht="15.75" customHeight="1">
      <c r="F320" s="3"/>
    </row>
    <row r="321" ht="15.75" customHeight="1">
      <c r="F321" s="3"/>
    </row>
    <row r="322" ht="15.75" customHeight="1">
      <c r="F322" s="3"/>
    </row>
    <row r="323" ht="15.75" customHeight="1">
      <c r="F323" s="3"/>
    </row>
    <row r="324" ht="15.75" customHeight="1">
      <c r="F324" s="3"/>
    </row>
    <row r="325" ht="15.75" customHeight="1">
      <c r="F325" s="3"/>
    </row>
    <row r="326" ht="15.75" customHeight="1">
      <c r="F326" s="3"/>
    </row>
    <row r="327" ht="15.75" customHeight="1">
      <c r="F327" s="3"/>
    </row>
    <row r="328" ht="15.75" customHeight="1">
      <c r="F328" s="3"/>
    </row>
    <row r="329" ht="15.75" customHeight="1">
      <c r="F329" s="3"/>
    </row>
    <row r="330" ht="15.75" customHeight="1">
      <c r="F330" s="3"/>
    </row>
    <row r="331" ht="15.75" customHeight="1">
      <c r="F331" s="3"/>
    </row>
    <row r="332" ht="15.75" customHeight="1">
      <c r="F332" s="3"/>
    </row>
    <row r="333" ht="15.75" customHeight="1">
      <c r="F333" s="3"/>
    </row>
    <row r="334" ht="15.75" customHeight="1">
      <c r="F334" s="3"/>
    </row>
    <row r="335" ht="15.75" customHeight="1">
      <c r="F335" s="3"/>
    </row>
    <row r="336" ht="15.75" customHeight="1">
      <c r="F336" s="3"/>
    </row>
    <row r="337" ht="15.75" customHeight="1">
      <c r="F337" s="3"/>
    </row>
    <row r="338" ht="15.75" customHeight="1">
      <c r="F338" s="3"/>
    </row>
    <row r="339" ht="15.75" customHeight="1">
      <c r="F339" s="3"/>
    </row>
    <row r="340" ht="15.75" customHeight="1">
      <c r="F340" s="3"/>
    </row>
    <row r="341" ht="15.75" customHeight="1">
      <c r="F341" s="3"/>
    </row>
    <row r="342" ht="15.75" customHeight="1">
      <c r="F342" s="3"/>
    </row>
    <row r="343" ht="15.75" customHeight="1">
      <c r="F343" s="3"/>
    </row>
    <row r="344" ht="15.75" customHeight="1">
      <c r="F344" s="3"/>
    </row>
    <row r="345" ht="15.75" customHeight="1">
      <c r="F345" s="3"/>
    </row>
    <row r="346" ht="15.75" customHeight="1">
      <c r="F346" s="3"/>
    </row>
    <row r="347" ht="15.75" customHeight="1">
      <c r="F347" s="3"/>
    </row>
    <row r="348" ht="15.75" customHeight="1">
      <c r="F348" s="3"/>
    </row>
    <row r="349" ht="15.75" customHeight="1">
      <c r="F349" s="3"/>
    </row>
    <row r="350" ht="15.75" customHeight="1">
      <c r="F350" s="3"/>
    </row>
    <row r="351" ht="15.75" customHeight="1">
      <c r="F351" s="3"/>
    </row>
    <row r="352" ht="15.75" customHeight="1">
      <c r="F352" s="3"/>
    </row>
    <row r="353" ht="15.75" customHeight="1">
      <c r="F353" s="3"/>
    </row>
    <row r="354" ht="15.75" customHeight="1">
      <c r="F354" s="3"/>
    </row>
    <row r="355" ht="15.75" customHeight="1">
      <c r="F355" s="3"/>
    </row>
    <row r="356" ht="15.75" customHeight="1">
      <c r="F356" s="3"/>
    </row>
    <row r="357" ht="15.75" customHeight="1">
      <c r="F357" s="3"/>
    </row>
    <row r="358" ht="15.75" customHeight="1">
      <c r="F358" s="3"/>
    </row>
    <row r="359" ht="15.75" customHeight="1">
      <c r="F359" s="3"/>
    </row>
    <row r="360" ht="15.75" customHeight="1">
      <c r="F360" s="3"/>
    </row>
    <row r="361" ht="15.75" customHeight="1">
      <c r="F361" s="3"/>
    </row>
    <row r="362" ht="15.75" customHeight="1">
      <c r="F362" s="3"/>
    </row>
    <row r="363" ht="15.75" customHeight="1">
      <c r="F363" s="3"/>
    </row>
    <row r="364" ht="15.75" customHeight="1">
      <c r="F364" s="3"/>
    </row>
    <row r="365" ht="15.75" customHeight="1">
      <c r="F365" s="3"/>
    </row>
    <row r="366" ht="15.75" customHeight="1">
      <c r="F366" s="3"/>
    </row>
    <row r="367" ht="15.75" customHeight="1">
      <c r="F367" s="3"/>
    </row>
    <row r="368" ht="15.75" customHeight="1">
      <c r="F368" s="3"/>
    </row>
    <row r="369" ht="15.75" customHeight="1">
      <c r="F369" s="3"/>
    </row>
    <row r="370" ht="15.75" customHeight="1">
      <c r="F370" s="3"/>
    </row>
    <row r="371" ht="15.75" customHeight="1">
      <c r="F371" s="3"/>
    </row>
    <row r="372" ht="15.75" customHeight="1">
      <c r="F372" s="3"/>
    </row>
    <row r="373" ht="15.75" customHeight="1">
      <c r="F373" s="3"/>
    </row>
    <row r="374" ht="15.75" customHeight="1">
      <c r="F374" s="3"/>
    </row>
    <row r="375" ht="15.75" customHeight="1">
      <c r="F375" s="3"/>
    </row>
    <row r="376" ht="15.75" customHeight="1">
      <c r="F376" s="3"/>
    </row>
    <row r="377" ht="15.75" customHeight="1">
      <c r="F377" s="3"/>
    </row>
    <row r="378" ht="15.75" customHeight="1">
      <c r="F378" s="3"/>
    </row>
    <row r="379" ht="15.75" customHeight="1">
      <c r="F379" s="3"/>
    </row>
    <row r="380" ht="15.75" customHeight="1">
      <c r="F380" s="3"/>
    </row>
    <row r="381" ht="15.75" customHeight="1">
      <c r="F381" s="3"/>
    </row>
    <row r="382" ht="15.75" customHeight="1">
      <c r="F382" s="3"/>
    </row>
    <row r="383" ht="15.75" customHeight="1">
      <c r="F383" s="3"/>
    </row>
    <row r="384" ht="15.75" customHeight="1">
      <c r="F384" s="3"/>
    </row>
    <row r="385" ht="15.75" customHeight="1">
      <c r="F385" s="3"/>
    </row>
    <row r="386" ht="15.75" customHeight="1">
      <c r="F386" s="3"/>
    </row>
    <row r="387" ht="15.75" customHeight="1">
      <c r="F387" s="3"/>
    </row>
    <row r="388" ht="15.75" customHeight="1">
      <c r="F388" s="3"/>
    </row>
    <row r="389" ht="15.75" customHeight="1">
      <c r="F389" s="3"/>
    </row>
    <row r="390" ht="15.75" customHeight="1">
      <c r="F390" s="3"/>
    </row>
    <row r="391" ht="15.75" customHeight="1">
      <c r="F391" s="3"/>
    </row>
    <row r="392" ht="15.75" customHeight="1">
      <c r="F392" s="3"/>
    </row>
    <row r="393" ht="15.75" customHeight="1">
      <c r="F393" s="3"/>
    </row>
    <row r="394" ht="15.75" customHeight="1">
      <c r="F394" s="3"/>
    </row>
    <row r="395" ht="15.75" customHeight="1">
      <c r="F395" s="3"/>
    </row>
    <row r="396" ht="15.75" customHeight="1">
      <c r="F396" s="3"/>
    </row>
    <row r="397" ht="15.75" customHeight="1">
      <c r="F397" s="3"/>
    </row>
    <row r="398" ht="15.75" customHeight="1">
      <c r="F398" s="3"/>
    </row>
    <row r="399" ht="15.75" customHeight="1">
      <c r="F399" s="3"/>
    </row>
    <row r="400" ht="15.75" customHeight="1">
      <c r="F400" s="3"/>
    </row>
    <row r="401" ht="15.75" customHeight="1">
      <c r="F401" s="3"/>
    </row>
    <row r="402" ht="15.75" customHeight="1">
      <c r="F402" s="3"/>
    </row>
    <row r="403" ht="15.75" customHeight="1">
      <c r="F403" s="3"/>
    </row>
    <row r="404" ht="15.75" customHeight="1">
      <c r="F404" s="3"/>
    </row>
    <row r="405" ht="15.75" customHeight="1">
      <c r="F405" s="3"/>
    </row>
    <row r="406" ht="15.75" customHeight="1">
      <c r="F406" s="3"/>
    </row>
    <row r="407" ht="15.75" customHeight="1">
      <c r="F407" s="3"/>
    </row>
    <row r="408" ht="15.75" customHeight="1">
      <c r="F408" s="3"/>
    </row>
    <row r="409" ht="15.75" customHeight="1">
      <c r="F409" s="3"/>
    </row>
    <row r="410" ht="15.75" customHeight="1">
      <c r="F410" s="3"/>
    </row>
    <row r="411" ht="15.75" customHeight="1">
      <c r="F411" s="3"/>
    </row>
    <row r="412" ht="15.75" customHeight="1">
      <c r="F412" s="3"/>
    </row>
    <row r="413" ht="15.75" customHeight="1">
      <c r="F413" s="3"/>
    </row>
    <row r="414" ht="15.75" customHeight="1">
      <c r="F414" s="3"/>
    </row>
    <row r="415" ht="15.75" customHeight="1">
      <c r="F415" s="3"/>
    </row>
    <row r="416" ht="15.75" customHeight="1">
      <c r="F416" s="3"/>
    </row>
    <row r="417" ht="15.75" customHeight="1">
      <c r="F417" s="3"/>
    </row>
    <row r="418" ht="15.75" customHeight="1">
      <c r="F418" s="3"/>
    </row>
    <row r="419" ht="15.75" customHeight="1">
      <c r="F419" s="3"/>
    </row>
    <row r="420" ht="15.75" customHeight="1">
      <c r="F420" s="3"/>
    </row>
    <row r="421" ht="15.75" customHeight="1">
      <c r="F421" s="3"/>
    </row>
    <row r="422" ht="15.75" customHeight="1">
      <c r="F422" s="3"/>
    </row>
    <row r="423" ht="15.75" customHeight="1">
      <c r="F423" s="3"/>
    </row>
    <row r="424" ht="15.75" customHeight="1">
      <c r="F424" s="3"/>
    </row>
    <row r="425" ht="15.75" customHeight="1">
      <c r="F425" s="3"/>
    </row>
    <row r="426" ht="15.75" customHeight="1">
      <c r="F426" s="3"/>
    </row>
    <row r="427" ht="15.75" customHeight="1">
      <c r="F427" s="3"/>
    </row>
    <row r="428" ht="15.75" customHeight="1">
      <c r="F428" s="3"/>
    </row>
    <row r="429" ht="15.75" customHeight="1">
      <c r="F429" s="3"/>
    </row>
    <row r="430" ht="15.75" customHeight="1">
      <c r="F430" s="3"/>
    </row>
    <row r="431" ht="15.75" customHeight="1">
      <c r="F431" s="3"/>
    </row>
    <row r="432" ht="15.75" customHeight="1">
      <c r="F432" s="3"/>
    </row>
    <row r="433" ht="15.75" customHeight="1">
      <c r="F433" s="3"/>
    </row>
    <row r="434" ht="15.75" customHeight="1">
      <c r="F434" s="3"/>
    </row>
    <row r="435" ht="15.75" customHeight="1">
      <c r="F435" s="3"/>
    </row>
    <row r="436" ht="15.75" customHeight="1">
      <c r="F436" s="3"/>
    </row>
    <row r="437" ht="15.75" customHeight="1">
      <c r="F437" s="3"/>
    </row>
    <row r="438" ht="15.75" customHeight="1">
      <c r="F438" s="3"/>
    </row>
    <row r="439" ht="15.75" customHeight="1">
      <c r="F439" s="3"/>
    </row>
    <row r="440" ht="15.75" customHeight="1">
      <c r="F440" s="3"/>
    </row>
    <row r="441" ht="15.75" customHeight="1">
      <c r="F441" s="3"/>
    </row>
    <row r="442" ht="15.75" customHeight="1">
      <c r="F442" s="3"/>
    </row>
    <row r="443" ht="15.75" customHeight="1">
      <c r="F443" s="3"/>
    </row>
    <row r="444" ht="15.75" customHeight="1">
      <c r="F444" s="3"/>
    </row>
    <row r="445" ht="15.75" customHeight="1">
      <c r="F445" s="3"/>
    </row>
    <row r="446" ht="15.75" customHeight="1">
      <c r="F446" s="3"/>
    </row>
    <row r="447" ht="15.75" customHeight="1">
      <c r="F447" s="3"/>
    </row>
    <row r="448" ht="15.75" customHeight="1">
      <c r="F448" s="3"/>
    </row>
    <row r="449" ht="15.75" customHeight="1">
      <c r="F449" s="3"/>
    </row>
    <row r="450" ht="15.75" customHeight="1">
      <c r="F450" s="3"/>
    </row>
    <row r="451" ht="15.75" customHeight="1">
      <c r="F451" s="3"/>
    </row>
    <row r="452" ht="15.75" customHeight="1">
      <c r="F452" s="3"/>
    </row>
    <row r="453" ht="15.75" customHeight="1">
      <c r="F453" s="3"/>
    </row>
    <row r="454" ht="15.75" customHeight="1">
      <c r="F454" s="3"/>
    </row>
    <row r="455" ht="15.75" customHeight="1">
      <c r="F455" s="3"/>
    </row>
    <row r="456" ht="15.75" customHeight="1">
      <c r="F456" s="3"/>
    </row>
    <row r="457" ht="15.75" customHeight="1">
      <c r="F457" s="3"/>
    </row>
    <row r="458" ht="15.75" customHeight="1">
      <c r="F458" s="3"/>
    </row>
    <row r="459" ht="15.75" customHeight="1">
      <c r="F459" s="3"/>
    </row>
    <row r="460" ht="15.75" customHeight="1">
      <c r="F460" s="3"/>
    </row>
    <row r="461" ht="15.75" customHeight="1">
      <c r="F461" s="3"/>
    </row>
    <row r="462" ht="15.75" customHeight="1">
      <c r="F462" s="3"/>
    </row>
    <row r="463" ht="15.75" customHeight="1">
      <c r="F463" s="3"/>
    </row>
    <row r="464" ht="15.75" customHeight="1">
      <c r="F464" s="3"/>
    </row>
    <row r="465" ht="15.75" customHeight="1">
      <c r="F465" s="3"/>
    </row>
    <row r="466" ht="15.75" customHeight="1">
      <c r="F466" s="3"/>
    </row>
    <row r="467" ht="15.75" customHeight="1">
      <c r="F467" s="3"/>
    </row>
    <row r="468" ht="15.75" customHeight="1">
      <c r="F468" s="3"/>
    </row>
    <row r="469" ht="15.75" customHeight="1">
      <c r="F469" s="3"/>
    </row>
    <row r="470" ht="15.75" customHeight="1">
      <c r="F470" s="3"/>
    </row>
    <row r="471" ht="15.75" customHeight="1">
      <c r="F471" s="3"/>
    </row>
    <row r="472" ht="15.75" customHeight="1">
      <c r="F472" s="3"/>
    </row>
    <row r="473" ht="15.75" customHeight="1">
      <c r="F473" s="3"/>
    </row>
    <row r="474" ht="15.75" customHeight="1">
      <c r="F474" s="3"/>
    </row>
    <row r="475" ht="15.75" customHeight="1">
      <c r="F475" s="3"/>
    </row>
    <row r="476" ht="15.75" customHeight="1">
      <c r="F476" s="3"/>
    </row>
    <row r="477" ht="15.75" customHeight="1">
      <c r="F477" s="3"/>
    </row>
    <row r="478" ht="15.75" customHeight="1">
      <c r="F478" s="3"/>
    </row>
    <row r="479" ht="15.75" customHeight="1">
      <c r="F479" s="3"/>
    </row>
    <row r="480" ht="15.75" customHeight="1">
      <c r="F480" s="3"/>
    </row>
    <row r="481" ht="15.75" customHeight="1">
      <c r="F481" s="3"/>
    </row>
    <row r="482" ht="15.75" customHeight="1">
      <c r="F482" s="3"/>
    </row>
    <row r="483" ht="15.75" customHeight="1">
      <c r="F483" s="3"/>
    </row>
    <row r="484" ht="15.75" customHeight="1">
      <c r="F484" s="3"/>
    </row>
    <row r="485" ht="15.75" customHeight="1">
      <c r="F485" s="3"/>
    </row>
    <row r="486" ht="15.75" customHeight="1">
      <c r="F486" s="3"/>
    </row>
    <row r="487" ht="15.75" customHeight="1">
      <c r="F487" s="3"/>
    </row>
    <row r="488" ht="15.75" customHeight="1">
      <c r="F488" s="3"/>
    </row>
    <row r="489" ht="15.75" customHeight="1">
      <c r="F489" s="3"/>
    </row>
    <row r="490" ht="15.75" customHeight="1">
      <c r="F490" s="3"/>
    </row>
    <row r="491" ht="15.75" customHeight="1">
      <c r="F491" s="3"/>
    </row>
    <row r="492" ht="15.75" customHeight="1">
      <c r="F492" s="3"/>
    </row>
    <row r="493" ht="15.75" customHeight="1">
      <c r="F493" s="3"/>
    </row>
    <row r="494" ht="15.75" customHeight="1">
      <c r="F494" s="3"/>
    </row>
    <row r="495" ht="15.75" customHeight="1">
      <c r="F495" s="3"/>
    </row>
    <row r="496" ht="15.75" customHeight="1">
      <c r="F496" s="3"/>
    </row>
    <row r="497" ht="15.75" customHeight="1">
      <c r="F497" s="3"/>
    </row>
    <row r="498" ht="15.75" customHeight="1">
      <c r="F498" s="3"/>
    </row>
    <row r="499" ht="15.75" customHeight="1">
      <c r="F499" s="3"/>
    </row>
    <row r="500" ht="15.75" customHeight="1">
      <c r="F500" s="3"/>
    </row>
    <row r="501" ht="15.75" customHeight="1">
      <c r="F501" s="3"/>
    </row>
    <row r="502" ht="15.75" customHeight="1">
      <c r="F502" s="3"/>
    </row>
    <row r="503" ht="15.75" customHeight="1">
      <c r="F503" s="3"/>
    </row>
    <row r="504" ht="15.75" customHeight="1">
      <c r="F504" s="3"/>
    </row>
    <row r="505" ht="15.75" customHeight="1">
      <c r="F505" s="3"/>
    </row>
    <row r="506" ht="15.75" customHeight="1">
      <c r="F506" s="3"/>
    </row>
    <row r="507" ht="15.75" customHeight="1">
      <c r="F507" s="3"/>
    </row>
    <row r="508" ht="15.75" customHeight="1">
      <c r="F508" s="3"/>
    </row>
    <row r="509" ht="15.75" customHeight="1">
      <c r="F509" s="3"/>
    </row>
    <row r="510" ht="15.75" customHeight="1">
      <c r="F510" s="3"/>
    </row>
    <row r="511" ht="15.75" customHeight="1">
      <c r="F511" s="3"/>
    </row>
    <row r="512" ht="15.75" customHeight="1">
      <c r="F512" s="3"/>
    </row>
    <row r="513" ht="15.75" customHeight="1">
      <c r="F513" s="3"/>
    </row>
    <row r="514" ht="15.75" customHeight="1">
      <c r="F514" s="3"/>
    </row>
    <row r="515" ht="15.75" customHeight="1">
      <c r="F515" s="3"/>
    </row>
    <row r="516" ht="15.75" customHeight="1">
      <c r="F516" s="3"/>
    </row>
    <row r="517" ht="15.75" customHeight="1">
      <c r="F517" s="3"/>
    </row>
    <row r="518" ht="15.75" customHeight="1">
      <c r="F518" s="3"/>
    </row>
    <row r="519" ht="15.75" customHeight="1">
      <c r="F519" s="3"/>
    </row>
    <row r="520" ht="15.75" customHeight="1">
      <c r="F520" s="3"/>
    </row>
    <row r="521" ht="15.75" customHeight="1">
      <c r="F521" s="3"/>
    </row>
    <row r="522" ht="15.75" customHeight="1">
      <c r="F522" s="3"/>
    </row>
    <row r="523" ht="15.75" customHeight="1">
      <c r="F523" s="3"/>
    </row>
    <row r="524" ht="15.75" customHeight="1">
      <c r="F524" s="3"/>
    </row>
    <row r="525" ht="15.75" customHeight="1">
      <c r="F525" s="3"/>
    </row>
    <row r="526" ht="15.75" customHeight="1">
      <c r="F526" s="3"/>
    </row>
    <row r="527" ht="15.75" customHeight="1">
      <c r="F527" s="3"/>
    </row>
    <row r="528" ht="15.75" customHeight="1">
      <c r="F528" s="3"/>
    </row>
    <row r="529" ht="15.75" customHeight="1">
      <c r="F529" s="3"/>
    </row>
    <row r="530" ht="15.75" customHeight="1">
      <c r="F530" s="3"/>
    </row>
    <row r="531" ht="15.75" customHeight="1">
      <c r="F531" s="3"/>
    </row>
    <row r="532" ht="15.75" customHeight="1">
      <c r="F532" s="3"/>
    </row>
    <row r="533" ht="15.75" customHeight="1">
      <c r="F533" s="3"/>
    </row>
    <row r="534" ht="15.75" customHeight="1">
      <c r="F534" s="3"/>
    </row>
    <row r="535" ht="15.75" customHeight="1">
      <c r="F535" s="3"/>
    </row>
    <row r="536" ht="15.75" customHeight="1">
      <c r="F536" s="3"/>
    </row>
    <row r="537" ht="15.75" customHeight="1">
      <c r="F537" s="3"/>
    </row>
    <row r="538" ht="15.75" customHeight="1">
      <c r="F538" s="3"/>
    </row>
    <row r="539" ht="15.75" customHeight="1">
      <c r="F539" s="3"/>
    </row>
    <row r="540" ht="15.75" customHeight="1">
      <c r="F540" s="3"/>
    </row>
    <row r="541" ht="15.75" customHeight="1">
      <c r="F541" s="3"/>
    </row>
    <row r="542" ht="15.75" customHeight="1">
      <c r="F542" s="3"/>
    </row>
    <row r="543" ht="15.75" customHeight="1">
      <c r="F543" s="3"/>
    </row>
    <row r="544" ht="15.75" customHeight="1">
      <c r="F544" s="3"/>
    </row>
    <row r="545" ht="15.75" customHeight="1">
      <c r="F545" s="3"/>
    </row>
    <row r="546" ht="15.75" customHeight="1">
      <c r="F546" s="3"/>
    </row>
    <row r="547" ht="15.75" customHeight="1">
      <c r="F547" s="3"/>
    </row>
    <row r="548" ht="15.75" customHeight="1">
      <c r="F548" s="3"/>
    </row>
    <row r="549" ht="15.75" customHeight="1">
      <c r="F549" s="3"/>
    </row>
    <row r="550" ht="15.75" customHeight="1">
      <c r="F550" s="3"/>
    </row>
    <row r="551" ht="15.75" customHeight="1">
      <c r="F551" s="3"/>
    </row>
    <row r="552" ht="15.75" customHeight="1">
      <c r="F552" s="3"/>
    </row>
    <row r="553" ht="15.75" customHeight="1">
      <c r="F553" s="3"/>
    </row>
    <row r="554" ht="15.75" customHeight="1">
      <c r="F554" s="3"/>
    </row>
    <row r="555" ht="15.75" customHeight="1">
      <c r="F555" s="3"/>
    </row>
    <row r="556" ht="15.75" customHeight="1">
      <c r="F556" s="3"/>
    </row>
    <row r="557" ht="15.75" customHeight="1">
      <c r="F557" s="3"/>
    </row>
    <row r="558" ht="15.75" customHeight="1">
      <c r="F558" s="3"/>
    </row>
    <row r="559" ht="15.75" customHeight="1">
      <c r="F559" s="3"/>
    </row>
    <row r="560" ht="15.75" customHeight="1">
      <c r="F560" s="3"/>
    </row>
    <row r="561" ht="15.75" customHeight="1">
      <c r="F561" s="3"/>
    </row>
    <row r="562" ht="15.75" customHeight="1">
      <c r="F562" s="3"/>
    </row>
    <row r="563" ht="15.75" customHeight="1">
      <c r="F563" s="3"/>
    </row>
    <row r="564" ht="15.75" customHeight="1">
      <c r="F564" s="3"/>
    </row>
    <row r="565" ht="15.75" customHeight="1">
      <c r="F565" s="3"/>
    </row>
    <row r="566" ht="15.75" customHeight="1">
      <c r="F566" s="3"/>
    </row>
    <row r="567" ht="15.75" customHeight="1">
      <c r="F567" s="3"/>
    </row>
    <row r="568" ht="15.75" customHeight="1">
      <c r="F568" s="3"/>
    </row>
    <row r="569" ht="15.75" customHeight="1">
      <c r="F569" s="3"/>
    </row>
    <row r="570" ht="15.75" customHeight="1">
      <c r="F570" s="3"/>
    </row>
    <row r="571" ht="15.75" customHeight="1">
      <c r="F571" s="3"/>
    </row>
    <row r="572" ht="15.75" customHeight="1">
      <c r="F572" s="3"/>
    </row>
    <row r="573" ht="15.75" customHeight="1">
      <c r="F573" s="3"/>
    </row>
    <row r="574" ht="15.75" customHeight="1">
      <c r="F574" s="3"/>
    </row>
    <row r="575" ht="15.75" customHeight="1">
      <c r="F575" s="3"/>
    </row>
    <row r="576" ht="15.75" customHeight="1">
      <c r="F576" s="3"/>
    </row>
    <row r="577" ht="15.75" customHeight="1">
      <c r="F577" s="3"/>
    </row>
    <row r="578" ht="15.75" customHeight="1">
      <c r="F578" s="3"/>
    </row>
    <row r="579" ht="15.75" customHeight="1">
      <c r="F579" s="3"/>
    </row>
    <row r="580" ht="15.75" customHeight="1">
      <c r="F580" s="3"/>
    </row>
    <row r="581" ht="15.75" customHeight="1">
      <c r="F581" s="3"/>
    </row>
    <row r="582" ht="15.75" customHeight="1">
      <c r="F582" s="3"/>
    </row>
    <row r="583" ht="15.75" customHeight="1">
      <c r="F583" s="3"/>
    </row>
    <row r="584" ht="15.75" customHeight="1">
      <c r="F584" s="3"/>
    </row>
    <row r="585" ht="15.75" customHeight="1">
      <c r="F585" s="3"/>
    </row>
    <row r="586" ht="15.75" customHeight="1">
      <c r="F586" s="3"/>
    </row>
    <row r="587" ht="15.75" customHeight="1">
      <c r="F587" s="3"/>
    </row>
    <row r="588" ht="15.75" customHeight="1">
      <c r="F588" s="3"/>
    </row>
    <row r="589" ht="15.75" customHeight="1">
      <c r="F589" s="3"/>
    </row>
    <row r="590" ht="15.75" customHeight="1">
      <c r="F590" s="3"/>
    </row>
    <row r="591" ht="15.75" customHeight="1">
      <c r="F591" s="3"/>
    </row>
    <row r="592" ht="15.75" customHeight="1">
      <c r="F592" s="3"/>
    </row>
    <row r="593" ht="15.75" customHeight="1">
      <c r="F593" s="3"/>
    </row>
    <row r="594" ht="15.75" customHeight="1">
      <c r="F594" s="3"/>
    </row>
    <row r="595" ht="15.75" customHeight="1">
      <c r="F595" s="3"/>
    </row>
    <row r="596" ht="15.75" customHeight="1">
      <c r="F596" s="3"/>
    </row>
    <row r="597" ht="15.75" customHeight="1">
      <c r="F597" s="3"/>
    </row>
    <row r="598" ht="15.75" customHeight="1">
      <c r="F598" s="3"/>
    </row>
    <row r="599" ht="15.75" customHeight="1">
      <c r="F599" s="3"/>
    </row>
    <row r="600" ht="15.75" customHeight="1">
      <c r="F600" s="3"/>
    </row>
    <row r="601" ht="15.75" customHeight="1">
      <c r="F601" s="3"/>
    </row>
    <row r="602" ht="15.75" customHeight="1">
      <c r="F602" s="3"/>
    </row>
    <row r="603" ht="15.75" customHeight="1">
      <c r="F603" s="3"/>
    </row>
    <row r="604" ht="15.75" customHeight="1">
      <c r="F604" s="3"/>
    </row>
    <row r="605" ht="15.75" customHeight="1">
      <c r="F605" s="3"/>
    </row>
    <row r="606" ht="15.75" customHeight="1">
      <c r="F606" s="3"/>
    </row>
    <row r="607" ht="15.75" customHeight="1">
      <c r="F607" s="3"/>
    </row>
    <row r="608" ht="15.75" customHeight="1">
      <c r="F608" s="3"/>
    </row>
    <row r="609" ht="15.75" customHeight="1">
      <c r="F609" s="3"/>
    </row>
    <row r="610" ht="15.75" customHeight="1">
      <c r="F610" s="3"/>
    </row>
    <row r="611" ht="15.75" customHeight="1">
      <c r="F611" s="3"/>
    </row>
    <row r="612" ht="15.75" customHeight="1">
      <c r="F612" s="3"/>
    </row>
    <row r="613" ht="15.75" customHeight="1">
      <c r="F613" s="3"/>
    </row>
    <row r="614" ht="15.75" customHeight="1">
      <c r="F614" s="3"/>
    </row>
    <row r="615" ht="15.75" customHeight="1">
      <c r="F615" s="3"/>
    </row>
    <row r="616" ht="15.75" customHeight="1">
      <c r="F616" s="3"/>
    </row>
    <row r="617" ht="15.75" customHeight="1">
      <c r="F617" s="3"/>
    </row>
    <row r="618" ht="15.75" customHeight="1">
      <c r="F618" s="3"/>
    </row>
    <row r="619" ht="15.75" customHeight="1">
      <c r="F619" s="3"/>
    </row>
    <row r="620" ht="15.75" customHeight="1">
      <c r="F620" s="3"/>
    </row>
    <row r="621" ht="15.75" customHeight="1">
      <c r="F621" s="3"/>
    </row>
    <row r="622" ht="15.75" customHeight="1">
      <c r="F622" s="3"/>
    </row>
    <row r="623" ht="15.75" customHeight="1">
      <c r="F623" s="3"/>
    </row>
    <row r="624" ht="15.75" customHeight="1">
      <c r="F624" s="3"/>
    </row>
    <row r="625" ht="15.75" customHeight="1">
      <c r="F625" s="3"/>
    </row>
    <row r="626" ht="15.75" customHeight="1">
      <c r="F626" s="3"/>
    </row>
    <row r="627" ht="15.75" customHeight="1">
      <c r="F627" s="3"/>
    </row>
    <row r="628" ht="15.75" customHeight="1">
      <c r="F628" s="3"/>
    </row>
    <row r="629" ht="15.75" customHeight="1">
      <c r="F629" s="3"/>
    </row>
    <row r="630" ht="15.75" customHeight="1">
      <c r="F630" s="3"/>
    </row>
    <row r="631" ht="15.75" customHeight="1">
      <c r="F631" s="3"/>
    </row>
    <row r="632" ht="15.75" customHeight="1">
      <c r="F632" s="3"/>
    </row>
    <row r="633" ht="15.75" customHeight="1">
      <c r="F633" s="3"/>
    </row>
    <row r="634" ht="15.75" customHeight="1">
      <c r="F634" s="3"/>
    </row>
    <row r="635" ht="15.75" customHeight="1">
      <c r="F635" s="3"/>
    </row>
    <row r="636" ht="15.75" customHeight="1">
      <c r="F636" s="3"/>
    </row>
    <row r="637" ht="15.75" customHeight="1">
      <c r="F637" s="3"/>
    </row>
    <row r="638" ht="15.75" customHeight="1">
      <c r="F638" s="3"/>
    </row>
    <row r="639" ht="15.75" customHeight="1">
      <c r="F639" s="3"/>
    </row>
    <row r="640" ht="15.75" customHeight="1">
      <c r="F640" s="3"/>
    </row>
    <row r="641" ht="15.75" customHeight="1">
      <c r="F641" s="3"/>
    </row>
    <row r="642" ht="15.75" customHeight="1">
      <c r="F642" s="3"/>
    </row>
    <row r="643" ht="15.75" customHeight="1">
      <c r="F643" s="3"/>
    </row>
    <row r="644" ht="15.75" customHeight="1">
      <c r="F644" s="3"/>
    </row>
    <row r="645" ht="15.75" customHeight="1">
      <c r="F645" s="3"/>
    </row>
    <row r="646" ht="15.75" customHeight="1">
      <c r="F646" s="3"/>
    </row>
    <row r="647" ht="15.75" customHeight="1">
      <c r="F647" s="3"/>
    </row>
    <row r="648" ht="15.75" customHeight="1">
      <c r="F648" s="3"/>
    </row>
    <row r="649" ht="15.75" customHeight="1">
      <c r="F649" s="3"/>
    </row>
    <row r="650" ht="15.75" customHeight="1">
      <c r="F650" s="3"/>
    </row>
    <row r="651" ht="15.75" customHeight="1">
      <c r="F651" s="3"/>
    </row>
    <row r="652" ht="15.75" customHeight="1">
      <c r="F652" s="3"/>
    </row>
    <row r="653" ht="15.75" customHeight="1">
      <c r="F653" s="3"/>
    </row>
    <row r="654" ht="15.75" customHeight="1">
      <c r="F654" s="3"/>
    </row>
    <row r="655" ht="15.75" customHeight="1">
      <c r="F655" s="3"/>
    </row>
    <row r="656" ht="15.75" customHeight="1">
      <c r="F656" s="3"/>
    </row>
    <row r="657" ht="15.75" customHeight="1">
      <c r="F657" s="3"/>
    </row>
    <row r="658" ht="15.75" customHeight="1">
      <c r="F658" s="3"/>
    </row>
    <row r="659" ht="15.75" customHeight="1">
      <c r="F659" s="3"/>
    </row>
    <row r="660" ht="15.75" customHeight="1">
      <c r="F660" s="3"/>
    </row>
    <row r="661" ht="15.75" customHeight="1">
      <c r="F661" s="3"/>
    </row>
    <row r="662" ht="15.75" customHeight="1">
      <c r="F662" s="3"/>
    </row>
    <row r="663" ht="15.75" customHeight="1">
      <c r="F663" s="3"/>
    </row>
    <row r="664" ht="15.75" customHeight="1">
      <c r="F664" s="3"/>
    </row>
    <row r="665" ht="15.75" customHeight="1">
      <c r="F665" s="3"/>
    </row>
    <row r="666" ht="15.75" customHeight="1">
      <c r="F666" s="3"/>
    </row>
    <row r="667" ht="15.75" customHeight="1">
      <c r="F667" s="3"/>
    </row>
    <row r="668" ht="15.75" customHeight="1">
      <c r="F668" s="3"/>
    </row>
    <row r="669" ht="15.75" customHeight="1">
      <c r="F669" s="3"/>
    </row>
    <row r="670" ht="15.75" customHeight="1">
      <c r="F670" s="3"/>
    </row>
    <row r="671" ht="15.75" customHeight="1">
      <c r="F671" s="3"/>
    </row>
    <row r="672" ht="15.75" customHeight="1">
      <c r="F672" s="3"/>
    </row>
    <row r="673" ht="15.75" customHeight="1">
      <c r="F673" s="3"/>
    </row>
    <row r="674" ht="15.75" customHeight="1">
      <c r="F674" s="3"/>
    </row>
    <row r="675" ht="15.75" customHeight="1">
      <c r="F675" s="3"/>
    </row>
    <row r="676" ht="15.75" customHeight="1">
      <c r="F676" s="3"/>
    </row>
    <row r="677" ht="15.75" customHeight="1">
      <c r="F677" s="3"/>
    </row>
    <row r="678" ht="15.75" customHeight="1">
      <c r="F678" s="3"/>
    </row>
    <row r="679" ht="15.75" customHeight="1">
      <c r="F679" s="3"/>
    </row>
    <row r="680" ht="15.75" customHeight="1">
      <c r="F680" s="3"/>
    </row>
    <row r="681" ht="15.75" customHeight="1">
      <c r="F681" s="3"/>
    </row>
    <row r="682" ht="15.75" customHeight="1">
      <c r="F682" s="3"/>
    </row>
    <row r="683" ht="15.75" customHeight="1">
      <c r="F683" s="3"/>
    </row>
    <row r="684" ht="15.75" customHeight="1">
      <c r="F684" s="3"/>
    </row>
    <row r="685" ht="15.75" customHeight="1">
      <c r="F685" s="3"/>
    </row>
    <row r="686" ht="15.75" customHeight="1">
      <c r="F686" s="3"/>
    </row>
    <row r="687" ht="15.75" customHeight="1">
      <c r="F687" s="3"/>
    </row>
    <row r="688" ht="15.75" customHeight="1">
      <c r="F688" s="3"/>
    </row>
    <row r="689" ht="15.75" customHeight="1">
      <c r="F689" s="3"/>
    </row>
    <row r="690" ht="15.75" customHeight="1">
      <c r="F690" s="3"/>
    </row>
    <row r="691" ht="15.75" customHeight="1">
      <c r="F691" s="3"/>
    </row>
    <row r="692" ht="15.75" customHeight="1">
      <c r="F692" s="3"/>
    </row>
    <row r="693" ht="15.75" customHeight="1">
      <c r="F693" s="3"/>
    </row>
    <row r="694" ht="15.75" customHeight="1">
      <c r="F694" s="3"/>
    </row>
    <row r="695" ht="15.75" customHeight="1">
      <c r="F695" s="3"/>
    </row>
    <row r="696" ht="15.75" customHeight="1">
      <c r="F696" s="3"/>
    </row>
    <row r="697" ht="15.75" customHeight="1">
      <c r="F697" s="3"/>
    </row>
    <row r="698" ht="15.75" customHeight="1">
      <c r="F698" s="3"/>
    </row>
    <row r="699" ht="15.75" customHeight="1">
      <c r="F699" s="3"/>
    </row>
    <row r="700" ht="15.75" customHeight="1">
      <c r="F700" s="3"/>
    </row>
    <row r="701" ht="15.75" customHeight="1">
      <c r="F701" s="3"/>
    </row>
    <row r="702" ht="15.75" customHeight="1">
      <c r="F702" s="3"/>
    </row>
    <row r="703" ht="15.75" customHeight="1">
      <c r="F703" s="3"/>
    </row>
    <row r="704" ht="15.75" customHeight="1">
      <c r="F704" s="3"/>
    </row>
    <row r="705" ht="15.75" customHeight="1">
      <c r="F705" s="3"/>
    </row>
    <row r="706" ht="15.75" customHeight="1">
      <c r="F706" s="3"/>
    </row>
    <row r="707" ht="15.75" customHeight="1">
      <c r="F707" s="3"/>
    </row>
    <row r="708" ht="15.75" customHeight="1">
      <c r="F708" s="3"/>
    </row>
    <row r="709" ht="15.75" customHeight="1">
      <c r="F709" s="3"/>
    </row>
    <row r="710" ht="15.75" customHeight="1">
      <c r="F710" s="3"/>
    </row>
    <row r="711" ht="15.75" customHeight="1">
      <c r="F711" s="3"/>
    </row>
    <row r="712" ht="15.75" customHeight="1">
      <c r="F712" s="3"/>
    </row>
    <row r="713" ht="15.75" customHeight="1">
      <c r="F713" s="3"/>
    </row>
    <row r="714" ht="15.75" customHeight="1">
      <c r="F714" s="3"/>
    </row>
    <row r="715" ht="15.75" customHeight="1">
      <c r="F715" s="3"/>
    </row>
    <row r="716" ht="15.75" customHeight="1">
      <c r="F716" s="3"/>
    </row>
    <row r="717" ht="15.75" customHeight="1">
      <c r="F717" s="3"/>
    </row>
    <row r="718" ht="15.75" customHeight="1">
      <c r="F718" s="3"/>
    </row>
    <row r="719" ht="15.75" customHeight="1">
      <c r="F719" s="3"/>
    </row>
    <row r="720" ht="15.75" customHeight="1">
      <c r="F720" s="3"/>
    </row>
    <row r="721" ht="15.75" customHeight="1">
      <c r="F721" s="3"/>
    </row>
    <row r="722" ht="15.75" customHeight="1">
      <c r="F722" s="3"/>
    </row>
    <row r="723" ht="15.75" customHeight="1">
      <c r="F723" s="3"/>
    </row>
    <row r="724" ht="15.75" customHeight="1">
      <c r="F724" s="3"/>
    </row>
    <row r="725" ht="15.75" customHeight="1">
      <c r="F725" s="3"/>
    </row>
    <row r="726" ht="15.75" customHeight="1">
      <c r="F726" s="3"/>
    </row>
    <row r="727" ht="15.75" customHeight="1">
      <c r="F727" s="3"/>
    </row>
    <row r="728" ht="15.75" customHeight="1">
      <c r="F728" s="3"/>
    </row>
    <row r="729" ht="15.75" customHeight="1">
      <c r="F729" s="3"/>
    </row>
    <row r="730" ht="15.75" customHeight="1">
      <c r="F730" s="3"/>
    </row>
    <row r="731" ht="15.75" customHeight="1">
      <c r="F731" s="3"/>
    </row>
    <row r="732" ht="15.75" customHeight="1">
      <c r="F732" s="3"/>
    </row>
    <row r="733" ht="15.75" customHeight="1">
      <c r="F733" s="3"/>
    </row>
    <row r="734" ht="15.75" customHeight="1">
      <c r="F734" s="3"/>
    </row>
    <row r="735" ht="15.75" customHeight="1">
      <c r="F735" s="3"/>
    </row>
    <row r="736" ht="15.75" customHeight="1">
      <c r="F736" s="3"/>
    </row>
    <row r="737" ht="15.75" customHeight="1">
      <c r="F737" s="3"/>
    </row>
    <row r="738" ht="15.75" customHeight="1">
      <c r="F738" s="3"/>
    </row>
    <row r="739" ht="15.75" customHeight="1">
      <c r="F739" s="3"/>
    </row>
    <row r="740" ht="15.75" customHeight="1">
      <c r="F740" s="3"/>
    </row>
    <row r="741" ht="15.75" customHeight="1">
      <c r="F741" s="3"/>
    </row>
    <row r="742" ht="15.75" customHeight="1">
      <c r="F742" s="3"/>
    </row>
    <row r="743" ht="15.75" customHeight="1">
      <c r="F743" s="3"/>
    </row>
    <row r="744" ht="15.75" customHeight="1">
      <c r="F744" s="3"/>
    </row>
    <row r="745" ht="15.75" customHeight="1">
      <c r="F745" s="3"/>
    </row>
    <row r="746" ht="15.75" customHeight="1">
      <c r="F746" s="3"/>
    </row>
    <row r="747" ht="15.75" customHeight="1">
      <c r="F747" s="3"/>
    </row>
    <row r="748" ht="15.75" customHeight="1">
      <c r="F748" s="3"/>
    </row>
    <row r="749" ht="15.75" customHeight="1">
      <c r="F749" s="3"/>
    </row>
    <row r="750" ht="15.75" customHeight="1">
      <c r="F750" s="3"/>
    </row>
    <row r="751" ht="15.75" customHeight="1">
      <c r="F751" s="3"/>
    </row>
    <row r="752" ht="15.75" customHeight="1">
      <c r="F752" s="3"/>
    </row>
    <row r="753" ht="15.75" customHeight="1">
      <c r="F753" s="3"/>
    </row>
    <row r="754" ht="15.75" customHeight="1">
      <c r="F754" s="3"/>
    </row>
    <row r="755" ht="15.75" customHeight="1">
      <c r="F755" s="3"/>
    </row>
    <row r="756" ht="15.75" customHeight="1">
      <c r="F756" s="3"/>
    </row>
    <row r="757" ht="15.75" customHeight="1">
      <c r="F757" s="3"/>
    </row>
    <row r="758" ht="15.75" customHeight="1">
      <c r="F758" s="3"/>
    </row>
    <row r="759" ht="15.75" customHeight="1">
      <c r="F759" s="3"/>
    </row>
    <row r="760" ht="15.75" customHeight="1">
      <c r="F760" s="3"/>
    </row>
    <row r="761" ht="15.75" customHeight="1">
      <c r="F761" s="3"/>
    </row>
    <row r="762" ht="15.75" customHeight="1">
      <c r="F762" s="3"/>
    </row>
    <row r="763" ht="15.75" customHeight="1">
      <c r="F763" s="3"/>
    </row>
    <row r="764" ht="15.75" customHeight="1">
      <c r="F764" s="3"/>
    </row>
    <row r="765" ht="15.75" customHeight="1">
      <c r="F765" s="3"/>
    </row>
    <row r="766" ht="15.75" customHeight="1">
      <c r="F766" s="3"/>
    </row>
    <row r="767" ht="15.75" customHeight="1">
      <c r="F767" s="3"/>
    </row>
    <row r="768" ht="15.75" customHeight="1">
      <c r="F768" s="3"/>
    </row>
    <row r="769" ht="15.75" customHeight="1">
      <c r="F769" s="3"/>
    </row>
    <row r="770" ht="15.75" customHeight="1">
      <c r="F770" s="3"/>
    </row>
    <row r="771" ht="15.75" customHeight="1">
      <c r="F771" s="3"/>
    </row>
    <row r="772" ht="15.75" customHeight="1">
      <c r="F772" s="3"/>
    </row>
    <row r="773" ht="15.75" customHeight="1">
      <c r="F773" s="3"/>
    </row>
    <row r="774" ht="15.75" customHeight="1">
      <c r="F774" s="3"/>
    </row>
    <row r="775" ht="15.75" customHeight="1">
      <c r="F775" s="3"/>
    </row>
    <row r="776" ht="15.75" customHeight="1">
      <c r="F776" s="3"/>
    </row>
    <row r="777" ht="15.75" customHeight="1">
      <c r="F777" s="3"/>
    </row>
    <row r="778" ht="15.75" customHeight="1">
      <c r="F778" s="3"/>
    </row>
    <row r="779" ht="15.75" customHeight="1">
      <c r="F779" s="3"/>
    </row>
    <row r="780" ht="15.75" customHeight="1">
      <c r="F780" s="3"/>
    </row>
    <row r="781" ht="15.75" customHeight="1">
      <c r="F781" s="3"/>
    </row>
    <row r="782" ht="15.75" customHeight="1">
      <c r="F782" s="3"/>
    </row>
    <row r="783" ht="15.75" customHeight="1">
      <c r="F783" s="3"/>
    </row>
    <row r="784" ht="15.75" customHeight="1">
      <c r="F784" s="3"/>
    </row>
    <row r="785" ht="15.75" customHeight="1">
      <c r="F785" s="3"/>
    </row>
    <row r="786" ht="15.75" customHeight="1">
      <c r="F786" s="3"/>
    </row>
    <row r="787" ht="15.75" customHeight="1">
      <c r="F787" s="3"/>
    </row>
    <row r="788" ht="15.75" customHeight="1">
      <c r="F788" s="3"/>
    </row>
    <row r="789" ht="15.75" customHeight="1">
      <c r="F789" s="3"/>
    </row>
    <row r="790" ht="15.75" customHeight="1">
      <c r="F790" s="3"/>
    </row>
    <row r="791" ht="15.75" customHeight="1">
      <c r="F791" s="3"/>
    </row>
    <row r="792" ht="15.75" customHeight="1">
      <c r="F792" s="3"/>
    </row>
    <row r="793" ht="15.75" customHeight="1">
      <c r="F793" s="3"/>
    </row>
    <row r="794" ht="15.75" customHeight="1">
      <c r="F794" s="3"/>
    </row>
    <row r="795" ht="15.75" customHeight="1">
      <c r="F795" s="3"/>
    </row>
    <row r="796" ht="15.75" customHeight="1">
      <c r="F796" s="3"/>
    </row>
    <row r="797" ht="15.75" customHeight="1">
      <c r="F797" s="3"/>
    </row>
    <row r="798" ht="15.75" customHeight="1">
      <c r="F798" s="3"/>
    </row>
    <row r="799" ht="15.75" customHeight="1">
      <c r="F799" s="3"/>
    </row>
    <row r="800" ht="15.75" customHeight="1">
      <c r="F800" s="3"/>
    </row>
    <row r="801" ht="15.75" customHeight="1">
      <c r="F801" s="3"/>
    </row>
    <row r="802" ht="15.75" customHeight="1">
      <c r="F802" s="3"/>
    </row>
    <row r="803" ht="15.75" customHeight="1">
      <c r="F803" s="3"/>
    </row>
    <row r="804" ht="15.75" customHeight="1">
      <c r="F804" s="3"/>
    </row>
    <row r="805" ht="15.75" customHeight="1">
      <c r="F805" s="3"/>
    </row>
    <row r="806" ht="15.75" customHeight="1">
      <c r="F806" s="3"/>
    </row>
    <row r="807" ht="15.75" customHeight="1">
      <c r="F807" s="3"/>
    </row>
    <row r="808" ht="15.75" customHeight="1">
      <c r="F808" s="3"/>
    </row>
    <row r="809" ht="15.75" customHeight="1">
      <c r="F809" s="3"/>
    </row>
    <row r="810" ht="15.75" customHeight="1">
      <c r="F810" s="3"/>
    </row>
    <row r="811" ht="15.75" customHeight="1">
      <c r="F811" s="3"/>
    </row>
    <row r="812" ht="15.75" customHeight="1">
      <c r="F812" s="3"/>
    </row>
    <row r="813" ht="15.75" customHeight="1">
      <c r="F813" s="3"/>
    </row>
    <row r="814" ht="15.75" customHeight="1">
      <c r="F814" s="3"/>
    </row>
    <row r="815" ht="15.75" customHeight="1">
      <c r="F815" s="3"/>
    </row>
    <row r="816" ht="15.75" customHeight="1">
      <c r="F816" s="3"/>
    </row>
    <row r="817" ht="15.75" customHeight="1">
      <c r="F817" s="3"/>
    </row>
    <row r="818" ht="15.75" customHeight="1">
      <c r="F818" s="3"/>
    </row>
    <row r="819" ht="15.75" customHeight="1">
      <c r="F819" s="3"/>
    </row>
    <row r="820" ht="15.75" customHeight="1">
      <c r="F820" s="3"/>
    </row>
    <row r="821" ht="15.75" customHeight="1">
      <c r="F821" s="3"/>
    </row>
    <row r="822" ht="15.75" customHeight="1">
      <c r="F822" s="3"/>
    </row>
    <row r="823" ht="15.75" customHeight="1">
      <c r="F823" s="3"/>
    </row>
    <row r="824" ht="15.75" customHeight="1">
      <c r="F824" s="3"/>
    </row>
    <row r="825" ht="15.75" customHeight="1">
      <c r="F825" s="3"/>
    </row>
    <row r="826" ht="15.75" customHeight="1">
      <c r="F826" s="3"/>
    </row>
    <row r="827" ht="15.75" customHeight="1">
      <c r="F827" s="3"/>
    </row>
    <row r="828" ht="15.75" customHeight="1">
      <c r="F828" s="3"/>
    </row>
    <row r="829" ht="15.75" customHeight="1">
      <c r="F829" s="3"/>
    </row>
    <row r="830" ht="15.75" customHeight="1">
      <c r="F830" s="3"/>
    </row>
    <row r="831" ht="15.75" customHeight="1">
      <c r="F831" s="3"/>
    </row>
    <row r="832" ht="15.75" customHeight="1">
      <c r="F832" s="3"/>
    </row>
    <row r="833" ht="15.75" customHeight="1">
      <c r="F833" s="3"/>
    </row>
    <row r="834" ht="15.75" customHeight="1">
      <c r="F834" s="3"/>
    </row>
    <row r="835" ht="15.75" customHeight="1">
      <c r="F835" s="3"/>
    </row>
    <row r="836" ht="15.75" customHeight="1">
      <c r="F836" s="3"/>
    </row>
    <row r="837" ht="15.75" customHeight="1">
      <c r="F837" s="3"/>
    </row>
    <row r="838" ht="15.75" customHeight="1">
      <c r="F838" s="3"/>
    </row>
    <row r="839" ht="15.75" customHeight="1">
      <c r="F839" s="3"/>
    </row>
    <row r="840" ht="15.75" customHeight="1">
      <c r="F840" s="3"/>
    </row>
    <row r="841" ht="15.75" customHeight="1">
      <c r="F841" s="3"/>
    </row>
    <row r="842" ht="15.75" customHeight="1">
      <c r="F842" s="3"/>
    </row>
    <row r="843" ht="15.75" customHeight="1">
      <c r="F843" s="3"/>
    </row>
    <row r="844" ht="15.75" customHeight="1">
      <c r="F844" s="3"/>
    </row>
    <row r="845" ht="15.75" customHeight="1">
      <c r="F845" s="3"/>
    </row>
    <row r="846" ht="15.75" customHeight="1">
      <c r="F846" s="3"/>
    </row>
    <row r="847" ht="15.75" customHeight="1">
      <c r="F847" s="3"/>
    </row>
    <row r="848" ht="15.75" customHeight="1">
      <c r="F848" s="3"/>
    </row>
    <row r="849" ht="15.75" customHeight="1">
      <c r="F849" s="3"/>
    </row>
    <row r="850" ht="15.75" customHeight="1">
      <c r="F850" s="3"/>
    </row>
    <row r="851" ht="15.75" customHeight="1">
      <c r="F851" s="3"/>
    </row>
    <row r="852" ht="15.75" customHeight="1">
      <c r="F852" s="3"/>
    </row>
    <row r="853" ht="15.75" customHeight="1">
      <c r="F853" s="3"/>
    </row>
    <row r="854" ht="15.75" customHeight="1">
      <c r="F854" s="3"/>
    </row>
    <row r="855" ht="15.75" customHeight="1">
      <c r="F855" s="3"/>
    </row>
    <row r="856" ht="15.75" customHeight="1">
      <c r="F856" s="3"/>
    </row>
    <row r="857" ht="15.75" customHeight="1">
      <c r="F857" s="3"/>
    </row>
    <row r="858" ht="15.75" customHeight="1">
      <c r="F858" s="3"/>
    </row>
    <row r="859" ht="15.75" customHeight="1">
      <c r="F859" s="3"/>
    </row>
    <row r="860" ht="15.75" customHeight="1">
      <c r="F860" s="3"/>
    </row>
    <row r="861" ht="15.75" customHeight="1">
      <c r="F861" s="3"/>
    </row>
    <row r="862" ht="15.75" customHeight="1">
      <c r="F862" s="3"/>
    </row>
    <row r="863" ht="15.75" customHeight="1">
      <c r="F863" s="3"/>
    </row>
    <row r="864" ht="15.75" customHeight="1">
      <c r="F864" s="3"/>
    </row>
    <row r="865" ht="15.75" customHeight="1">
      <c r="F865" s="3"/>
    </row>
    <row r="866" ht="15.75" customHeight="1">
      <c r="F866" s="3"/>
    </row>
    <row r="867" ht="15.75" customHeight="1">
      <c r="F867" s="3"/>
    </row>
    <row r="868" ht="15.75" customHeight="1">
      <c r="F868" s="3"/>
    </row>
    <row r="869" ht="15.75" customHeight="1">
      <c r="F869" s="3"/>
    </row>
    <row r="870" ht="15.75" customHeight="1">
      <c r="F870" s="3"/>
    </row>
    <row r="871" ht="15.75" customHeight="1">
      <c r="F871" s="3"/>
    </row>
    <row r="872" ht="15.75" customHeight="1">
      <c r="F872" s="3"/>
    </row>
    <row r="873" ht="15.75" customHeight="1">
      <c r="F873" s="3"/>
    </row>
    <row r="874" ht="15.75" customHeight="1">
      <c r="F874" s="3"/>
    </row>
    <row r="875" ht="15.75" customHeight="1">
      <c r="F875" s="3"/>
    </row>
    <row r="876" ht="15.75" customHeight="1">
      <c r="F876" s="3"/>
    </row>
    <row r="877" ht="15.75" customHeight="1">
      <c r="F877" s="3"/>
    </row>
    <row r="878" ht="15.75" customHeight="1">
      <c r="F878" s="3"/>
    </row>
    <row r="879" ht="15.75" customHeight="1">
      <c r="F879" s="3"/>
    </row>
    <row r="880" ht="15.75" customHeight="1">
      <c r="F880" s="3"/>
    </row>
    <row r="881" ht="15.75" customHeight="1">
      <c r="F881" s="3"/>
    </row>
    <row r="882" ht="15.75" customHeight="1">
      <c r="F882" s="3"/>
    </row>
    <row r="883" ht="15.75" customHeight="1">
      <c r="F883" s="3"/>
    </row>
    <row r="884" ht="15.75" customHeight="1">
      <c r="F884" s="3"/>
    </row>
    <row r="885" ht="15.75" customHeight="1">
      <c r="F885" s="3"/>
    </row>
    <row r="886" ht="15.75" customHeight="1">
      <c r="F886" s="3"/>
    </row>
    <row r="887" ht="15.75" customHeight="1">
      <c r="F887" s="3"/>
    </row>
    <row r="888" ht="15.75" customHeight="1">
      <c r="F888" s="3"/>
    </row>
    <row r="889" ht="15.75" customHeight="1">
      <c r="F889" s="3"/>
    </row>
    <row r="890" ht="15.75" customHeight="1">
      <c r="F890" s="3"/>
    </row>
    <row r="891" ht="15.75" customHeight="1">
      <c r="F891" s="3"/>
    </row>
    <row r="892" ht="15.75" customHeight="1">
      <c r="F892" s="3"/>
    </row>
    <row r="893" ht="15.75" customHeight="1">
      <c r="F893" s="3"/>
    </row>
    <row r="894" ht="15.75" customHeight="1">
      <c r="F894" s="3"/>
    </row>
    <row r="895" ht="15.75" customHeight="1">
      <c r="F895" s="3"/>
    </row>
    <row r="896" ht="15.75" customHeight="1">
      <c r="F896" s="3"/>
    </row>
    <row r="897" ht="15.75" customHeight="1">
      <c r="F897" s="3"/>
    </row>
    <row r="898" ht="15.75" customHeight="1">
      <c r="F898" s="3"/>
    </row>
    <row r="899" ht="15.75" customHeight="1">
      <c r="F899" s="3"/>
    </row>
    <row r="900" ht="15.75" customHeight="1">
      <c r="F900" s="3"/>
    </row>
    <row r="901" ht="15.75" customHeight="1">
      <c r="F901" s="3"/>
    </row>
    <row r="902" ht="15.75" customHeight="1">
      <c r="F902" s="3"/>
    </row>
    <row r="903" ht="15.75" customHeight="1">
      <c r="F903" s="3"/>
    </row>
    <row r="904" ht="15.75" customHeight="1">
      <c r="F904" s="3"/>
    </row>
    <row r="905" ht="15.75" customHeight="1">
      <c r="F905" s="3"/>
    </row>
    <row r="906" ht="15.75" customHeight="1">
      <c r="F906" s="3"/>
    </row>
    <row r="907" ht="15.75" customHeight="1">
      <c r="F907" s="3"/>
    </row>
    <row r="908" ht="15.75" customHeight="1">
      <c r="F908" s="3"/>
    </row>
    <row r="909" ht="15.75" customHeight="1">
      <c r="F909" s="3"/>
    </row>
    <row r="910" ht="15.75" customHeight="1">
      <c r="F910" s="3"/>
    </row>
    <row r="911" ht="15.75" customHeight="1">
      <c r="F911" s="3"/>
    </row>
    <row r="912" ht="15.75" customHeight="1">
      <c r="F912" s="3"/>
    </row>
    <row r="913" ht="15.75" customHeight="1">
      <c r="F913" s="3"/>
    </row>
    <row r="914" ht="15.75" customHeight="1">
      <c r="F914" s="3"/>
    </row>
    <row r="915" ht="15.75" customHeight="1">
      <c r="F915" s="3"/>
    </row>
    <row r="916" ht="15.75" customHeight="1">
      <c r="F916" s="3"/>
    </row>
    <row r="917" ht="15.75" customHeight="1">
      <c r="F917" s="3"/>
    </row>
    <row r="918" ht="15.75" customHeight="1">
      <c r="F918" s="3"/>
    </row>
    <row r="919" ht="15.75" customHeight="1">
      <c r="F919" s="3"/>
    </row>
    <row r="920" ht="15.75" customHeight="1">
      <c r="F920" s="3"/>
    </row>
    <row r="921" ht="15.75" customHeight="1">
      <c r="F921" s="3"/>
    </row>
    <row r="922" ht="15.75" customHeight="1">
      <c r="F922" s="3"/>
    </row>
    <row r="923" ht="15.75" customHeight="1">
      <c r="F923" s="3"/>
    </row>
    <row r="924" ht="15.75" customHeight="1">
      <c r="F924" s="3"/>
    </row>
    <row r="925" ht="15.75" customHeight="1">
      <c r="F925" s="3"/>
    </row>
    <row r="926" ht="15.75" customHeight="1">
      <c r="F926" s="3"/>
    </row>
    <row r="927" ht="15.75" customHeight="1">
      <c r="F927" s="3"/>
    </row>
    <row r="928" ht="15.75" customHeight="1">
      <c r="F928" s="3"/>
    </row>
    <row r="929" ht="15.75" customHeight="1">
      <c r="F929" s="3"/>
    </row>
    <row r="930" ht="15.75" customHeight="1">
      <c r="F930" s="3"/>
    </row>
    <row r="931" ht="15.75" customHeight="1">
      <c r="F931" s="3"/>
    </row>
    <row r="932" ht="15.75" customHeight="1">
      <c r="F932" s="3"/>
    </row>
    <row r="933" ht="15.75" customHeight="1">
      <c r="F933" s="3"/>
    </row>
    <row r="934" ht="15.75" customHeight="1">
      <c r="F934" s="3"/>
    </row>
    <row r="935" ht="15.75" customHeight="1">
      <c r="F935" s="3"/>
    </row>
    <row r="936" ht="15.75" customHeight="1">
      <c r="F936" s="3"/>
    </row>
    <row r="937" ht="15.75" customHeight="1">
      <c r="F937" s="3"/>
    </row>
    <row r="938" ht="15.75" customHeight="1">
      <c r="F938" s="3"/>
    </row>
    <row r="939" ht="15.75" customHeight="1">
      <c r="F939" s="3"/>
    </row>
    <row r="940" ht="15.75" customHeight="1">
      <c r="F940" s="3"/>
    </row>
    <row r="941" ht="15.75" customHeight="1">
      <c r="F941" s="3"/>
    </row>
    <row r="942" ht="15.75" customHeight="1">
      <c r="F942" s="3"/>
    </row>
    <row r="943" ht="15.75" customHeight="1">
      <c r="F943" s="3"/>
    </row>
    <row r="944" ht="15.75" customHeight="1">
      <c r="F944" s="3"/>
    </row>
    <row r="945" ht="15.75" customHeight="1">
      <c r="F945" s="3"/>
    </row>
    <row r="946" ht="15.75" customHeight="1">
      <c r="F946" s="3"/>
    </row>
    <row r="947" ht="15.75" customHeight="1">
      <c r="F947" s="3"/>
    </row>
    <row r="948" ht="15.75" customHeight="1">
      <c r="F948" s="3"/>
    </row>
    <row r="949" ht="15.75" customHeight="1">
      <c r="F949" s="3"/>
    </row>
    <row r="950" ht="15.75" customHeight="1">
      <c r="F950" s="3"/>
    </row>
    <row r="951" ht="15.75" customHeight="1">
      <c r="F951" s="3"/>
    </row>
    <row r="952" ht="15.75" customHeight="1">
      <c r="F952" s="3"/>
    </row>
    <row r="953" ht="15.75" customHeight="1">
      <c r="F953" s="3"/>
    </row>
    <row r="954" ht="15.75" customHeight="1">
      <c r="F954" s="3"/>
    </row>
    <row r="955" ht="15.75" customHeight="1">
      <c r="F955" s="3"/>
    </row>
    <row r="956" ht="15.75" customHeight="1">
      <c r="F956" s="3"/>
    </row>
    <row r="957" ht="15.75" customHeight="1">
      <c r="F957" s="3"/>
    </row>
    <row r="958" ht="15.75" customHeight="1">
      <c r="F958" s="3"/>
    </row>
    <row r="959" ht="15.75" customHeight="1">
      <c r="F959" s="3"/>
    </row>
    <row r="960" ht="15.75" customHeight="1">
      <c r="F960" s="3"/>
    </row>
    <row r="961" ht="15.75" customHeight="1">
      <c r="F961" s="3"/>
    </row>
    <row r="962" ht="15.75" customHeight="1">
      <c r="F962" s="3"/>
    </row>
    <row r="963" ht="15.75" customHeight="1">
      <c r="F963" s="3"/>
    </row>
    <row r="964" ht="15.75" customHeight="1">
      <c r="F964" s="3"/>
    </row>
    <row r="965" ht="15.75" customHeight="1">
      <c r="F965" s="3"/>
    </row>
    <row r="966" ht="15.75" customHeight="1">
      <c r="F966" s="3"/>
    </row>
    <row r="967" ht="15.75" customHeight="1">
      <c r="F967" s="3"/>
    </row>
    <row r="968" ht="15.75" customHeight="1">
      <c r="F968" s="3"/>
    </row>
    <row r="969" ht="15.75" customHeight="1">
      <c r="F969" s="3"/>
    </row>
    <row r="970" ht="15.75" customHeight="1">
      <c r="F970" s="3"/>
    </row>
    <row r="971" ht="15.75" customHeight="1">
      <c r="F971" s="3"/>
    </row>
    <row r="972" ht="15.75" customHeight="1">
      <c r="F972" s="3"/>
    </row>
    <row r="973" ht="15.75" customHeight="1">
      <c r="F973" s="3"/>
    </row>
    <row r="974" ht="15.75" customHeight="1">
      <c r="F974" s="3"/>
    </row>
    <row r="975" ht="15.75" customHeight="1">
      <c r="F975" s="3"/>
    </row>
    <row r="976" ht="15.75" customHeight="1">
      <c r="F976" s="3"/>
    </row>
    <row r="977" ht="15.75" customHeight="1">
      <c r="F977" s="3"/>
    </row>
    <row r="978" ht="15.75" customHeight="1">
      <c r="F978" s="3"/>
    </row>
    <row r="979" ht="15.75" customHeight="1">
      <c r="F979" s="3"/>
    </row>
    <row r="980" ht="15.75" customHeight="1">
      <c r="F980" s="3"/>
    </row>
    <row r="981" ht="15.75" customHeight="1">
      <c r="F981" s="3"/>
    </row>
    <row r="982" ht="15.75" customHeight="1">
      <c r="F982" s="3"/>
    </row>
    <row r="983" ht="15.75" customHeight="1">
      <c r="F983" s="3"/>
    </row>
    <row r="984" ht="15.75" customHeight="1">
      <c r="F984" s="3"/>
    </row>
    <row r="985" ht="15.75" customHeight="1">
      <c r="F985" s="3"/>
    </row>
    <row r="986" ht="15.75" customHeight="1">
      <c r="F986" s="3"/>
    </row>
    <row r="987" ht="15.75" customHeight="1">
      <c r="F987" s="3"/>
    </row>
    <row r="988" ht="15.75" customHeight="1">
      <c r="F988" s="3"/>
    </row>
    <row r="989" ht="15.75" customHeight="1">
      <c r="F989" s="3"/>
    </row>
    <row r="990" ht="15.75" customHeight="1">
      <c r="F990" s="3"/>
    </row>
    <row r="991" ht="15.75" customHeight="1">
      <c r="F991" s="3"/>
    </row>
    <row r="992" ht="15.75" customHeight="1">
      <c r="F992" s="3"/>
    </row>
    <row r="993" ht="15.75" customHeight="1">
      <c r="F993" s="3"/>
    </row>
    <row r="994" ht="15.75" customHeight="1">
      <c r="F994" s="3"/>
    </row>
    <row r="995" ht="15.75" customHeight="1">
      <c r="F995" s="3"/>
    </row>
    <row r="996" ht="15.75" customHeight="1">
      <c r="F996" s="3"/>
    </row>
    <row r="997" ht="15.75" customHeight="1">
      <c r="F997" s="3"/>
    </row>
  </sheetData>
  <conditionalFormatting sqref="F3:G5 F7:G13">
    <cfRule type="cellIs" dxfId="0" priority="1" stopIfTrue="1" operator="lessThan">
      <formula>0</formula>
    </cfRule>
  </conditionalFormatting>
  <conditionalFormatting sqref="F3:G5 F7:G13">
    <cfRule type="cellIs" dxfId="1" priority="2" stopIfTrue="1" operator="greater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40.71"/>
    <col customWidth="1" min="3" max="5" width="14.0"/>
    <col customWidth="1" min="6" max="6" width="13.29"/>
    <col customWidth="1" min="7" max="7" width="14.43"/>
    <col customWidth="1" min="8" max="28" width="9.14"/>
  </cols>
  <sheetData>
    <row r="1" ht="6.0" customHeight="1">
      <c r="F1" s="203"/>
    </row>
    <row r="2" ht="19.5" customHeight="1">
      <c r="B2" s="847" t="s">
        <v>267</v>
      </c>
      <c r="C2" s="848" t="s">
        <v>27</v>
      </c>
      <c r="D2" s="848" t="s">
        <v>30</v>
      </c>
      <c r="E2" s="848" t="s">
        <v>31</v>
      </c>
      <c r="F2" s="864" t="s">
        <v>258</v>
      </c>
      <c r="G2" s="864" t="s">
        <v>259</v>
      </c>
    </row>
    <row r="3" ht="19.5" customHeight="1">
      <c r="B3" s="865" t="s">
        <v>298</v>
      </c>
      <c r="C3" s="866">
        <v>-2910.62</v>
      </c>
      <c r="D3" s="866">
        <v>6892.64</v>
      </c>
      <c r="E3" s="866">
        <v>112610.7</v>
      </c>
      <c r="F3" s="867">
        <f t="shared" ref="F3:F13" si="1">E3-D3</f>
        <v>105718.06</v>
      </c>
      <c r="G3" s="868">
        <f t="shared" ref="G3:G12" si="2">E3/D3-1</f>
        <v>15.33781831</v>
      </c>
    </row>
    <row r="4" ht="19.5" customHeight="1">
      <c r="B4" s="865" t="s">
        <v>273</v>
      </c>
      <c r="C4" s="869">
        <v>-100928.4</v>
      </c>
      <c r="D4" s="869">
        <v>-120984.05</v>
      </c>
      <c r="E4" s="869">
        <v>-113786.22</v>
      </c>
      <c r="F4" s="867">
        <f t="shared" si="1"/>
        <v>7197.83</v>
      </c>
      <c r="G4" s="868">
        <f t="shared" si="2"/>
        <v>-0.05949404074</v>
      </c>
    </row>
    <row r="5" ht="19.5" customHeight="1">
      <c r="B5" s="865" t="s">
        <v>279</v>
      </c>
      <c r="C5" s="870">
        <v>10112.74</v>
      </c>
      <c r="D5" s="870">
        <v>10845.779999999999</v>
      </c>
      <c r="E5" s="870">
        <v>15372.24</v>
      </c>
      <c r="F5" s="867">
        <f t="shared" si="1"/>
        <v>4526.46</v>
      </c>
      <c r="G5" s="868">
        <f t="shared" si="2"/>
        <v>0.4173475767</v>
      </c>
    </row>
    <row r="6" ht="19.5" customHeight="1">
      <c r="B6" s="871" t="s">
        <v>276</v>
      </c>
      <c r="C6" s="872">
        <v>18541.81</v>
      </c>
      <c r="D6" s="872">
        <v>17158.399999999998</v>
      </c>
      <c r="E6" s="872">
        <v>20372.739999999998</v>
      </c>
      <c r="F6" s="867">
        <f t="shared" si="1"/>
        <v>3214.34</v>
      </c>
      <c r="G6" s="868">
        <f t="shared" si="2"/>
        <v>0.1873333178</v>
      </c>
    </row>
    <row r="7" ht="19.5" customHeight="1">
      <c r="B7" s="871" t="s">
        <v>299</v>
      </c>
      <c r="C7" s="872">
        <v>23930.93</v>
      </c>
      <c r="D7" s="872">
        <v>34491.14</v>
      </c>
      <c r="E7" s="872">
        <v>36810.79</v>
      </c>
      <c r="F7" s="867">
        <f t="shared" si="1"/>
        <v>2319.65</v>
      </c>
      <c r="G7" s="868">
        <f t="shared" si="2"/>
        <v>0.06725350336</v>
      </c>
    </row>
    <row r="8" ht="19.5" customHeight="1">
      <c r="B8" s="865" t="s">
        <v>275</v>
      </c>
      <c r="C8" s="872">
        <v>2898.2</v>
      </c>
      <c r="D8" s="872">
        <v>2411.7</v>
      </c>
      <c r="E8" s="872">
        <v>3777.66</v>
      </c>
      <c r="F8" s="867">
        <f t="shared" si="1"/>
        <v>1365.96</v>
      </c>
      <c r="G8" s="868">
        <f t="shared" si="2"/>
        <v>0.5663888543</v>
      </c>
    </row>
    <row r="9" ht="19.5" customHeight="1">
      <c r="B9" s="871" t="s">
        <v>300</v>
      </c>
      <c r="C9" s="872">
        <v>940.72</v>
      </c>
      <c r="D9" s="872">
        <v>960.0</v>
      </c>
      <c r="E9" s="872">
        <v>1510.76</v>
      </c>
      <c r="F9" s="867">
        <f t="shared" si="1"/>
        <v>550.76</v>
      </c>
      <c r="G9" s="868">
        <f t="shared" si="2"/>
        <v>0.5737083333</v>
      </c>
    </row>
    <row r="10" ht="19.5" customHeight="1">
      <c r="B10" s="873" t="s">
        <v>301</v>
      </c>
      <c r="C10" s="874">
        <v>421.2</v>
      </c>
      <c r="D10" s="874">
        <v>798.75</v>
      </c>
      <c r="E10" s="874">
        <v>1323.7099999999998</v>
      </c>
      <c r="F10" s="867">
        <f t="shared" si="1"/>
        <v>524.96</v>
      </c>
      <c r="G10" s="868">
        <f t="shared" si="2"/>
        <v>0.6572269171</v>
      </c>
    </row>
    <row r="11" ht="19.5" customHeight="1">
      <c r="B11" s="865" t="s">
        <v>302</v>
      </c>
      <c r="C11" s="872">
        <v>4415.15</v>
      </c>
      <c r="D11" s="872">
        <v>4870.799999999999</v>
      </c>
      <c r="E11" s="872">
        <v>5368.610000000001</v>
      </c>
      <c r="F11" s="867">
        <f t="shared" si="1"/>
        <v>497.81</v>
      </c>
      <c r="G11" s="868">
        <f t="shared" si="2"/>
        <v>0.1022029235</v>
      </c>
    </row>
    <row r="12" ht="19.5" customHeight="1">
      <c r="B12" s="871" t="s">
        <v>303</v>
      </c>
      <c r="C12" s="872">
        <v>9928.04</v>
      </c>
      <c r="D12" s="872">
        <v>10038.5</v>
      </c>
      <c r="E12" s="872">
        <v>10264.19</v>
      </c>
      <c r="F12" s="867">
        <f t="shared" si="1"/>
        <v>225.69</v>
      </c>
      <c r="G12" s="868">
        <f t="shared" si="2"/>
        <v>0.0224824426</v>
      </c>
    </row>
    <row r="13" ht="19.5" customHeight="1">
      <c r="B13" s="735" t="s">
        <v>70</v>
      </c>
      <c r="C13" s="875">
        <f t="shared" ref="C13:E13" si="3">SUM(C3:C12)</f>
        <v>-32650.23</v>
      </c>
      <c r="D13" s="875">
        <f t="shared" si="3"/>
        <v>-32516.34</v>
      </c>
      <c r="E13" s="875">
        <f t="shared" si="3"/>
        <v>93625.18</v>
      </c>
      <c r="F13" s="875">
        <f t="shared" si="1"/>
        <v>126141.52</v>
      </c>
      <c r="G13" s="876">
        <f>(E13/D13-1)</f>
        <v>-3.879327132</v>
      </c>
    </row>
    <row r="14" ht="19.5" customHeight="1">
      <c r="B14" s="847" t="s">
        <v>270</v>
      </c>
      <c r="C14" s="848" t="s">
        <v>27</v>
      </c>
      <c r="D14" s="848" t="s">
        <v>30</v>
      </c>
      <c r="E14" s="848" t="s">
        <v>31</v>
      </c>
      <c r="F14" s="864" t="s">
        <v>258</v>
      </c>
      <c r="G14" s="864" t="s">
        <v>259</v>
      </c>
    </row>
    <row r="15" ht="19.5" customHeight="1">
      <c r="B15" s="865" t="s">
        <v>268</v>
      </c>
      <c r="C15" s="872">
        <f>1339.19+16283.14</f>
        <v>17622.33</v>
      </c>
      <c r="D15" s="872">
        <v>145272.65</v>
      </c>
      <c r="E15" s="872">
        <v>43640.340000000004</v>
      </c>
      <c r="F15" s="867">
        <f t="shared" ref="F15:F31" si="4">E15-D15</f>
        <v>-101632.31</v>
      </c>
      <c r="G15" s="877">
        <f t="shared" ref="G15:G31" si="5">E15/D15-1</f>
        <v>-0.6995969992</v>
      </c>
    </row>
    <row r="16" ht="19.5" customHeight="1">
      <c r="B16" s="865" t="s">
        <v>304</v>
      </c>
      <c r="C16" s="874">
        <v>0.0</v>
      </c>
      <c r="D16" s="874">
        <v>58500.0</v>
      </c>
      <c r="E16" s="874">
        <v>0.0</v>
      </c>
      <c r="F16" s="867">
        <f t="shared" si="4"/>
        <v>-58500</v>
      </c>
      <c r="G16" s="877">
        <f t="shared" si="5"/>
        <v>-1</v>
      </c>
    </row>
    <row r="17" ht="19.5" customHeight="1">
      <c r="B17" s="865" t="s">
        <v>305</v>
      </c>
      <c r="C17" s="874">
        <v>402137.87</v>
      </c>
      <c r="D17" s="874">
        <v>428774.77</v>
      </c>
      <c r="E17" s="874">
        <v>389242.43000000005</v>
      </c>
      <c r="F17" s="867">
        <f t="shared" si="4"/>
        <v>-39532.34</v>
      </c>
      <c r="G17" s="877">
        <f t="shared" si="5"/>
        <v>-0.09219838192</v>
      </c>
    </row>
    <row r="18" ht="19.5" customHeight="1">
      <c r="B18" s="871" t="s">
        <v>271</v>
      </c>
      <c r="C18" s="872">
        <v>38675.58</v>
      </c>
      <c r="D18" s="872">
        <v>42008.869999999995</v>
      </c>
      <c r="E18" s="872">
        <v>10832.41</v>
      </c>
      <c r="F18" s="867">
        <f t="shared" si="4"/>
        <v>-31176.46</v>
      </c>
      <c r="G18" s="877">
        <f t="shared" si="5"/>
        <v>-0.7421399338</v>
      </c>
    </row>
    <row r="19" ht="19.5" customHeight="1">
      <c r="B19" s="871" t="s">
        <v>269</v>
      </c>
      <c r="C19" s="874">
        <v>3475.5899999999997</v>
      </c>
      <c r="D19" s="874">
        <v>12406.01</v>
      </c>
      <c r="E19" s="874">
        <v>2341.86</v>
      </c>
      <c r="F19" s="867">
        <f t="shared" si="4"/>
        <v>-10064.15</v>
      </c>
      <c r="G19" s="877">
        <f t="shared" si="5"/>
        <v>-0.8112318143</v>
      </c>
    </row>
    <row r="20" ht="19.5" customHeight="1">
      <c r="B20" s="865" t="s">
        <v>306</v>
      </c>
      <c r="C20" s="872">
        <v>1908.8899999999999</v>
      </c>
      <c r="D20" s="872">
        <v>6380.0</v>
      </c>
      <c r="E20" s="872">
        <v>0.0</v>
      </c>
      <c r="F20" s="867">
        <f t="shared" si="4"/>
        <v>-6380</v>
      </c>
      <c r="G20" s="877">
        <f t="shared" si="5"/>
        <v>-1</v>
      </c>
    </row>
    <row r="21" ht="18.0" customHeight="1">
      <c r="B21" s="865" t="s">
        <v>307</v>
      </c>
      <c r="C21" s="872">
        <v>15040.47</v>
      </c>
      <c r="D21" s="872">
        <v>22387.18</v>
      </c>
      <c r="E21" s="872">
        <v>19846.72</v>
      </c>
      <c r="F21" s="867">
        <f t="shared" si="4"/>
        <v>-2540.46</v>
      </c>
      <c r="G21" s="877">
        <f t="shared" si="5"/>
        <v>-0.1134783389</v>
      </c>
    </row>
    <row r="22" ht="19.5" customHeight="1">
      <c r="B22" s="871" t="s">
        <v>308</v>
      </c>
      <c r="C22" s="874">
        <v>6719.780000000001</v>
      </c>
      <c r="D22" s="874">
        <v>6432.43</v>
      </c>
      <c r="E22" s="874">
        <v>4599.780000000001</v>
      </c>
      <c r="F22" s="867">
        <f t="shared" si="4"/>
        <v>-1832.65</v>
      </c>
      <c r="G22" s="877">
        <f t="shared" si="5"/>
        <v>-0.2849078808</v>
      </c>
    </row>
    <row r="23" ht="19.5" customHeight="1">
      <c r="B23" s="871" t="s">
        <v>309</v>
      </c>
      <c r="C23" s="874">
        <v>5616.700000000001</v>
      </c>
      <c r="D23" s="874">
        <v>7359.25</v>
      </c>
      <c r="E23" s="874">
        <v>6373.9</v>
      </c>
      <c r="F23" s="867">
        <f t="shared" si="4"/>
        <v>-985.35</v>
      </c>
      <c r="G23" s="877">
        <f t="shared" si="5"/>
        <v>-0.13389272</v>
      </c>
    </row>
    <row r="24" ht="19.5" customHeight="1">
      <c r="A24" s="853"/>
      <c r="B24" s="871" t="s">
        <v>310</v>
      </c>
      <c r="C24" s="872">
        <v>25251.73</v>
      </c>
      <c r="D24" s="872">
        <v>33191.86</v>
      </c>
      <c r="E24" s="872">
        <v>32292.93</v>
      </c>
      <c r="F24" s="867">
        <f t="shared" si="4"/>
        <v>-898.93</v>
      </c>
      <c r="G24" s="877">
        <f t="shared" si="5"/>
        <v>-0.02708284501</v>
      </c>
      <c r="H24" s="853"/>
      <c r="I24" s="853"/>
      <c r="J24" s="853"/>
      <c r="K24" s="853"/>
      <c r="L24" s="853"/>
      <c r="M24" s="853"/>
      <c r="N24" s="853"/>
      <c r="O24" s="853"/>
      <c r="P24" s="853"/>
      <c r="Q24" s="853"/>
      <c r="R24" s="853"/>
      <c r="S24" s="853"/>
      <c r="T24" s="853"/>
      <c r="U24" s="853"/>
      <c r="V24" s="853"/>
      <c r="W24" s="853"/>
      <c r="X24" s="853"/>
      <c r="Y24" s="853"/>
      <c r="Z24" s="853"/>
      <c r="AA24" s="853"/>
      <c r="AB24" s="853"/>
    </row>
    <row r="25" ht="19.5" customHeight="1">
      <c r="B25" s="871" t="s">
        <v>278</v>
      </c>
      <c r="C25" s="872">
        <v>3323.49</v>
      </c>
      <c r="D25" s="872">
        <v>3887.14</v>
      </c>
      <c r="E25" s="872">
        <v>3195.94</v>
      </c>
      <c r="F25" s="867">
        <f t="shared" si="4"/>
        <v>-691.2</v>
      </c>
      <c r="G25" s="877">
        <f t="shared" si="5"/>
        <v>-0.1778171098</v>
      </c>
    </row>
    <row r="26" ht="19.5" customHeight="1">
      <c r="B26" s="865" t="s">
        <v>311</v>
      </c>
      <c r="C26" s="874">
        <v>1713.07</v>
      </c>
      <c r="D26" s="874">
        <v>1325.58</v>
      </c>
      <c r="E26" s="874">
        <v>702.77</v>
      </c>
      <c r="F26" s="867">
        <f t="shared" si="4"/>
        <v>-622.81</v>
      </c>
      <c r="G26" s="877">
        <f t="shared" si="5"/>
        <v>-0.4698396174</v>
      </c>
    </row>
    <row r="27" ht="18.0" customHeight="1">
      <c r="B27" s="865" t="s">
        <v>312</v>
      </c>
      <c r="C27" s="874">
        <v>298.63</v>
      </c>
      <c r="D27" s="874">
        <v>460.03999999999996</v>
      </c>
      <c r="E27" s="874">
        <v>230.63</v>
      </c>
      <c r="F27" s="867">
        <f t="shared" si="4"/>
        <v>-229.41</v>
      </c>
      <c r="G27" s="877">
        <f t="shared" si="5"/>
        <v>-0.4986740283</v>
      </c>
    </row>
    <row r="28" ht="19.5" customHeight="1">
      <c r="B28" s="871" t="s">
        <v>313</v>
      </c>
      <c r="C28" s="874">
        <v>1814.5</v>
      </c>
      <c r="D28" s="874">
        <v>809.76</v>
      </c>
      <c r="E28" s="874">
        <v>725.97</v>
      </c>
      <c r="F28" s="867">
        <f t="shared" si="4"/>
        <v>-83.79</v>
      </c>
      <c r="G28" s="877">
        <f t="shared" si="5"/>
        <v>-0.1034751037</v>
      </c>
    </row>
    <row r="29" ht="19.5" customHeight="1">
      <c r="A29" s="853"/>
      <c r="B29" s="865" t="s">
        <v>280</v>
      </c>
      <c r="C29" s="874">
        <v>2000.0</v>
      </c>
      <c r="D29" s="874">
        <v>2000.0</v>
      </c>
      <c r="E29" s="874">
        <v>2000.0</v>
      </c>
      <c r="F29" s="867">
        <f t="shared" si="4"/>
        <v>0</v>
      </c>
      <c r="G29" s="877">
        <f t="shared" si="5"/>
        <v>0</v>
      </c>
      <c r="H29" s="853"/>
      <c r="I29" s="853"/>
      <c r="J29" s="853"/>
      <c r="K29" s="853"/>
      <c r="L29" s="853"/>
      <c r="M29" s="853"/>
      <c r="N29" s="853"/>
      <c r="O29" s="853"/>
      <c r="P29" s="853"/>
      <c r="Q29" s="853"/>
      <c r="R29" s="853"/>
      <c r="S29" s="853"/>
      <c r="T29" s="853"/>
      <c r="U29" s="853"/>
      <c r="V29" s="853"/>
      <c r="W29" s="853"/>
      <c r="X29" s="853"/>
      <c r="Y29" s="853"/>
      <c r="Z29" s="853"/>
      <c r="AA29" s="853"/>
      <c r="AB29" s="853"/>
    </row>
    <row r="30" ht="19.5" customHeight="1">
      <c r="B30" s="735" t="s">
        <v>70</v>
      </c>
      <c r="C30" s="878">
        <f t="shared" ref="C30:E30" si="6">SUM(C15:C29)</f>
        <v>525598.63</v>
      </c>
      <c r="D30" s="878">
        <f t="shared" si="6"/>
        <v>771195.54</v>
      </c>
      <c r="E30" s="878">
        <f t="shared" si="6"/>
        <v>516025.68</v>
      </c>
      <c r="F30" s="879">
        <f t="shared" si="4"/>
        <v>-255169.86</v>
      </c>
      <c r="G30" s="858">
        <f t="shared" si="5"/>
        <v>-0.3308756946</v>
      </c>
    </row>
    <row r="31" ht="19.5" customHeight="1">
      <c r="B31" s="859" t="s">
        <v>314</v>
      </c>
      <c r="C31" s="878">
        <f t="shared" ref="C31:E31" si="7">C13+C30</f>
        <v>492948.4</v>
      </c>
      <c r="D31" s="880">
        <f t="shared" si="7"/>
        <v>738679.2</v>
      </c>
      <c r="E31" s="880">
        <f t="shared" si="7"/>
        <v>609650.86</v>
      </c>
      <c r="F31" s="881">
        <f t="shared" si="4"/>
        <v>-129028.34</v>
      </c>
      <c r="G31" s="882">
        <f t="shared" si="5"/>
        <v>-0.1746743918</v>
      </c>
    </row>
    <row r="32" ht="15.75" customHeight="1">
      <c r="C32" s="861">
        <f>'DCL_senha capita'!I7</f>
        <v>495859.02</v>
      </c>
      <c r="D32" s="861">
        <f>'DCL_senha capita'!I26</f>
        <v>731786.55</v>
      </c>
      <c r="E32" s="883">
        <f>'DCL_senha capita'!I45</f>
        <v>497040.16</v>
      </c>
      <c r="F32" s="203"/>
    </row>
    <row r="33" ht="15.75" customHeight="1">
      <c r="C33" s="884">
        <f t="shared" ref="C33:E33" si="8">C31-C32</f>
        <v>-2910.62</v>
      </c>
      <c r="D33" s="884">
        <f t="shared" si="8"/>
        <v>6892.65</v>
      </c>
      <c r="E33" s="884">
        <f t="shared" si="8"/>
        <v>112610.7</v>
      </c>
      <c r="F33" s="203"/>
    </row>
    <row r="34" ht="15.75" customHeight="1">
      <c r="F34" s="203"/>
    </row>
    <row r="35" ht="15.75" customHeight="1">
      <c r="C35" s="861"/>
      <c r="D35" s="861"/>
      <c r="E35" s="861"/>
      <c r="F35" s="203"/>
    </row>
    <row r="36" ht="15.75" customHeight="1">
      <c r="F36" s="203"/>
    </row>
    <row r="37" ht="15.75" customHeight="1">
      <c r="F37" s="203"/>
    </row>
    <row r="38" ht="15.75" customHeight="1">
      <c r="C38" s="885"/>
      <c r="D38" s="885"/>
      <c r="E38" s="885"/>
      <c r="F38" s="203"/>
    </row>
    <row r="39" ht="15.75" customHeight="1">
      <c r="F39" s="203"/>
    </row>
    <row r="40" ht="18.0" customHeight="1">
      <c r="F40" s="203"/>
    </row>
    <row r="41" ht="15.75" customHeight="1">
      <c r="F41" s="203"/>
    </row>
    <row r="42" ht="15.75" customHeight="1">
      <c r="F42" s="203"/>
    </row>
    <row r="43" ht="15.75" customHeight="1">
      <c r="F43" s="203"/>
    </row>
    <row r="44" ht="15.75" customHeight="1">
      <c r="F44" s="203"/>
    </row>
    <row r="45" ht="15.75" customHeight="1">
      <c r="F45" s="203"/>
    </row>
    <row r="46" ht="15.75" customHeight="1">
      <c r="F46" s="203"/>
    </row>
    <row r="47" ht="15.75" customHeight="1">
      <c r="F47" s="203"/>
    </row>
    <row r="48" ht="15.75" customHeight="1">
      <c r="F48" s="203"/>
    </row>
    <row r="49" ht="15.75" customHeight="1">
      <c r="F49" s="203"/>
    </row>
    <row r="50" ht="15.75" customHeight="1">
      <c r="F50" s="203"/>
    </row>
    <row r="51" ht="15.75" customHeight="1">
      <c r="F51" s="203"/>
    </row>
    <row r="52" ht="15.75" customHeight="1">
      <c r="F52" s="203"/>
    </row>
    <row r="53" ht="15.75" customHeight="1">
      <c r="F53" s="203"/>
    </row>
    <row r="54" ht="15.75" customHeight="1">
      <c r="F54" s="203"/>
    </row>
    <row r="55" ht="15.75" customHeight="1">
      <c r="F55" s="203"/>
    </row>
    <row r="56" ht="15.75" customHeight="1">
      <c r="F56" s="203"/>
    </row>
    <row r="57" ht="15.75" customHeight="1">
      <c r="F57" s="203"/>
    </row>
    <row r="58" ht="15.75" customHeight="1">
      <c r="F58" s="203"/>
    </row>
    <row r="59" ht="15.75" customHeight="1">
      <c r="F59" s="203"/>
    </row>
    <row r="60" ht="15.75" customHeight="1">
      <c r="F60" s="203"/>
    </row>
    <row r="61" ht="15.75" customHeight="1">
      <c r="F61" s="203"/>
    </row>
    <row r="62" ht="15.75" customHeight="1">
      <c r="F62" s="203"/>
    </row>
    <row r="63" ht="15.75" customHeight="1">
      <c r="F63" s="203"/>
    </row>
    <row r="64" ht="15.75" customHeight="1">
      <c r="F64" s="203"/>
    </row>
    <row r="65" ht="15.75" customHeight="1">
      <c r="F65" s="203"/>
    </row>
    <row r="66" ht="15.75" customHeight="1">
      <c r="F66" s="203"/>
    </row>
    <row r="67" ht="15.75" customHeight="1">
      <c r="F67" s="203"/>
    </row>
    <row r="68" ht="15.75" customHeight="1">
      <c r="F68" s="203"/>
    </row>
    <row r="69" ht="15.75" customHeight="1">
      <c r="F69" s="203"/>
    </row>
    <row r="70" ht="15.75" customHeight="1">
      <c r="F70" s="203"/>
    </row>
    <row r="71" ht="15.75" customHeight="1">
      <c r="F71" s="203"/>
    </row>
    <row r="72" ht="15.75" customHeight="1">
      <c r="F72" s="203"/>
    </row>
    <row r="73" ht="15.75" customHeight="1">
      <c r="F73" s="203"/>
    </row>
    <row r="74" ht="15.75" customHeight="1">
      <c r="F74" s="203"/>
    </row>
    <row r="75" ht="15.75" customHeight="1">
      <c r="F75" s="203"/>
    </row>
    <row r="76" ht="15.75" customHeight="1">
      <c r="F76" s="203"/>
    </row>
    <row r="77" ht="15.75" customHeight="1">
      <c r="F77" s="203"/>
    </row>
    <row r="78" ht="15.75" customHeight="1">
      <c r="F78" s="203"/>
    </row>
    <row r="79" ht="15.75" customHeight="1">
      <c r="F79" s="203"/>
    </row>
    <row r="80" ht="15.75" customHeight="1">
      <c r="F80" s="203"/>
    </row>
    <row r="81" ht="15.75" customHeight="1">
      <c r="F81" s="203"/>
    </row>
    <row r="82" ht="15.75" customHeight="1">
      <c r="F82" s="203"/>
    </row>
    <row r="83" ht="15.75" customHeight="1">
      <c r="F83" s="203"/>
    </row>
    <row r="84" ht="15.75" customHeight="1">
      <c r="F84" s="203"/>
    </row>
    <row r="85" ht="15.75" customHeight="1">
      <c r="F85" s="203"/>
    </row>
    <row r="86" ht="15.75" customHeight="1">
      <c r="F86" s="203"/>
    </row>
    <row r="87" ht="15.75" customHeight="1">
      <c r="F87" s="203"/>
    </row>
    <row r="88" ht="15.75" customHeight="1">
      <c r="F88" s="203"/>
    </row>
    <row r="89" ht="15.75" customHeight="1">
      <c r="F89" s="203"/>
    </row>
    <row r="90" ht="15.75" customHeight="1">
      <c r="F90" s="203"/>
    </row>
    <row r="91" ht="15.75" customHeight="1">
      <c r="F91" s="203"/>
    </row>
    <row r="92" ht="15.75" customHeight="1">
      <c r="F92" s="203"/>
    </row>
    <row r="93" ht="15.75" customHeight="1">
      <c r="F93" s="203"/>
    </row>
    <row r="94" ht="15.75" customHeight="1">
      <c r="F94" s="203"/>
    </row>
    <row r="95" ht="15.75" customHeight="1">
      <c r="F95" s="203"/>
    </row>
    <row r="96" ht="15.75" customHeight="1">
      <c r="F96" s="203"/>
    </row>
    <row r="97" ht="15.75" customHeight="1">
      <c r="F97" s="203"/>
    </row>
    <row r="98" ht="15.75" customHeight="1">
      <c r="F98" s="203"/>
    </row>
    <row r="99" ht="15.75" customHeight="1">
      <c r="F99" s="203"/>
    </row>
    <row r="100" ht="15.75" customHeight="1">
      <c r="F100" s="203"/>
    </row>
    <row r="101" ht="15.75" customHeight="1">
      <c r="F101" s="203"/>
    </row>
    <row r="102" ht="15.75" customHeight="1">
      <c r="F102" s="203"/>
    </row>
    <row r="103" ht="15.75" customHeight="1">
      <c r="F103" s="203"/>
    </row>
    <row r="104" ht="15.75" customHeight="1">
      <c r="F104" s="203"/>
    </row>
    <row r="105" ht="15.75" customHeight="1">
      <c r="F105" s="203"/>
    </row>
    <row r="106" ht="15.75" customHeight="1">
      <c r="F106" s="203"/>
    </row>
    <row r="107" ht="15.75" customHeight="1">
      <c r="F107" s="203"/>
    </row>
    <row r="108" ht="15.75" customHeight="1">
      <c r="F108" s="203"/>
    </row>
    <row r="109" ht="15.75" customHeight="1">
      <c r="F109" s="203"/>
    </row>
    <row r="110" ht="15.75" customHeight="1">
      <c r="F110" s="203"/>
    </row>
    <row r="111" ht="15.75" customHeight="1">
      <c r="F111" s="203"/>
    </row>
    <row r="112" ht="15.75" customHeight="1">
      <c r="F112" s="203"/>
    </row>
    <row r="113" ht="15.75" customHeight="1">
      <c r="F113" s="203"/>
    </row>
    <row r="114" ht="15.75" customHeight="1">
      <c r="F114" s="203"/>
    </row>
    <row r="115" ht="15.75" customHeight="1">
      <c r="F115" s="203"/>
    </row>
    <row r="116" ht="15.75" customHeight="1">
      <c r="F116" s="203"/>
    </row>
    <row r="117" ht="15.75" customHeight="1">
      <c r="F117" s="203"/>
    </row>
    <row r="118" ht="15.75" customHeight="1">
      <c r="F118" s="203"/>
    </row>
    <row r="119" ht="15.75" customHeight="1">
      <c r="F119" s="203"/>
    </row>
    <row r="120" ht="15.75" customHeight="1">
      <c r="F120" s="203"/>
    </row>
    <row r="121" ht="15.75" customHeight="1">
      <c r="F121" s="203"/>
    </row>
    <row r="122" ht="15.75" customHeight="1">
      <c r="F122" s="203"/>
    </row>
    <row r="123" ht="15.75" customHeight="1">
      <c r="F123" s="203"/>
    </row>
    <row r="124" ht="15.75" customHeight="1">
      <c r="F124" s="203"/>
    </row>
    <row r="125" ht="15.75" customHeight="1">
      <c r="F125" s="203"/>
    </row>
    <row r="126" ht="15.75" customHeight="1">
      <c r="F126" s="203"/>
    </row>
    <row r="127" ht="15.75" customHeight="1">
      <c r="F127" s="203"/>
    </row>
    <row r="128" ht="15.75" customHeight="1">
      <c r="F128" s="203"/>
    </row>
    <row r="129" ht="15.75" customHeight="1">
      <c r="F129" s="203"/>
    </row>
    <row r="130" ht="15.75" customHeight="1">
      <c r="F130" s="203"/>
    </row>
    <row r="131" ht="15.75" customHeight="1">
      <c r="F131" s="203"/>
    </row>
    <row r="132" ht="15.75" customHeight="1">
      <c r="F132" s="203"/>
    </row>
    <row r="133" ht="15.75" customHeight="1">
      <c r="F133" s="203"/>
    </row>
    <row r="134" ht="15.75" customHeight="1">
      <c r="F134" s="203"/>
    </row>
    <row r="135" ht="15.75" customHeight="1">
      <c r="F135" s="203"/>
    </row>
    <row r="136" ht="15.75" customHeight="1">
      <c r="F136" s="203"/>
    </row>
    <row r="137" ht="15.75" customHeight="1">
      <c r="F137" s="203"/>
    </row>
    <row r="138" ht="15.75" customHeight="1">
      <c r="F138" s="203"/>
    </row>
    <row r="139" ht="15.75" customHeight="1">
      <c r="F139" s="203"/>
    </row>
    <row r="140" ht="15.75" customHeight="1">
      <c r="F140" s="203"/>
    </row>
    <row r="141" ht="15.75" customHeight="1">
      <c r="F141" s="203"/>
    </row>
    <row r="142" ht="15.75" customHeight="1">
      <c r="F142" s="203"/>
    </row>
    <row r="143" ht="15.75" customHeight="1">
      <c r="F143" s="203"/>
    </row>
    <row r="144" ht="15.75" customHeight="1">
      <c r="F144" s="203"/>
    </row>
    <row r="145" ht="15.75" customHeight="1">
      <c r="F145" s="203"/>
    </row>
    <row r="146" ht="15.75" customHeight="1">
      <c r="F146" s="203"/>
    </row>
    <row r="147" ht="15.75" customHeight="1">
      <c r="F147" s="203"/>
    </row>
    <row r="148" ht="15.75" customHeight="1">
      <c r="F148" s="203"/>
    </row>
    <row r="149" ht="15.75" customHeight="1">
      <c r="F149" s="203"/>
    </row>
    <row r="150" ht="15.75" customHeight="1">
      <c r="F150" s="203"/>
    </row>
    <row r="151" ht="15.75" customHeight="1">
      <c r="F151" s="203"/>
    </row>
    <row r="152" ht="15.75" customHeight="1">
      <c r="F152" s="203"/>
    </row>
    <row r="153" ht="15.75" customHeight="1">
      <c r="F153" s="203"/>
    </row>
    <row r="154" ht="15.75" customHeight="1">
      <c r="F154" s="203"/>
    </row>
    <row r="155" ht="15.75" customHeight="1">
      <c r="F155" s="203"/>
    </row>
    <row r="156" ht="15.75" customHeight="1">
      <c r="F156" s="203"/>
    </row>
    <row r="157" ht="15.75" customHeight="1">
      <c r="F157" s="203"/>
    </row>
    <row r="158" ht="15.75" customHeight="1">
      <c r="F158" s="203"/>
    </row>
    <row r="159" ht="15.75" customHeight="1">
      <c r="F159" s="203"/>
    </row>
    <row r="160" ht="15.75" customHeight="1">
      <c r="F160" s="203"/>
    </row>
    <row r="161" ht="15.75" customHeight="1">
      <c r="F161" s="203"/>
    </row>
    <row r="162" ht="15.75" customHeight="1">
      <c r="F162" s="203"/>
    </row>
    <row r="163" ht="15.75" customHeight="1">
      <c r="F163" s="203"/>
    </row>
    <row r="164" ht="15.75" customHeight="1">
      <c r="F164" s="203"/>
    </row>
    <row r="165" ht="15.75" customHeight="1">
      <c r="F165" s="203"/>
    </row>
    <row r="166" ht="15.75" customHeight="1">
      <c r="F166" s="203"/>
    </row>
    <row r="167" ht="15.75" customHeight="1">
      <c r="F167" s="203"/>
    </row>
    <row r="168" ht="15.75" customHeight="1">
      <c r="F168" s="203"/>
    </row>
    <row r="169" ht="15.75" customHeight="1">
      <c r="F169" s="203"/>
    </row>
    <row r="170" ht="15.75" customHeight="1">
      <c r="F170" s="203"/>
    </row>
    <row r="171" ht="15.75" customHeight="1">
      <c r="F171" s="203"/>
    </row>
    <row r="172" ht="15.75" customHeight="1">
      <c r="F172" s="203"/>
    </row>
    <row r="173" ht="15.75" customHeight="1">
      <c r="F173" s="203"/>
    </row>
    <row r="174" ht="15.75" customHeight="1">
      <c r="F174" s="203"/>
    </row>
    <row r="175" ht="15.75" customHeight="1">
      <c r="F175" s="203"/>
    </row>
    <row r="176" ht="15.75" customHeight="1">
      <c r="F176" s="203"/>
    </row>
    <row r="177" ht="15.75" customHeight="1">
      <c r="F177" s="203"/>
    </row>
    <row r="178" ht="15.75" customHeight="1">
      <c r="F178" s="203"/>
    </row>
    <row r="179" ht="15.75" customHeight="1">
      <c r="F179" s="203"/>
    </row>
    <row r="180" ht="15.75" customHeight="1">
      <c r="F180" s="203"/>
    </row>
    <row r="181" ht="15.75" customHeight="1">
      <c r="F181" s="203"/>
    </row>
    <row r="182" ht="15.75" customHeight="1">
      <c r="F182" s="203"/>
    </row>
    <row r="183" ht="15.75" customHeight="1">
      <c r="F183" s="203"/>
    </row>
    <row r="184" ht="15.75" customHeight="1">
      <c r="F184" s="203"/>
    </row>
    <row r="185" ht="15.75" customHeight="1">
      <c r="F185" s="203"/>
    </row>
    <row r="186" ht="15.75" customHeight="1">
      <c r="F186" s="203"/>
    </row>
    <row r="187" ht="15.75" customHeight="1">
      <c r="F187" s="203"/>
    </row>
    <row r="188" ht="15.75" customHeight="1">
      <c r="F188" s="203"/>
    </row>
    <row r="189" ht="15.75" customHeight="1">
      <c r="F189" s="203"/>
    </row>
    <row r="190" ht="15.75" customHeight="1">
      <c r="F190" s="203"/>
    </row>
    <row r="191" ht="15.75" customHeight="1">
      <c r="F191" s="203"/>
    </row>
    <row r="192" ht="15.75" customHeight="1">
      <c r="F192" s="203"/>
    </row>
    <row r="193" ht="15.75" customHeight="1">
      <c r="F193" s="203"/>
    </row>
    <row r="194" ht="15.75" customHeight="1">
      <c r="F194" s="203"/>
    </row>
    <row r="195" ht="15.75" customHeight="1">
      <c r="F195" s="203"/>
    </row>
    <row r="196" ht="15.75" customHeight="1">
      <c r="F196" s="203"/>
    </row>
    <row r="197" ht="15.75" customHeight="1">
      <c r="F197" s="203"/>
    </row>
    <row r="198" ht="15.75" customHeight="1">
      <c r="F198" s="203"/>
    </row>
    <row r="199" ht="15.75" customHeight="1">
      <c r="F199" s="203"/>
    </row>
    <row r="200" ht="15.75" customHeight="1">
      <c r="F200" s="203"/>
    </row>
    <row r="201" ht="15.75" customHeight="1">
      <c r="F201" s="203"/>
    </row>
    <row r="202" ht="15.75" customHeight="1">
      <c r="F202" s="203"/>
    </row>
    <row r="203" ht="15.75" customHeight="1">
      <c r="F203" s="203"/>
    </row>
    <row r="204" ht="15.75" customHeight="1">
      <c r="F204" s="203"/>
    </row>
    <row r="205" ht="15.75" customHeight="1">
      <c r="F205" s="203"/>
    </row>
    <row r="206" ht="15.75" customHeight="1">
      <c r="F206" s="203"/>
    </row>
    <row r="207" ht="15.75" customHeight="1">
      <c r="F207" s="203"/>
    </row>
    <row r="208" ht="15.75" customHeight="1">
      <c r="F208" s="203"/>
    </row>
    <row r="209" ht="15.75" customHeight="1">
      <c r="F209" s="203"/>
    </row>
    <row r="210" ht="15.75" customHeight="1">
      <c r="F210" s="203"/>
    </row>
    <row r="211" ht="15.75" customHeight="1">
      <c r="F211" s="203"/>
    </row>
    <row r="212" ht="15.75" customHeight="1">
      <c r="F212" s="203"/>
    </row>
    <row r="213" ht="15.75" customHeight="1">
      <c r="F213" s="203"/>
    </row>
    <row r="214" ht="15.75" customHeight="1">
      <c r="F214" s="203"/>
    </row>
    <row r="215" ht="15.75" customHeight="1">
      <c r="F215" s="203"/>
    </row>
    <row r="216" ht="15.75" customHeight="1">
      <c r="F216" s="203"/>
    </row>
    <row r="217" ht="15.75" customHeight="1">
      <c r="F217" s="203"/>
    </row>
    <row r="218" ht="15.75" customHeight="1">
      <c r="F218" s="203"/>
    </row>
    <row r="219" ht="15.75" customHeight="1">
      <c r="F219" s="203"/>
    </row>
    <row r="220" ht="15.75" customHeight="1">
      <c r="F220" s="203"/>
    </row>
    <row r="221" ht="15.75" customHeight="1">
      <c r="F221" s="203"/>
    </row>
    <row r="222" ht="15.75" customHeight="1">
      <c r="F222" s="203"/>
    </row>
    <row r="223" ht="15.75" customHeight="1">
      <c r="F223" s="203"/>
    </row>
    <row r="224" ht="15.75" customHeight="1">
      <c r="F224" s="203"/>
    </row>
    <row r="225" ht="15.75" customHeight="1">
      <c r="F225" s="203"/>
    </row>
    <row r="226" ht="15.75" customHeight="1">
      <c r="F226" s="203"/>
    </row>
    <row r="227" ht="15.75" customHeight="1">
      <c r="F227" s="203"/>
    </row>
    <row r="228" ht="15.75" customHeight="1">
      <c r="F228" s="203"/>
    </row>
    <row r="229" ht="15.75" customHeight="1">
      <c r="F229" s="203"/>
    </row>
    <row r="230" ht="15.75" customHeight="1">
      <c r="F230" s="203"/>
    </row>
    <row r="231" ht="15.75" customHeight="1">
      <c r="F231" s="203"/>
    </row>
    <row r="232" ht="15.75" customHeight="1">
      <c r="F232" s="203"/>
    </row>
    <row r="233" ht="15.75" customHeight="1">
      <c r="F233" s="203"/>
    </row>
    <row r="234" ht="15.75" customHeight="1">
      <c r="F234" s="203"/>
    </row>
    <row r="235" ht="15.75" customHeight="1">
      <c r="F235" s="203"/>
    </row>
    <row r="236" ht="15.75" customHeight="1">
      <c r="F236" s="203"/>
    </row>
    <row r="237" ht="15.75" customHeight="1">
      <c r="F237" s="203"/>
    </row>
    <row r="238" ht="15.75" customHeight="1">
      <c r="F238" s="203"/>
    </row>
    <row r="239" ht="15.75" customHeight="1">
      <c r="F239" s="203"/>
    </row>
    <row r="240" ht="15.75" customHeight="1">
      <c r="F240" s="203"/>
    </row>
    <row r="241" ht="15.75" customHeight="1">
      <c r="F241" s="203"/>
    </row>
    <row r="242" ht="15.75" customHeight="1">
      <c r="F242" s="203"/>
    </row>
    <row r="243" ht="15.75" customHeight="1">
      <c r="F243" s="203"/>
    </row>
    <row r="244" ht="15.75" customHeight="1">
      <c r="F244" s="203"/>
    </row>
    <row r="245" ht="15.75" customHeight="1">
      <c r="F245" s="203"/>
    </row>
    <row r="246" ht="15.75" customHeight="1">
      <c r="F246" s="203"/>
    </row>
    <row r="247" ht="15.75" customHeight="1">
      <c r="F247" s="203"/>
    </row>
    <row r="248" ht="15.75" customHeight="1">
      <c r="F248" s="203"/>
    </row>
    <row r="249" ht="15.75" customHeight="1">
      <c r="F249" s="203"/>
    </row>
    <row r="250" ht="15.75" customHeight="1">
      <c r="F250" s="203"/>
    </row>
    <row r="251" ht="15.75" customHeight="1">
      <c r="F251" s="203"/>
    </row>
    <row r="252" ht="15.75" customHeight="1">
      <c r="F252" s="203"/>
    </row>
    <row r="253" ht="15.75" customHeight="1">
      <c r="F253" s="203"/>
    </row>
    <row r="254" ht="15.75" customHeight="1">
      <c r="F254" s="203"/>
    </row>
    <row r="255" ht="15.75" customHeight="1">
      <c r="F255" s="203"/>
    </row>
    <row r="256" ht="15.75" customHeight="1">
      <c r="F256" s="203"/>
    </row>
    <row r="257" ht="15.75" customHeight="1">
      <c r="F257" s="203"/>
    </row>
    <row r="258" ht="15.75" customHeight="1">
      <c r="F258" s="203"/>
    </row>
    <row r="259" ht="15.75" customHeight="1">
      <c r="F259" s="203"/>
    </row>
    <row r="260" ht="15.75" customHeight="1">
      <c r="F260" s="203"/>
    </row>
    <row r="261" ht="15.75" customHeight="1">
      <c r="F261" s="203"/>
    </row>
    <row r="262" ht="15.75" customHeight="1">
      <c r="F262" s="203"/>
    </row>
    <row r="263" ht="15.75" customHeight="1">
      <c r="F263" s="203"/>
    </row>
    <row r="264" ht="15.75" customHeight="1">
      <c r="F264" s="203"/>
    </row>
    <row r="265" ht="15.75" customHeight="1">
      <c r="F265" s="203"/>
    </row>
    <row r="266" ht="15.75" customHeight="1">
      <c r="F266" s="203"/>
    </row>
    <row r="267" ht="15.75" customHeight="1">
      <c r="F267" s="203"/>
    </row>
    <row r="268" ht="15.75" customHeight="1">
      <c r="F268" s="203"/>
    </row>
    <row r="269" ht="15.75" customHeight="1">
      <c r="F269" s="203"/>
    </row>
    <row r="270" ht="15.75" customHeight="1">
      <c r="F270" s="203"/>
    </row>
    <row r="271" ht="15.75" customHeight="1">
      <c r="F271" s="203"/>
    </row>
    <row r="272" ht="15.75" customHeight="1">
      <c r="F272" s="203"/>
    </row>
    <row r="273" ht="15.75" customHeight="1">
      <c r="F273" s="203"/>
    </row>
    <row r="274" ht="15.75" customHeight="1">
      <c r="F274" s="203"/>
    </row>
    <row r="275" ht="15.75" customHeight="1">
      <c r="F275" s="203"/>
    </row>
    <row r="276" ht="15.75" customHeight="1">
      <c r="F276" s="203"/>
    </row>
    <row r="277" ht="15.75" customHeight="1">
      <c r="F277" s="203"/>
    </row>
    <row r="278" ht="15.75" customHeight="1">
      <c r="F278" s="203"/>
    </row>
    <row r="279" ht="15.75" customHeight="1">
      <c r="F279" s="203"/>
    </row>
    <row r="280" ht="15.75" customHeight="1">
      <c r="F280" s="203"/>
    </row>
    <row r="281" ht="15.75" customHeight="1">
      <c r="F281" s="203"/>
    </row>
    <row r="282" ht="15.75" customHeight="1">
      <c r="F282" s="203"/>
    </row>
    <row r="283" ht="15.75" customHeight="1">
      <c r="F283" s="203"/>
    </row>
    <row r="284" ht="15.75" customHeight="1">
      <c r="F284" s="203"/>
    </row>
    <row r="285" ht="15.75" customHeight="1">
      <c r="F285" s="203"/>
    </row>
    <row r="286" ht="15.75" customHeight="1">
      <c r="F286" s="203"/>
    </row>
    <row r="287" ht="15.75" customHeight="1">
      <c r="F287" s="203"/>
    </row>
    <row r="288" ht="15.75" customHeight="1">
      <c r="F288" s="203"/>
    </row>
    <row r="289" ht="15.75" customHeight="1">
      <c r="F289" s="203"/>
    </row>
    <row r="290" ht="15.75" customHeight="1">
      <c r="F290" s="203"/>
    </row>
    <row r="291" ht="15.75" customHeight="1">
      <c r="F291" s="203"/>
    </row>
    <row r="292" ht="15.75" customHeight="1">
      <c r="F292" s="203"/>
    </row>
    <row r="293" ht="15.75" customHeight="1">
      <c r="F293" s="203"/>
    </row>
    <row r="294" ht="15.75" customHeight="1">
      <c r="F294" s="203"/>
    </row>
    <row r="295" ht="15.75" customHeight="1">
      <c r="F295" s="203"/>
    </row>
    <row r="296" ht="15.75" customHeight="1">
      <c r="F296" s="203"/>
    </row>
    <row r="297" ht="15.75" customHeight="1">
      <c r="F297" s="203"/>
    </row>
    <row r="298" ht="15.75" customHeight="1">
      <c r="F298" s="203"/>
    </row>
    <row r="299" ht="15.75" customHeight="1">
      <c r="F299" s="203"/>
    </row>
    <row r="300" ht="15.75" customHeight="1">
      <c r="F300" s="203"/>
    </row>
    <row r="301" ht="15.75" customHeight="1">
      <c r="F301" s="203"/>
    </row>
    <row r="302" ht="15.75" customHeight="1">
      <c r="F302" s="203"/>
    </row>
    <row r="303" ht="15.75" customHeight="1">
      <c r="F303" s="203"/>
    </row>
    <row r="304" ht="15.75" customHeight="1">
      <c r="F304" s="203"/>
    </row>
    <row r="305" ht="15.75" customHeight="1">
      <c r="F305" s="203"/>
    </row>
    <row r="306" ht="15.75" customHeight="1">
      <c r="F306" s="203"/>
    </row>
    <row r="307" ht="15.75" customHeight="1">
      <c r="F307" s="203"/>
    </row>
    <row r="308" ht="15.75" customHeight="1">
      <c r="F308" s="203"/>
    </row>
    <row r="309" ht="15.75" customHeight="1">
      <c r="F309" s="203"/>
    </row>
    <row r="310" ht="15.75" customHeight="1">
      <c r="F310" s="203"/>
    </row>
    <row r="311" ht="15.75" customHeight="1">
      <c r="F311" s="203"/>
    </row>
    <row r="312" ht="15.75" customHeight="1">
      <c r="F312" s="203"/>
    </row>
    <row r="313" ht="15.75" customHeight="1">
      <c r="F313" s="203"/>
    </row>
    <row r="314" ht="15.75" customHeight="1">
      <c r="F314" s="203"/>
    </row>
    <row r="315" ht="15.75" customHeight="1">
      <c r="F315" s="203"/>
    </row>
    <row r="316" ht="15.75" customHeight="1">
      <c r="F316" s="203"/>
    </row>
    <row r="317" ht="15.75" customHeight="1">
      <c r="F317" s="203"/>
    </row>
    <row r="318" ht="15.75" customHeight="1">
      <c r="F318" s="203"/>
    </row>
    <row r="319" ht="15.75" customHeight="1">
      <c r="F319" s="203"/>
    </row>
    <row r="320" ht="15.75" customHeight="1">
      <c r="F320" s="203"/>
    </row>
    <row r="321" ht="15.75" customHeight="1">
      <c r="F321" s="203"/>
    </row>
    <row r="322" ht="15.75" customHeight="1">
      <c r="F322" s="203"/>
    </row>
    <row r="323" ht="15.75" customHeight="1">
      <c r="F323" s="203"/>
    </row>
    <row r="324" ht="15.75" customHeight="1">
      <c r="F324" s="203"/>
    </row>
    <row r="325" ht="15.75" customHeight="1">
      <c r="F325" s="203"/>
    </row>
    <row r="326" ht="15.75" customHeight="1">
      <c r="F326" s="203"/>
    </row>
    <row r="327" ht="15.75" customHeight="1">
      <c r="F327" s="203"/>
    </row>
    <row r="328" ht="15.75" customHeight="1">
      <c r="F328" s="203"/>
    </row>
    <row r="329" ht="15.75" customHeight="1">
      <c r="F329" s="203"/>
    </row>
    <row r="330" ht="15.75" customHeight="1">
      <c r="F330" s="203"/>
    </row>
    <row r="331" ht="15.75" customHeight="1">
      <c r="F331" s="203"/>
    </row>
    <row r="332" ht="15.75" customHeight="1">
      <c r="F332" s="203"/>
    </row>
    <row r="333" ht="15.75" customHeight="1">
      <c r="F333" s="203"/>
    </row>
    <row r="334" ht="15.75" customHeight="1">
      <c r="F334" s="203"/>
    </row>
    <row r="335" ht="15.75" customHeight="1">
      <c r="F335" s="203"/>
    </row>
    <row r="336" ht="15.75" customHeight="1">
      <c r="F336" s="203"/>
    </row>
    <row r="337" ht="15.75" customHeight="1">
      <c r="F337" s="203"/>
    </row>
    <row r="338" ht="15.75" customHeight="1">
      <c r="F338" s="203"/>
    </row>
    <row r="339" ht="15.75" customHeight="1">
      <c r="F339" s="203"/>
    </row>
    <row r="340" ht="15.75" customHeight="1">
      <c r="F340" s="203"/>
    </row>
    <row r="341" ht="15.75" customHeight="1">
      <c r="F341" s="203"/>
    </row>
    <row r="342" ht="15.75" customHeight="1">
      <c r="F342" s="203"/>
    </row>
    <row r="343" ht="15.75" customHeight="1">
      <c r="F343" s="203"/>
    </row>
    <row r="344" ht="15.75" customHeight="1">
      <c r="F344" s="203"/>
    </row>
    <row r="345" ht="15.75" customHeight="1">
      <c r="F345" s="203"/>
    </row>
    <row r="346" ht="15.75" customHeight="1">
      <c r="F346" s="203"/>
    </row>
    <row r="347" ht="15.75" customHeight="1">
      <c r="F347" s="203"/>
    </row>
    <row r="348" ht="15.75" customHeight="1">
      <c r="F348" s="203"/>
    </row>
    <row r="349" ht="15.75" customHeight="1">
      <c r="F349" s="203"/>
    </row>
    <row r="350" ht="15.75" customHeight="1">
      <c r="F350" s="203"/>
    </row>
    <row r="351" ht="15.75" customHeight="1">
      <c r="F351" s="203"/>
    </row>
    <row r="352" ht="15.75" customHeight="1">
      <c r="F352" s="203"/>
    </row>
    <row r="353" ht="15.75" customHeight="1">
      <c r="F353" s="203"/>
    </row>
    <row r="354" ht="15.75" customHeight="1">
      <c r="F354" s="203"/>
    </row>
    <row r="355" ht="15.75" customHeight="1">
      <c r="F355" s="203"/>
    </row>
    <row r="356" ht="15.75" customHeight="1">
      <c r="F356" s="203"/>
    </row>
    <row r="357" ht="15.75" customHeight="1">
      <c r="F357" s="203"/>
    </row>
    <row r="358" ht="15.75" customHeight="1">
      <c r="F358" s="203"/>
    </row>
    <row r="359" ht="15.75" customHeight="1">
      <c r="F359" s="203"/>
    </row>
    <row r="360" ht="15.75" customHeight="1">
      <c r="F360" s="203"/>
    </row>
    <row r="361" ht="15.75" customHeight="1">
      <c r="F361" s="203"/>
    </row>
    <row r="362" ht="15.75" customHeight="1">
      <c r="F362" s="203"/>
    </row>
    <row r="363" ht="15.75" customHeight="1">
      <c r="F363" s="203"/>
    </row>
    <row r="364" ht="15.75" customHeight="1">
      <c r="F364" s="203"/>
    </row>
    <row r="365" ht="15.75" customHeight="1">
      <c r="F365" s="203"/>
    </row>
    <row r="366" ht="15.75" customHeight="1">
      <c r="F366" s="203"/>
    </row>
    <row r="367" ht="15.75" customHeight="1">
      <c r="F367" s="203"/>
    </row>
    <row r="368" ht="15.75" customHeight="1">
      <c r="F368" s="203"/>
    </row>
    <row r="369" ht="15.75" customHeight="1">
      <c r="F369" s="203"/>
    </row>
    <row r="370" ht="15.75" customHeight="1">
      <c r="F370" s="203"/>
    </row>
    <row r="371" ht="15.75" customHeight="1">
      <c r="F371" s="203"/>
    </row>
    <row r="372" ht="15.75" customHeight="1">
      <c r="F372" s="203"/>
    </row>
    <row r="373" ht="15.75" customHeight="1">
      <c r="F373" s="203"/>
    </row>
    <row r="374" ht="15.75" customHeight="1">
      <c r="F374" s="203"/>
    </row>
    <row r="375" ht="15.75" customHeight="1">
      <c r="F375" s="203"/>
    </row>
    <row r="376" ht="15.75" customHeight="1">
      <c r="F376" s="203"/>
    </row>
    <row r="377" ht="15.75" customHeight="1">
      <c r="F377" s="203"/>
    </row>
    <row r="378" ht="15.75" customHeight="1">
      <c r="F378" s="203"/>
    </row>
    <row r="379" ht="15.75" customHeight="1">
      <c r="F379" s="203"/>
    </row>
    <row r="380" ht="15.75" customHeight="1">
      <c r="F380" s="203"/>
    </row>
    <row r="381" ht="15.75" customHeight="1">
      <c r="F381" s="203"/>
    </row>
    <row r="382" ht="15.75" customHeight="1">
      <c r="F382" s="203"/>
    </row>
    <row r="383" ht="15.75" customHeight="1">
      <c r="F383" s="203"/>
    </row>
    <row r="384" ht="15.75" customHeight="1">
      <c r="F384" s="203"/>
    </row>
    <row r="385" ht="15.75" customHeight="1">
      <c r="F385" s="203"/>
    </row>
    <row r="386" ht="15.75" customHeight="1">
      <c r="F386" s="203"/>
    </row>
    <row r="387" ht="15.75" customHeight="1">
      <c r="F387" s="203"/>
    </row>
    <row r="388" ht="15.75" customHeight="1">
      <c r="F388" s="203"/>
    </row>
    <row r="389" ht="15.75" customHeight="1">
      <c r="F389" s="203"/>
    </row>
    <row r="390" ht="15.75" customHeight="1">
      <c r="F390" s="203"/>
    </row>
    <row r="391" ht="15.75" customHeight="1">
      <c r="F391" s="203"/>
    </row>
    <row r="392" ht="15.75" customHeight="1">
      <c r="F392" s="203"/>
    </row>
    <row r="393" ht="15.75" customHeight="1">
      <c r="F393" s="203"/>
    </row>
    <row r="394" ht="15.75" customHeight="1">
      <c r="F394" s="203"/>
    </row>
    <row r="395" ht="15.75" customHeight="1">
      <c r="F395" s="203"/>
    </row>
    <row r="396" ht="15.75" customHeight="1">
      <c r="F396" s="203"/>
    </row>
    <row r="397" ht="15.75" customHeight="1">
      <c r="F397" s="203"/>
    </row>
    <row r="398" ht="15.75" customHeight="1">
      <c r="F398" s="203"/>
    </row>
    <row r="399" ht="15.75" customHeight="1">
      <c r="F399" s="203"/>
    </row>
    <row r="400" ht="15.75" customHeight="1">
      <c r="F400" s="203"/>
    </row>
    <row r="401" ht="15.75" customHeight="1">
      <c r="F401" s="203"/>
    </row>
    <row r="402" ht="15.75" customHeight="1">
      <c r="F402" s="203"/>
    </row>
    <row r="403" ht="15.75" customHeight="1">
      <c r="F403" s="203"/>
    </row>
    <row r="404" ht="15.75" customHeight="1">
      <c r="F404" s="203"/>
    </row>
    <row r="405" ht="15.75" customHeight="1">
      <c r="F405" s="203"/>
    </row>
    <row r="406" ht="15.75" customHeight="1">
      <c r="F406" s="203"/>
    </row>
    <row r="407" ht="15.75" customHeight="1">
      <c r="F407" s="203"/>
    </row>
    <row r="408" ht="15.75" customHeight="1">
      <c r="F408" s="203"/>
    </row>
    <row r="409" ht="15.75" customHeight="1">
      <c r="F409" s="203"/>
    </row>
    <row r="410" ht="15.75" customHeight="1">
      <c r="F410" s="203"/>
    </row>
    <row r="411" ht="15.75" customHeight="1">
      <c r="F411" s="203"/>
    </row>
    <row r="412" ht="15.75" customHeight="1">
      <c r="F412" s="203"/>
    </row>
    <row r="413" ht="15.75" customHeight="1">
      <c r="F413" s="203"/>
    </row>
    <row r="414" ht="15.75" customHeight="1">
      <c r="F414" s="203"/>
    </row>
    <row r="415" ht="15.75" customHeight="1">
      <c r="F415" s="203"/>
    </row>
    <row r="416" ht="15.75" customHeight="1">
      <c r="F416" s="203"/>
    </row>
    <row r="417" ht="15.75" customHeight="1">
      <c r="F417" s="203"/>
    </row>
    <row r="418" ht="15.75" customHeight="1">
      <c r="F418" s="203"/>
    </row>
    <row r="419" ht="15.75" customHeight="1">
      <c r="F419" s="203"/>
    </row>
    <row r="420" ht="15.75" customHeight="1">
      <c r="F420" s="203"/>
    </row>
    <row r="421" ht="15.75" customHeight="1">
      <c r="F421" s="203"/>
    </row>
    <row r="422" ht="15.75" customHeight="1">
      <c r="F422" s="203"/>
    </row>
    <row r="423" ht="15.75" customHeight="1">
      <c r="F423" s="203"/>
    </row>
    <row r="424" ht="15.75" customHeight="1">
      <c r="F424" s="203"/>
    </row>
    <row r="425" ht="15.75" customHeight="1">
      <c r="F425" s="203"/>
    </row>
    <row r="426" ht="15.75" customHeight="1">
      <c r="F426" s="203"/>
    </row>
    <row r="427" ht="15.75" customHeight="1">
      <c r="F427" s="203"/>
    </row>
    <row r="428" ht="15.75" customHeight="1">
      <c r="F428" s="203"/>
    </row>
    <row r="429" ht="15.75" customHeight="1">
      <c r="F429" s="203"/>
    </row>
    <row r="430" ht="15.75" customHeight="1">
      <c r="F430" s="203"/>
    </row>
    <row r="431" ht="15.75" customHeight="1">
      <c r="F431" s="203"/>
    </row>
    <row r="432" ht="15.75" customHeight="1">
      <c r="F432" s="203"/>
    </row>
    <row r="433" ht="15.75" customHeight="1">
      <c r="F433" s="203"/>
    </row>
    <row r="434" ht="15.75" customHeight="1">
      <c r="F434" s="203"/>
    </row>
    <row r="435" ht="15.75" customHeight="1">
      <c r="F435" s="203"/>
    </row>
    <row r="436" ht="15.75" customHeight="1">
      <c r="F436" s="203"/>
    </row>
    <row r="437" ht="15.75" customHeight="1">
      <c r="F437" s="203"/>
    </row>
    <row r="438" ht="15.75" customHeight="1">
      <c r="F438" s="203"/>
    </row>
    <row r="439" ht="15.75" customHeight="1">
      <c r="F439" s="203"/>
    </row>
    <row r="440" ht="15.75" customHeight="1">
      <c r="F440" s="203"/>
    </row>
    <row r="441" ht="15.75" customHeight="1">
      <c r="F441" s="203"/>
    </row>
    <row r="442" ht="15.75" customHeight="1">
      <c r="F442" s="203"/>
    </row>
    <row r="443" ht="15.75" customHeight="1">
      <c r="F443" s="203"/>
    </row>
    <row r="444" ht="15.75" customHeight="1">
      <c r="F444" s="203"/>
    </row>
    <row r="445" ht="15.75" customHeight="1">
      <c r="F445" s="203"/>
    </row>
    <row r="446" ht="15.75" customHeight="1">
      <c r="F446" s="203"/>
    </row>
    <row r="447" ht="15.75" customHeight="1">
      <c r="F447" s="203"/>
    </row>
    <row r="448" ht="15.75" customHeight="1">
      <c r="F448" s="203"/>
    </row>
    <row r="449" ht="15.75" customHeight="1">
      <c r="F449" s="203"/>
    </row>
    <row r="450" ht="15.75" customHeight="1">
      <c r="F450" s="203"/>
    </row>
    <row r="451" ht="15.75" customHeight="1">
      <c r="F451" s="203"/>
    </row>
    <row r="452" ht="15.75" customHeight="1">
      <c r="F452" s="203"/>
    </row>
    <row r="453" ht="15.75" customHeight="1">
      <c r="F453" s="203"/>
    </row>
    <row r="454" ht="15.75" customHeight="1">
      <c r="F454" s="203"/>
    </row>
    <row r="455" ht="15.75" customHeight="1">
      <c r="F455" s="203"/>
    </row>
    <row r="456" ht="15.75" customHeight="1">
      <c r="F456" s="203"/>
    </row>
    <row r="457" ht="15.75" customHeight="1">
      <c r="F457" s="203"/>
    </row>
    <row r="458" ht="15.75" customHeight="1">
      <c r="F458" s="203"/>
    </row>
    <row r="459" ht="15.75" customHeight="1">
      <c r="F459" s="203"/>
    </row>
    <row r="460" ht="15.75" customHeight="1">
      <c r="F460" s="203"/>
    </row>
    <row r="461" ht="15.75" customHeight="1">
      <c r="F461" s="203"/>
    </row>
    <row r="462" ht="15.75" customHeight="1">
      <c r="F462" s="203"/>
    </row>
    <row r="463" ht="15.75" customHeight="1">
      <c r="F463" s="203"/>
    </row>
    <row r="464" ht="15.75" customHeight="1">
      <c r="F464" s="203"/>
    </row>
    <row r="465" ht="15.75" customHeight="1">
      <c r="F465" s="203"/>
    </row>
    <row r="466" ht="15.75" customHeight="1">
      <c r="F466" s="203"/>
    </row>
    <row r="467" ht="15.75" customHeight="1">
      <c r="F467" s="203"/>
    </row>
    <row r="468" ht="15.75" customHeight="1">
      <c r="F468" s="203"/>
    </row>
    <row r="469" ht="15.75" customHeight="1">
      <c r="F469" s="203"/>
    </row>
    <row r="470" ht="15.75" customHeight="1">
      <c r="F470" s="203"/>
    </row>
    <row r="471" ht="15.75" customHeight="1">
      <c r="F471" s="203"/>
    </row>
    <row r="472" ht="15.75" customHeight="1">
      <c r="F472" s="203"/>
    </row>
    <row r="473" ht="15.75" customHeight="1">
      <c r="F473" s="203"/>
    </row>
    <row r="474" ht="15.75" customHeight="1">
      <c r="F474" s="203"/>
    </row>
    <row r="475" ht="15.75" customHeight="1">
      <c r="F475" s="203"/>
    </row>
    <row r="476" ht="15.75" customHeight="1">
      <c r="F476" s="203"/>
    </row>
    <row r="477" ht="15.75" customHeight="1">
      <c r="F477" s="203"/>
    </row>
    <row r="478" ht="15.75" customHeight="1">
      <c r="F478" s="203"/>
    </row>
    <row r="479" ht="15.75" customHeight="1">
      <c r="F479" s="203"/>
    </row>
    <row r="480" ht="15.75" customHeight="1">
      <c r="F480" s="203"/>
    </row>
    <row r="481" ht="15.75" customHeight="1">
      <c r="F481" s="203"/>
    </row>
    <row r="482" ht="15.75" customHeight="1">
      <c r="F482" s="203"/>
    </row>
    <row r="483" ht="15.75" customHeight="1">
      <c r="F483" s="203"/>
    </row>
    <row r="484" ht="15.75" customHeight="1">
      <c r="F484" s="203"/>
    </row>
    <row r="485" ht="15.75" customHeight="1">
      <c r="F485" s="203"/>
    </row>
    <row r="486" ht="15.75" customHeight="1">
      <c r="F486" s="203"/>
    </row>
    <row r="487" ht="15.75" customHeight="1">
      <c r="F487" s="203"/>
    </row>
    <row r="488" ht="15.75" customHeight="1">
      <c r="F488" s="203"/>
    </row>
    <row r="489" ht="15.75" customHeight="1">
      <c r="F489" s="203"/>
    </row>
    <row r="490" ht="15.75" customHeight="1">
      <c r="F490" s="203"/>
    </row>
    <row r="491" ht="15.75" customHeight="1">
      <c r="F491" s="203"/>
    </row>
    <row r="492" ht="15.75" customHeight="1">
      <c r="F492" s="203"/>
    </row>
    <row r="493" ht="15.75" customHeight="1">
      <c r="F493" s="203"/>
    </row>
    <row r="494" ht="15.75" customHeight="1">
      <c r="F494" s="203"/>
    </row>
    <row r="495" ht="15.75" customHeight="1">
      <c r="F495" s="203"/>
    </row>
    <row r="496" ht="15.75" customHeight="1">
      <c r="F496" s="203"/>
    </row>
    <row r="497" ht="15.75" customHeight="1">
      <c r="F497" s="203"/>
    </row>
    <row r="498" ht="15.75" customHeight="1">
      <c r="F498" s="203"/>
    </row>
    <row r="499" ht="15.75" customHeight="1">
      <c r="F499" s="203"/>
    </row>
    <row r="500" ht="15.75" customHeight="1">
      <c r="F500" s="203"/>
    </row>
    <row r="501" ht="15.75" customHeight="1">
      <c r="F501" s="203"/>
    </row>
    <row r="502" ht="15.75" customHeight="1">
      <c r="F502" s="203"/>
    </row>
    <row r="503" ht="15.75" customHeight="1">
      <c r="F503" s="203"/>
    </row>
    <row r="504" ht="15.75" customHeight="1">
      <c r="F504" s="203"/>
    </row>
    <row r="505" ht="15.75" customHeight="1">
      <c r="F505" s="203"/>
    </row>
    <row r="506" ht="15.75" customHeight="1">
      <c r="F506" s="203"/>
    </row>
    <row r="507" ht="15.75" customHeight="1">
      <c r="F507" s="203"/>
    </row>
    <row r="508" ht="15.75" customHeight="1">
      <c r="F508" s="203"/>
    </row>
    <row r="509" ht="15.75" customHeight="1">
      <c r="F509" s="203"/>
    </row>
    <row r="510" ht="15.75" customHeight="1">
      <c r="F510" s="203"/>
    </row>
    <row r="511" ht="15.75" customHeight="1">
      <c r="F511" s="203"/>
    </row>
    <row r="512" ht="15.75" customHeight="1">
      <c r="F512" s="203"/>
    </row>
    <row r="513" ht="15.75" customHeight="1">
      <c r="F513" s="203"/>
    </row>
    <row r="514" ht="15.75" customHeight="1">
      <c r="F514" s="203"/>
    </row>
    <row r="515" ht="15.75" customHeight="1">
      <c r="F515" s="203"/>
    </row>
    <row r="516" ht="15.75" customHeight="1">
      <c r="F516" s="203"/>
    </row>
    <row r="517" ht="15.75" customHeight="1">
      <c r="F517" s="203"/>
    </row>
    <row r="518" ht="15.75" customHeight="1">
      <c r="F518" s="203"/>
    </row>
    <row r="519" ht="15.75" customHeight="1">
      <c r="F519" s="203"/>
    </row>
    <row r="520" ht="15.75" customHeight="1">
      <c r="F520" s="203"/>
    </row>
    <row r="521" ht="15.75" customHeight="1">
      <c r="F521" s="203"/>
    </row>
    <row r="522" ht="15.75" customHeight="1">
      <c r="F522" s="203"/>
    </row>
    <row r="523" ht="15.75" customHeight="1">
      <c r="F523" s="203"/>
    </row>
    <row r="524" ht="15.75" customHeight="1">
      <c r="F524" s="203"/>
    </row>
    <row r="525" ht="15.75" customHeight="1">
      <c r="F525" s="203"/>
    </row>
    <row r="526" ht="15.75" customHeight="1">
      <c r="F526" s="203"/>
    </row>
    <row r="527" ht="15.75" customHeight="1">
      <c r="F527" s="203"/>
    </row>
    <row r="528" ht="15.75" customHeight="1">
      <c r="F528" s="203"/>
    </row>
    <row r="529" ht="15.75" customHeight="1">
      <c r="F529" s="203"/>
    </row>
    <row r="530" ht="15.75" customHeight="1">
      <c r="F530" s="203"/>
    </row>
    <row r="531" ht="15.75" customHeight="1">
      <c r="F531" s="203"/>
    </row>
    <row r="532" ht="15.75" customHeight="1">
      <c r="F532" s="203"/>
    </row>
    <row r="533" ht="15.75" customHeight="1">
      <c r="F533" s="203"/>
    </row>
    <row r="534" ht="15.75" customHeight="1">
      <c r="F534" s="203"/>
    </row>
    <row r="535" ht="15.75" customHeight="1">
      <c r="F535" s="203"/>
    </row>
    <row r="536" ht="15.75" customHeight="1">
      <c r="F536" s="203"/>
    </row>
    <row r="537" ht="15.75" customHeight="1">
      <c r="F537" s="203"/>
    </row>
    <row r="538" ht="15.75" customHeight="1">
      <c r="F538" s="203"/>
    </row>
    <row r="539" ht="15.75" customHeight="1">
      <c r="F539" s="203"/>
    </row>
    <row r="540" ht="15.75" customHeight="1">
      <c r="F540" s="203"/>
    </row>
    <row r="541" ht="15.75" customHeight="1">
      <c r="F541" s="203"/>
    </row>
    <row r="542" ht="15.75" customHeight="1">
      <c r="F542" s="203"/>
    </row>
    <row r="543" ht="15.75" customHeight="1">
      <c r="F543" s="203"/>
    </row>
    <row r="544" ht="15.75" customHeight="1">
      <c r="F544" s="203"/>
    </row>
    <row r="545" ht="15.75" customHeight="1">
      <c r="F545" s="203"/>
    </row>
    <row r="546" ht="15.75" customHeight="1">
      <c r="F546" s="203"/>
    </row>
    <row r="547" ht="15.75" customHeight="1">
      <c r="F547" s="203"/>
    </row>
    <row r="548" ht="15.75" customHeight="1">
      <c r="F548" s="203"/>
    </row>
    <row r="549" ht="15.75" customHeight="1">
      <c r="F549" s="203"/>
    </row>
    <row r="550" ht="15.75" customHeight="1">
      <c r="F550" s="203"/>
    </row>
    <row r="551" ht="15.75" customHeight="1">
      <c r="F551" s="203"/>
    </row>
    <row r="552" ht="15.75" customHeight="1">
      <c r="F552" s="203"/>
    </row>
    <row r="553" ht="15.75" customHeight="1">
      <c r="F553" s="203"/>
    </row>
    <row r="554" ht="15.75" customHeight="1">
      <c r="F554" s="203"/>
    </row>
    <row r="555" ht="15.75" customHeight="1">
      <c r="F555" s="203"/>
    </row>
    <row r="556" ht="15.75" customHeight="1">
      <c r="F556" s="203"/>
    </row>
    <row r="557" ht="15.75" customHeight="1">
      <c r="F557" s="203"/>
    </row>
    <row r="558" ht="15.75" customHeight="1">
      <c r="F558" s="203"/>
    </row>
    <row r="559" ht="15.75" customHeight="1">
      <c r="F559" s="203"/>
    </row>
    <row r="560" ht="15.75" customHeight="1">
      <c r="F560" s="203"/>
    </row>
    <row r="561" ht="15.75" customHeight="1">
      <c r="F561" s="203"/>
    </row>
    <row r="562" ht="15.75" customHeight="1">
      <c r="F562" s="203"/>
    </row>
    <row r="563" ht="15.75" customHeight="1">
      <c r="F563" s="203"/>
    </row>
    <row r="564" ht="15.75" customHeight="1">
      <c r="F564" s="203"/>
    </row>
    <row r="565" ht="15.75" customHeight="1">
      <c r="F565" s="203"/>
    </row>
    <row r="566" ht="15.75" customHeight="1">
      <c r="F566" s="203"/>
    </row>
    <row r="567" ht="15.75" customHeight="1">
      <c r="F567" s="203"/>
    </row>
    <row r="568" ht="15.75" customHeight="1">
      <c r="F568" s="203"/>
    </row>
    <row r="569" ht="15.75" customHeight="1">
      <c r="F569" s="203"/>
    </row>
    <row r="570" ht="15.75" customHeight="1">
      <c r="F570" s="203"/>
    </row>
    <row r="571" ht="15.75" customHeight="1">
      <c r="F571" s="203"/>
    </row>
    <row r="572" ht="15.75" customHeight="1">
      <c r="F572" s="203"/>
    </row>
    <row r="573" ht="15.75" customHeight="1">
      <c r="F573" s="203"/>
    </row>
    <row r="574" ht="15.75" customHeight="1">
      <c r="F574" s="203"/>
    </row>
    <row r="575" ht="15.75" customHeight="1">
      <c r="F575" s="203"/>
    </row>
    <row r="576" ht="15.75" customHeight="1">
      <c r="F576" s="203"/>
    </row>
    <row r="577" ht="15.75" customHeight="1">
      <c r="F577" s="203"/>
    </row>
    <row r="578" ht="15.75" customHeight="1">
      <c r="F578" s="203"/>
    </row>
    <row r="579" ht="15.75" customHeight="1">
      <c r="F579" s="203"/>
    </row>
    <row r="580" ht="15.75" customHeight="1">
      <c r="F580" s="203"/>
    </row>
    <row r="581" ht="15.75" customHeight="1">
      <c r="F581" s="203"/>
    </row>
    <row r="582" ht="15.75" customHeight="1">
      <c r="F582" s="203"/>
    </row>
    <row r="583" ht="15.75" customHeight="1">
      <c r="F583" s="203"/>
    </row>
    <row r="584" ht="15.75" customHeight="1">
      <c r="F584" s="203"/>
    </row>
    <row r="585" ht="15.75" customHeight="1">
      <c r="F585" s="203"/>
    </row>
    <row r="586" ht="15.75" customHeight="1">
      <c r="F586" s="203"/>
    </row>
    <row r="587" ht="15.75" customHeight="1">
      <c r="F587" s="203"/>
    </row>
    <row r="588" ht="15.75" customHeight="1">
      <c r="F588" s="203"/>
    </row>
    <row r="589" ht="15.75" customHeight="1">
      <c r="F589" s="203"/>
    </row>
    <row r="590" ht="15.75" customHeight="1">
      <c r="F590" s="203"/>
    </row>
    <row r="591" ht="15.75" customHeight="1">
      <c r="F591" s="203"/>
    </row>
    <row r="592" ht="15.75" customHeight="1">
      <c r="F592" s="203"/>
    </row>
    <row r="593" ht="15.75" customHeight="1">
      <c r="F593" s="203"/>
    </row>
    <row r="594" ht="15.75" customHeight="1">
      <c r="F594" s="203"/>
    </row>
    <row r="595" ht="15.75" customHeight="1">
      <c r="F595" s="203"/>
    </row>
    <row r="596" ht="15.75" customHeight="1">
      <c r="F596" s="203"/>
    </row>
    <row r="597" ht="15.75" customHeight="1">
      <c r="F597" s="203"/>
    </row>
    <row r="598" ht="15.75" customHeight="1">
      <c r="F598" s="203"/>
    </row>
    <row r="599" ht="15.75" customHeight="1">
      <c r="F599" s="203"/>
    </row>
    <row r="600" ht="15.75" customHeight="1">
      <c r="F600" s="203"/>
    </row>
    <row r="601" ht="15.75" customHeight="1">
      <c r="F601" s="203"/>
    </row>
    <row r="602" ht="15.75" customHeight="1">
      <c r="F602" s="203"/>
    </row>
    <row r="603" ht="15.75" customHeight="1">
      <c r="F603" s="203"/>
    </row>
    <row r="604" ht="15.75" customHeight="1">
      <c r="F604" s="203"/>
    </row>
    <row r="605" ht="15.75" customHeight="1">
      <c r="F605" s="203"/>
    </row>
    <row r="606" ht="15.75" customHeight="1">
      <c r="F606" s="203"/>
    </row>
    <row r="607" ht="15.75" customHeight="1">
      <c r="F607" s="203"/>
    </row>
    <row r="608" ht="15.75" customHeight="1">
      <c r="F608" s="203"/>
    </row>
    <row r="609" ht="15.75" customHeight="1">
      <c r="F609" s="203"/>
    </row>
    <row r="610" ht="15.75" customHeight="1">
      <c r="F610" s="203"/>
    </row>
    <row r="611" ht="15.75" customHeight="1">
      <c r="F611" s="203"/>
    </row>
    <row r="612" ht="15.75" customHeight="1">
      <c r="F612" s="203"/>
    </row>
    <row r="613" ht="15.75" customHeight="1">
      <c r="F613" s="203"/>
    </row>
    <row r="614" ht="15.75" customHeight="1">
      <c r="F614" s="203"/>
    </row>
    <row r="615" ht="15.75" customHeight="1">
      <c r="F615" s="203"/>
    </row>
    <row r="616" ht="15.75" customHeight="1">
      <c r="F616" s="203"/>
    </row>
    <row r="617" ht="15.75" customHeight="1">
      <c r="F617" s="203"/>
    </row>
    <row r="618" ht="15.75" customHeight="1">
      <c r="F618" s="203"/>
    </row>
    <row r="619" ht="15.75" customHeight="1">
      <c r="F619" s="203"/>
    </row>
    <row r="620" ht="15.75" customHeight="1">
      <c r="F620" s="203"/>
    </row>
    <row r="621" ht="15.75" customHeight="1">
      <c r="F621" s="203"/>
    </row>
    <row r="622" ht="15.75" customHeight="1">
      <c r="F622" s="203"/>
    </row>
    <row r="623" ht="15.75" customHeight="1">
      <c r="F623" s="203"/>
    </row>
    <row r="624" ht="15.75" customHeight="1">
      <c r="F624" s="203"/>
    </row>
    <row r="625" ht="15.75" customHeight="1">
      <c r="F625" s="203"/>
    </row>
    <row r="626" ht="15.75" customHeight="1">
      <c r="F626" s="203"/>
    </row>
    <row r="627" ht="15.75" customHeight="1">
      <c r="F627" s="203"/>
    </row>
    <row r="628" ht="15.75" customHeight="1">
      <c r="F628" s="203"/>
    </row>
    <row r="629" ht="15.75" customHeight="1">
      <c r="F629" s="203"/>
    </row>
    <row r="630" ht="15.75" customHeight="1">
      <c r="F630" s="203"/>
    </row>
    <row r="631" ht="15.75" customHeight="1">
      <c r="F631" s="203"/>
    </row>
    <row r="632" ht="15.75" customHeight="1">
      <c r="F632" s="203"/>
    </row>
    <row r="633" ht="15.75" customHeight="1">
      <c r="F633" s="203"/>
    </row>
    <row r="634" ht="15.75" customHeight="1">
      <c r="F634" s="203"/>
    </row>
    <row r="635" ht="15.75" customHeight="1">
      <c r="F635" s="203"/>
    </row>
    <row r="636" ht="15.75" customHeight="1">
      <c r="F636" s="203"/>
    </row>
    <row r="637" ht="15.75" customHeight="1">
      <c r="F637" s="203"/>
    </row>
    <row r="638" ht="15.75" customHeight="1">
      <c r="F638" s="203"/>
    </row>
    <row r="639" ht="15.75" customHeight="1">
      <c r="F639" s="203"/>
    </row>
    <row r="640" ht="15.75" customHeight="1">
      <c r="F640" s="203"/>
    </row>
    <row r="641" ht="15.75" customHeight="1">
      <c r="F641" s="203"/>
    </row>
    <row r="642" ht="15.75" customHeight="1">
      <c r="F642" s="203"/>
    </row>
    <row r="643" ht="15.75" customHeight="1">
      <c r="F643" s="203"/>
    </row>
    <row r="644" ht="15.75" customHeight="1">
      <c r="F644" s="203"/>
    </row>
    <row r="645" ht="15.75" customHeight="1">
      <c r="F645" s="203"/>
    </row>
    <row r="646" ht="15.75" customHeight="1">
      <c r="F646" s="203"/>
    </row>
    <row r="647" ht="15.75" customHeight="1">
      <c r="F647" s="203"/>
    </row>
    <row r="648" ht="15.75" customHeight="1">
      <c r="F648" s="203"/>
    </row>
    <row r="649" ht="15.75" customHeight="1">
      <c r="F649" s="203"/>
    </row>
    <row r="650" ht="15.75" customHeight="1">
      <c r="F650" s="203"/>
    </row>
    <row r="651" ht="15.75" customHeight="1">
      <c r="F651" s="203"/>
    </row>
    <row r="652" ht="15.75" customHeight="1">
      <c r="F652" s="203"/>
    </row>
    <row r="653" ht="15.75" customHeight="1">
      <c r="F653" s="203"/>
    </row>
    <row r="654" ht="15.75" customHeight="1">
      <c r="F654" s="203"/>
    </row>
    <row r="655" ht="15.75" customHeight="1">
      <c r="F655" s="203"/>
    </row>
    <row r="656" ht="15.75" customHeight="1">
      <c r="F656" s="203"/>
    </row>
    <row r="657" ht="15.75" customHeight="1">
      <c r="F657" s="203"/>
    </row>
    <row r="658" ht="15.75" customHeight="1">
      <c r="F658" s="203"/>
    </row>
    <row r="659" ht="15.75" customHeight="1">
      <c r="F659" s="203"/>
    </row>
    <row r="660" ht="15.75" customHeight="1">
      <c r="F660" s="203"/>
    </row>
    <row r="661" ht="15.75" customHeight="1">
      <c r="F661" s="203"/>
    </row>
    <row r="662" ht="15.75" customHeight="1">
      <c r="F662" s="203"/>
    </row>
    <row r="663" ht="15.75" customHeight="1">
      <c r="F663" s="203"/>
    </row>
    <row r="664" ht="15.75" customHeight="1">
      <c r="F664" s="203"/>
    </row>
    <row r="665" ht="15.75" customHeight="1">
      <c r="F665" s="203"/>
    </row>
    <row r="666" ht="15.75" customHeight="1">
      <c r="F666" s="203"/>
    </row>
    <row r="667" ht="15.75" customHeight="1">
      <c r="F667" s="203"/>
    </row>
    <row r="668" ht="15.75" customHeight="1">
      <c r="F668" s="203"/>
    </row>
    <row r="669" ht="15.75" customHeight="1">
      <c r="F669" s="203"/>
    </row>
    <row r="670" ht="15.75" customHeight="1">
      <c r="F670" s="203"/>
    </row>
    <row r="671" ht="15.75" customHeight="1">
      <c r="F671" s="203"/>
    </row>
    <row r="672" ht="15.75" customHeight="1">
      <c r="F672" s="203"/>
    </row>
    <row r="673" ht="15.75" customHeight="1">
      <c r="F673" s="203"/>
    </row>
    <row r="674" ht="15.75" customHeight="1">
      <c r="F674" s="203"/>
    </row>
    <row r="675" ht="15.75" customHeight="1">
      <c r="F675" s="203"/>
    </row>
    <row r="676" ht="15.75" customHeight="1">
      <c r="F676" s="203"/>
    </row>
    <row r="677" ht="15.75" customHeight="1">
      <c r="F677" s="203"/>
    </row>
    <row r="678" ht="15.75" customHeight="1">
      <c r="F678" s="203"/>
    </row>
    <row r="679" ht="15.75" customHeight="1">
      <c r="F679" s="203"/>
    </row>
    <row r="680" ht="15.75" customHeight="1">
      <c r="F680" s="203"/>
    </row>
    <row r="681" ht="15.75" customHeight="1">
      <c r="F681" s="203"/>
    </row>
    <row r="682" ht="15.75" customHeight="1">
      <c r="F682" s="203"/>
    </row>
    <row r="683" ht="15.75" customHeight="1">
      <c r="F683" s="203"/>
    </row>
    <row r="684" ht="15.75" customHeight="1">
      <c r="F684" s="203"/>
    </row>
    <row r="685" ht="15.75" customHeight="1">
      <c r="F685" s="203"/>
    </row>
    <row r="686" ht="15.75" customHeight="1">
      <c r="F686" s="203"/>
    </row>
    <row r="687" ht="15.75" customHeight="1">
      <c r="F687" s="203"/>
    </row>
    <row r="688" ht="15.75" customHeight="1">
      <c r="F688" s="203"/>
    </row>
    <row r="689" ht="15.75" customHeight="1">
      <c r="F689" s="203"/>
    </row>
    <row r="690" ht="15.75" customHeight="1">
      <c r="F690" s="203"/>
    </row>
    <row r="691" ht="15.75" customHeight="1">
      <c r="F691" s="203"/>
    </row>
    <row r="692" ht="15.75" customHeight="1">
      <c r="F692" s="203"/>
    </row>
    <row r="693" ht="15.75" customHeight="1">
      <c r="F693" s="203"/>
    </row>
    <row r="694" ht="15.75" customHeight="1">
      <c r="F694" s="203"/>
    </row>
    <row r="695" ht="15.75" customHeight="1">
      <c r="F695" s="203"/>
    </row>
    <row r="696" ht="15.75" customHeight="1">
      <c r="F696" s="203"/>
    </row>
    <row r="697" ht="15.75" customHeight="1">
      <c r="F697" s="203"/>
    </row>
    <row r="698" ht="15.75" customHeight="1">
      <c r="F698" s="203"/>
    </row>
    <row r="699" ht="15.75" customHeight="1">
      <c r="F699" s="203"/>
    </row>
    <row r="700" ht="15.75" customHeight="1">
      <c r="F700" s="203"/>
    </row>
    <row r="701" ht="15.75" customHeight="1">
      <c r="F701" s="203"/>
    </row>
    <row r="702" ht="15.75" customHeight="1">
      <c r="F702" s="203"/>
    </row>
    <row r="703" ht="15.75" customHeight="1">
      <c r="F703" s="203"/>
    </row>
    <row r="704" ht="15.75" customHeight="1">
      <c r="F704" s="203"/>
    </row>
    <row r="705" ht="15.75" customHeight="1">
      <c r="F705" s="203"/>
    </row>
    <row r="706" ht="15.75" customHeight="1">
      <c r="F706" s="203"/>
    </row>
    <row r="707" ht="15.75" customHeight="1">
      <c r="F707" s="203"/>
    </row>
    <row r="708" ht="15.75" customHeight="1">
      <c r="F708" s="203"/>
    </row>
    <row r="709" ht="15.75" customHeight="1">
      <c r="F709" s="203"/>
    </row>
    <row r="710" ht="15.75" customHeight="1">
      <c r="F710" s="203"/>
    </row>
    <row r="711" ht="15.75" customHeight="1">
      <c r="F711" s="203"/>
    </row>
    <row r="712" ht="15.75" customHeight="1">
      <c r="F712" s="203"/>
    </row>
    <row r="713" ht="15.75" customHeight="1">
      <c r="F713" s="203"/>
    </row>
    <row r="714" ht="15.75" customHeight="1">
      <c r="F714" s="203"/>
    </row>
    <row r="715" ht="15.75" customHeight="1">
      <c r="F715" s="203"/>
    </row>
    <row r="716" ht="15.75" customHeight="1">
      <c r="F716" s="203"/>
    </row>
    <row r="717" ht="15.75" customHeight="1">
      <c r="F717" s="203"/>
    </row>
    <row r="718" ht="15.75" customHeight="1">
      <c r="F718" s="203"/>
    </row>
    <row r="719" ht="15.75" customHeight="1">
      <c r="F719" s="203"/>
    </row>
    <row r="720" ht="15.75" customHeight="1">
      <c r="F720" s="203"/>
    </row>
    <row r="721" ht="15.75" customHeight="1">
      <c r="F721" s="203"/>
    </row>
    <row r="722" ht="15.75" customHeight="1">
      <c r="F722" s="203"/>
    </row>
    <row r="723" ht="15.75" customHeight="1">
      <c r="F723" s="203"/>
    </row>
    <row r="724" ht="15.75" customHeight="1">
      <c r="F724" s="203"/>
    </row>
    <row r="725" ht="15.75" customHeight="1">
      <c r="F725" s="203"/>
    </row>
    <row r="726" ht="15.75" customHeight="1">
      <c r="F726" s="203"/>
    </row>
    <row r="727" ht="15.75" customHeight="1">
      <c r="F727" s="203"/>
    </row>
    <row r="728" ht="15.75" customHeight="1">
      <c r="F728" s="203"/>
    </row>
    <row r="729" ht="15.75" customHeight="1">
      <c r="F729" s="203"/>
    </row>
    <row r="730" ht="15.75" customHeight="1">
      <c r="F730" s="203"/>
    </row>
    <row r="731" ht="15.75" customHeight="1">
      <c r="F731" s="203"/>
    </row>
    <row r="732" ht="15.75" customHeight="1">
      <c r="F732" s="203"/>
    </row>
    <row r="733" ht="15.75" customHeight="1">
      <c r="F733" s="203"/>
    </row>
    <row r="734" ht="15.75" customHeight="1">
      <c r="F734" s="203"/>
    </row>
    <row r="735" ht="15.75" customHeight="1">
      <c r="F735" s="203"/>
    </row>
    <row r="736" ht="15.75" customHeight="1">
      <c r="F736" s="203"/>
    </row>
    <row r="737" ht="15.75" customHeight="1">
      <c r="F737" s="203"/>
    </row>
    <row r="738" ht="15.75" customHeight="1">
      <c r="F738" s="203"/>
    </row>
    <row r="739" ht="15.75" customHeight="1">
      <c r="F739" s="203"/>
    </row>
    <row r="740" ht="15.75" customHeight="1">
      <c r="F740" s="203"/>
    </row>
    <row r="741" ht="15.75" customHeight="1">
      <c r="F741" s="203"/>
    </row>
    <row r="742" ht="15.75" customHeight="1">
      <c r="F742" s="203"/>
    </row>
    <row r="743" ht="15.75" customHeight="1">
      <c r="F743" s="203"/>
    </row>
    <row r="744" ht="15.75" customHeight="1">
      <c r="F744" s="203"/>
    </row>
    <row r="745" ht="15.75" customHeight="1">
      <c r="F745" s="203"/>
    </row>
    <row r="746" ht="15.75" customHeight="1">
      <c r="F746" s="203"/>
    </row>
    <row r="747" ht="15.75" customHeight="1">
      <c r="F747" s="203"/>
    </row>
    <row r="748" ht="15.75" customHeight="1">
      <c r="F748" s="203"/>
    </row>
    <row r="749" ht="15.75" customHeight="1">
      <c r="F749" s="203"/>
    </row>
    <row r="750" ht="15.75" customHeight="1">
      <c r="F750" s="203"/>
    </row>
    <row r="751" ht="15.75" customHeight="1">
      <c r="F751" s="203"/>
    </row>
    <row r="752" ht="15.75" customHeight="1">
      <c r="F752" s="203"/>
    </row>
    <row r="753" ht="15.75" customHeight="1">
      <c r="F753" s="203"/>
    </row>
    <row r="754" ht="15.75" customHeight="1">
      <c r="F754" s="203"/>
    </row>
    <row r="755" ht="15.75" customHeight="1">
      <c r="F755" s="203"/>
    </row>
    <row r="756" ht="15.75" customHeight="1">
      <c r="F756" s="203"/>
    </row>
    <row r="757" ht="15.75" customHeight="1">
      <c r="F757" s="203"/>
    </row>
    <row r="758" ht="15.75" customHeight="1">
      <c r="F758" s="203"/>
    </row>
    <row r="759" ht="15.75" customHeight="1">
      <c r="F759" s="203"/>
    </row>
    <row r="760" ht="15.75" customHeight="1">
      <c r="F760" s="203"/>
    </row>
    <row r="761" ht="15.75" customHeight="1">
      <c r="F761" s="203"/>
    </row>
    <row r="762" ht="15.75" customHeight="1">
      <c r="F762" s="203"/>
    </row>
    <row r="763" ht="15.75" customHeight="1">
      <c r="F763" s="203"/>
    </row>
    <row r="764" ht="15.75" customHeight="1">
      <c r="F764" s="203"/>
    </row>
    <row r="765" ht="15.75" customHeight="1">
      <c r="F765" s="203"/>
    </row>
    <row r="766" ht="15.75" customHeight="1">
      <c r="F766" s="203"/>
    </row>
    <row r="767" ht="15.75" customHeight="1">
      <c r="F767" s="203"/>
    </row>
    <row r="768" ht="15.75" customHeight="1">
      <c r="F768" s="203"/>
    </row>
    <row r="769" ht="15.75" customHeight="1">
      <c r="F769" s="203"/>
    </row>
    <row r="770" ht="15.75" customHeight="1">
      <c r="F770" s="203"/>
    </row>
    <row r="771" ht="15.75" customHeight="1">
      <c r="F771" s="203"/>
    </row>
    <row r="772" ht="15.75" customHeight="1">
      <c r="F772" s="203"/>
    </row>
    <row r="773" ht="15.75" customHeight="1">
      <c r="F773" s="203"/>
    </row>
    <row r="774" ht="15.75" customHeight="1">
      <c r="F774" s="203"/>
    </row>
    <row r="775" ht="15.75" customHeight="1">
      <c r="F775" s="203"/>
    </row>
    <row r="776" ht="15.75" customHeight="1">
      <c r="F776" s="203"/>
    </row>
    <row r="777" ht="15.75" customHeight="1">
      <c r="F777" s="203"/>
    </row>
    <row r="778" ht="15.75" customHeight="1">
      <c r="F778" s="203"/>
    </row>
    <row r="779" ht="15.75" customHeight="1">
      <c r="F779" s="203"/>
    </row>
    <row r="780" ht="15.75" customHeight="1">
      <c r="F780" s="203"/>
    </row>
    <row r="781" ht="15.75" customHeight="1">
      <c r="F781" s="203"/>
    </row>
    <row r="782" ht="15.75" customHeight="1">
      <c r="F782" s="203"/>
    </row>
    <row r="783" ht="15.75" customHeight="1">
      <c r="F783" s="203"/>
    </row>
    <row r="784" ht="15.75" customHeight="1">
      <c r="F784" s="203"/>
    </row>
    <row r="785" ht="15.75" customHeight="1">
      <c r="F785" s="203"/>
    </row>
    <row r="786" ht="15.75" customHeight="1">
      <c r="F786" s="203"/>
    </row>
    <row r="787" ht="15.75" customHeight="1">
      <c r="F787" s="203"/>
    </row>
    <row r="788" ht="15.75" customHeight="1">
      <c r="F788" s="203"/>
    </row>
    <row r="789" ht="15.75" customHeight="1">
      <c r="F789" s="203"/>
    </row>
    <row r="790" ht="15.75" customHeight="1">
      <c r="F790" s="203"/>
    </row>
    <row r="791" ht="15.75" customHeight="1">
      <c r="F791" s="203"/>
    </row>
    <row r="792" ht="15.75" customHeight="1">
      <c r="F792" s="203"/>
    </row>
    <row r="793" ht="15.75" customHeight="1">
      <c r="F793" s="203"/>
    </row>
    <row r="794" ht="15.75" customHeight="1">
      <c r="F794" s="203"/>
    </row>
    <row r="795" ht="15.75" customHeight="1">
      <c r="F795" s="203"/>
    </row>
    <row r="796" ht="15.75" customHeight="1">
      <c r="F796" s="203"/>
    </row>
    <row r="797" ht="15.75" customHeight="1">
      <c r="F797" s="203"/>
    </row>
    <row r="798" ht="15.75" customHeight="1">
      <c r="F798" s="203"/>
    </row>
    <row r="799" ht="15.75" customHeight="1">
      <c r="F799" s="203"/>
    </row>
    <row r="800" ht="15.75" customHeight="1">
      <c r="F800" s="203"/>
    </row>
    <row r="801" ht="15.75" customHeight="1">
      <c r="F801" s="203"/>
    </row>
    <row r="802" ht="15.75" customHeight="1">
      <c r="F802" s="203"/>
    </row>
    <row r="803" ht="15.75" customHeight="1">
      <c r="F803" s="203"/>
    </row>
    <row r="804" ht="15.75" customHeight="1">
      <c r="F804" s="203"/>
    </row>
    <row r="805" ht="15.75" customHeight="1">
      <c r="F805" s="203"/>
    </row>
    <row r="806" ht="15.75" customHeight="1">
      <c r="F806" s="203"/>
    </row>
    <row r="807" ht="15.75" customHeight="1">
      <c r="F807" s="203"/>
    </row>
    <row r="808" ht="15.75" customHeight="1">
      <c r="F808" s="203"/>
    </row>
    <row r="809" ht="15.75" customHeight="1">
      <c r="F809" s="203"/>
    </row>
    <row r="810" ht="15.75" customHeight="1">
      <c r="F810" s="203"/>
    </row>
    <row r="811" ht="15.75" customHeight="1">
      <c r="F811" s="203"/>
    </row>
    <row r="812" ht="15.75" customHeight="1">
      <c r="F812" s="203"/>
    </row>
    <row r="813" ht="15.75" customHeight="1">
      <c r="F813" s="203"/>
    </row>
    <row r="814" ht="15.75" customHeight="1">
      <c r="F814" s="203"/>
    </row>
    <row r="815" ht="15.75" customHeight="1">
      <c r="F815" s="203"/>
    </row>
    <row r="816" ht="15.75" customHeight="1">
      <c r="F816" s="203"/>
    </row>
    <row r="817" ht="15.75" customHeight="1">
      <c r="F817" s="203"/>
    </row>
    <row r="818" ht="15.75" customHeight="1">
      <c r="F818" s="203"/>
    </row>
    <row r="819" ht="15.75" customHeight="1">
      <c r="F819" s="203"/>
    </row>
    <row r="820" ht="15.75" customHeight="1">
      <c r="F820" s="203"/>
    </row>
    <row r="821" ht="15.75" customHeight="1">
      <c r="F821" s="203"/>
    </row>
    <row r="822" ht="15.75" customHeight="1">
      <c r="F822" s="203"/>
    </row>
    <row r="823" ht="15.75" customHeight="1">
      <c r="F823" s="203"/>
    </row>
    <row r="824" ht="15.75" customHeight="1">
      <c r="F824" s="203"/>
    </row>
    <row r="825" ht="15.75" customHeight="1">
      <c r="F825" s="203"/>
    </row>
    <row r="826" ht="15.75" customHeight="1">
      <c r="F826" s="203"/>
    </row>
    <row r="827" ht="15.75" customHeight="1">
      <c r="F827" s="203"/>
    </row>
    <row r="828" ht="15.75" customHeight="1">
      <c r="F828" s="203"/>
    </row>
    <row r="829" ht="15.75" customHeight="1">
      <c r="F829" s="203"/>
    </row>
    <row r="830" ht="15.75" customHeight="1">
      <c r="F830" s="203"/>
    </row>
    <row r="831" ht="15.75" customHeight="1">
      <c r="F831" s="203"/>
    </row>
    <row r="832" ht="15.75" customHeight="1">
      <c r="F832" s="203"/>
    </row>
    <row r="833" ht="15.75" customHeight="1">
      <c r="F833" s="203"/>
    </row>
    <row r="834" ht="15.75" customHeight="1">
      <c r="F834" s="203"/>
    </row>
    <row r="835" ht="15.75" customHeight="1">
      <c r="F835" s="203"/>
    </row>
    <row r="836" ht="15.75" customHeight="1">
      <c r="F836" s="203"/>
    </row>
    <row r="837" ht="15.75" customHeight="1">
      <c r="F837" s="203"/>
    </row>
    <row r="838" ht="15.75" customHeight="1">
      <c r="F838" s="203"/>
    </row>
    <row r="839" ht="15.75" customHeight="1">
      <c r="F839" s="203"/>
    </row>
    <row r="840" ht="15.75" customHeight="1">
      <c r="F840" s="203"/>
    </row>
    <row r="841" ht="15.75" customHeight="1">
      <c r="F841" s="203"/>
    </row>
    <row r="842" ht="15.75" customHeight="1">
      <c r="F842" s="203"/>
    </row>
    <row r="843" ht="15.75" customHeight="1">
      <c r="F843" s="203"/>
    </row>
    <row r="844" ht="15.75" customHeight="1">
      <c r="F844" s="203"/>
    </row>
    <row r="845" ht="15.75" customHeight="1">
      <c r="F845" s="203"/>
    </row>
    <row r="846" ht="15.75" customHeight="1">
      <c r="F846" s="203"/>
    </row>
    <row r="847" ht="15.75" customHeight="1">
      <c r="F847" s="203"/>
    </row>
    <row r="848" ht="15.75" customHeight="1">
      <c r="F848" s="203"/>
    </row>
    <row r="849" ht="15.75" customHeight="1">
      <c r="F849" s="203"/>
    </row>
    <row r="850" ht="15.75" customHeight="1">
      <c r="F850" s="203"/>
    </row>
    <row r="851" ht="15.75" customHeight="1">
      <c r="F851" s="203"/>
    </row>
    <row r="852" ht="15.75" customHeight="1">
      <c r="F852" s="203"/>
    </row>
    <row r="853" ht="15.75" customHeight="1">
      <c r="F853" s="203"/>
    </row>
    <row r="854" ht="15.75" customHeight="1">
      <c r="F854" s="203"/>
    </row>
    <row r="855" ht="15.75" customHeight="1">
      <c r="F855" s="203"/>
    </row>
    <row r="856" ht="15.75" customHeight="1">
      <c r="F856" s="203"/>
    </row>
    <row r="857" ht="15.75" customHeight="1">
      <c r="F857" s="203"/>
    </row>
    <row r="858" ht="15.75" customHeight="1">
      <c r="F858" s="203"/>
    </row>
    <row r="859" ht="15.75" customHeight="1">
      <c r="F859" s="203"/>
    </row>
    <row r="860" ht="15.75" customHeight="1">
      <c r="F860" s="203"/>
    </row>
    <row r="861" ht="15.75" customHeight="1">
      <c r="F861" s="203"/>
    </row>
    <row r="862" ht="15.75" customHeight="1">
      <c r="F862" s="203"/>
    </row>
    <row r="863" ht="15.75" customHeight="1">
      <c r="F863" s="203"/>
    </row>
    <row r="864" ht="15.75" customHeight="1">
      <c r="F864" s="203"/>
    </row>
    <row r="865" ht="15.75" customHeight="1">
      <c r="F865" s="203"/>
    </row>
    <row r="866" ht="15.75" customHeight="1">
      <c r="F866" s="203"/>
    </row>
    <row r="867" ht="15.75" customHeight="1">
      <c r="F867" s="203"/>
    </row>
    <row r="868" ht="15.75" customHeight="1">
      <c r="F868" s="203"/>
    </row>
    <row r="869" ht="15.75" customHeight="1">
      <c r="F869" s="203"/>
    </row>
    <row r="870" ht="15.75" customHeight="1">
      <c r="F870" s="203"/>
    </row>
    <row r="871" ht="15.75" customHeight="1">
      <c r="F871" s="203"/>
    </row>
    <row r="872" ht="15.75" customHeight="1">
      <c r="F872" s="203"/>
    </row>
    <row r="873" ht="15.75" customHeight="1">
      <c r="F873" s="203"/>
    </row>
    <row r="874" ht="15.75" customHeight="1">
      <c r="F874" s="203"/>
    </row>
    <row r="875" ht="15.75" customHeight="1">
      <c r="F875" s="203"/>
    </row>
    <row r="876" ht="15.75" customHeight="1">
      <c r="F876" s="203"/>
    </row>
    <row r="877" ht="15.75" customHeight="1">
      <c r="F877" s="203"/>
    </row>
    <row r="878" ht="15.75" customHeight="1">
      <c r="F878" s="203"/>
    </row>
    <row r="879" ht="15.75" customHeight="1">
      <c r="F879" s="203"/>
    </row>
    <row r="880" ht="15.75" customHeight="1">
      <c r="F880" s="203"/>
    </row>
    <row r="881" ht="15.75" customHeight="1">
      <c r="F881" s="203"/>
    </row>
    <row r="882" ht="15.75" customHeight="1">
      <c r="F882" s="203"/>
    </row>
    <row r="883" ht="15.75" customHeight="1">
      <c r="F883" s="203"/>
    </row>
    <row r="884" ht="15.75" customHeight="1">
      <c r="F884" s="203"/>
    </row>
    <row r="885" ht="15.75" customHeight="1">
      <c r="F885" s="203"/>
    </row>
    <row r="886" ht="15.75" customHeight="1">
      <c r="F886" s="203"/>
    </row>
    <row r="887" ht="15.75" customHeight="1">
      <c r="F887" s="203"/>
    </row>
    <row r="888" ht="15.75" customHeight="1">
      <c r="F888" s="203"/>
    </row>
    <row r="889" ht="15.75" customHeight="1">
      <c r="F889" s="203"/>
    </row>
    <row r="890" ht="15.75" customHeight="1">
      <c r="F890" s="203"/>
    </row>
    <row r="891" ht="15.75" customHeight="1">
      <c r="F891" s="203"/>
    </row>
    <row r="892" ht="15.75" customHeight="1">
      <c r="F892" s="203"/>
    </row>
    <row r="893" ht="15.75" customHeight="1">
      <c r="F893" s="203"/>
    </row>
    <row r="894" ht="15.75" customHeight="1">
      <c r="F894" s="203"/>
    </row>
    <row r="895" ht="15.75" customHeight="1">
      <c r="F895" s="203"/>
    </row>
    <row r="896" ht="15.75" customHeight="1">
      <c r="F896" s="203"/>
    </row>
    <row r="897" ht="15.75" customHeight="1">
      <c r="F897" s="203"/>
    </row>
    <row r="898" ht="15.75" customHeight="1">
      <c r="F898" s="203"/>
    </row>
    <row r="899" ht="15.75" customHeight="1">
      <c r="F899" s="203"/>
    </row>
    <row r="900" ht="15.75" customHeight="1">
      <c r="F900" s="203"/>
    </row>
    <row r="901" ht="15.75" customHeight="1">
      <c r="F901" s="203"/>
    </row>
    <row r="902" ht="15.75" customHeight="1">
      <c r="F902" s="203"/>
    </row>
    <row r="903" ht="15.75" customHeight="1">
      <c r="F903" s="203"/>
    </row>
    <row r="904" ht="15.75" customHeight="1">
      <c r="F904" s="203"/>
    </row>
    <row r="905" ht="15.75" customHeight="1">
      <c r="F905" s="203"/>
    </row>
    <row r="906" ht="15.75" customHeight="1">
      <c r="F906" s="203"/>
    </row>
    <row r="907" ht="15.75" customHeight="1">
      <c r="F907" s="203"/>
    </row>
    <row r="908" ht="15.75" customHeight="1">
      <c r="F908" s="203"/>
    </row>
    <row r="909" ht="15.75" customHeight="1">
      <c r="F909" s="203"/>
    </row>
    <row r="910" ht="15.75" customHeight="1">
      <c r="F910" s="203"/>
    </row>
    <row r="911" ht="15.75" customHeight="1">
      <c r="F911" s="203"/>
    </row>
    <row r="912" ht="15.75" customHeight="1">
      <c r="F912" s="203"/>
    </row>
    <row r="913" ht="15.75" customHeight="1">
      <c r="F913" s="203"/>
    </row>
    <row r="914" ht="15.75" customHeight="1">
      <c r="F914" s="203"/>
    </row>
    <row r="915" ht="15.75" customHeight="1">
      <c r="F915" s="203"/>
    </row>
    <row r="916" ht="15.75" customHeight="1">
      <c r="F916" s="203"/>
    </row>
    <row r="917" ht="15.75" customHeight="1">
      <c r="F917" s="203"/>
    </row>
    <row r="918" ht="15.75" customHeight="1">
      <c r="F918" s="203"/>
    </row>
    <row r="919" ht="15.75" customHeight="1">
      <c r="F919" s="203"/>
    </row>
    <row r="920" ht="15.75" customHeight="1">
      <c r="F920" s="203"/>
    </row>
    <row r="921" ht="15.75" customHeight="1">
      <c r="F921" s="203"/>
    </row>
    <row r="922" ht="15.75" customHeight="1">
      <c r="F922" s="203"/>
    </row>
    <row r="923" ht="15.75" customHeight="1">
      <c r="F923" s="203"/>
    </row>
    <row r="924" ht="15.75" customHeight="1">
      <c r="F924" s="203"/>
    </row>
    <row r="925" ht="15.75" customHeight="1">
      <c r="F925" s="203"/>
    </row>
    <row r="926" ht="15.75" customHeight="1">
      <c r="F926" s="203"/>
    </row>
    <row r="927" ht="15.75" customHeight="1">
      <c r="F927" s="203"/>
    </row>
    <row r="928" ht="15.75" customHeight="1">
      <c r="F928" s="203"/>
    </row>
    <row r="929" ht="15.75" customHeight="1">
      <c r="F929" s="203"/>
    </row>
    <row r="930" ht="15.75" customHeight="1">
      <c r="F930" s="203"/>
    </row>
    <row r="931" ht="15.75" customHeight="1">
      <c r="F931" s="203"/>
    </row>
    <row r="932" ht="15.75" customHeight="1">
      <c r="F932" s="203"/>
    </row>
    <row r="933" ht="15.75" customHeight="1">
      <c r="F933" s="203"/>
    </row>
    <row r="934" ht="15.75" customHeight="1">
      <c r="F934" s="203"/>
    </row>
    <row r="935" ht="15.75" customHeight="1">
      <c r="F935" s="203"/>
    </row>
    <row r="936" ht="15.75" customHeight="1">
      <c r="F936" s="203"/>
    </row>
    <row r="937" ht="15.75" customHeight="1">
      <c r="F937" s="203"/>
    </row>
    <row r="938" ht="15.75" customHeight="1">
      <c r="F938" s="203"/>
    </row>
    <row r="939" ht="15.75" customHeight="1">
      <c r="F939" s="203"/>
    </row>
    <row r="940" ht="15.75" customHeight="1">
      <c r="F940" s="203"/>
    </row>
    <row r="941" ht="15.75" customHeight="1">
      <c r="F941" s="203"/>
    </row>
    <row r="942" ht="15.75" customHeight="1">
      <c r="F942" s="203"/>
    </row>
    <row r="943" ht="15.75" customHeight="1">
      <c r="F943" s="203"/>
    </row>
    <row r="944" ht="15.75" customHeight="1">
      <c r="F944" s="203"/>
    </row>
    <row r="945" ht="15.75" customHeight="1">
      <c r="F945" s="203"/>
    </row>
    <row r="946" ht="15.75" customHeight="1">
      <c r="F946" s="203"/>
    </row>
    <row r="947" ht="15.75" customHeight="1">
      <c r="F947" s="203"/>
    </row>
    <row r="948" ht="15.75" customHeight="1">
      <c r="F948" s="203"/>
    </row>
    <row r="949" ht="15.75" customHeight="1">
      <c r="F949" s="203"/>
    </row>
    <row r="950" ht="15.75" customHeight="1">
      <c r="F950" s="203"/>
    </row>
    <row r="951" ht="15.75" customHeight="1">
      <c r="F951" s="203"/>
    </row>
    <row r="952" ht="15.75" customHeight="1">
      <c r="F952" s="203"/>
    </row>
    <row r="953" ht="15.75" customHeight="1">
      <c r="F953" s="203"/>
    </row>
    <row r="954" ht="15.75" customHeight="1">
      <c r="F954" s="203"/>
    </row>
    <row r="955" ht="15.75" customHeight="1">
      <c r="F955" s="203"/>
    </row>
    <row r="956" ht="15.75" customHeight="1">
      <c r="F956" s="203"/>
    </row>
    <row r="957" ht="15.75" customHeight="1">
      <c r="F957" s="203"/>
    </row>
    <row r="958" ht="15.75" customHeight="1">
      <c r="F958" s="203"/>
    </row>
    <row r="959" ht="15.75" customHeight="1">
      <c r="F959" s="203"/>
    </row>
    <row r="960" ht="15.75" customHeight="1">
      <c r="F960" s="203"/>
    </row>
    <row r="961" ht="15.75" customHeight="1">
      <c r="F961" s="203"/>
    </row>
    <row r="962" ht="15.75" customHeight="1">
      <c r="F962" s="203"/>
    </row>
    <row r="963" ht="15.75" customHeight="1">
      <c r="F963" s="203"/>
    </row>
    <row r="964" ht="15.75" customHeight="1">
      <c r="F964" s="203"/>
    </row>
    <row r="965" ht="15.75" customHeight="1">
      <c r="F965" s="203"/>
    </row>
    <row r="966" ht="15.75" customHeight="1">
      <c r="F966" s="203"/>
    </row>
    <row r="967" ht="15.75" customHeight="1">
      <c r="F967" s="203"/>
    </row>
    <row r="968" ht="15.75" customHeight="1">
      <c r="F968" s="203"/>
    </row>
    <row r="969" ht="15.75" customHeight="1">
      <c r="F969" s="203"/>
    </row>
    <row r="970" ht="15.75" customHeight="1">
      <c r="F970" s="203"/>
    </row>
    <row r="971" ht="15.75" customHeight="1">
      <c r="F971" s="203"/>
    </row>
    <row r="972" ht="15.75" customHeight="1">
      <c r="F972" s="203"/>
    </row>
    <row r="973" ht="15.75" customHeight="1">
      <c r="F973" s="203"/>
    </row>
    <row r="974" ht="15.75" customHeight="1">
      <c r="F974" s="203"/>
    </row>
    <row r="975" ht="15.75" customHeight="1">
      <c r="F975" s="203"/>
    </row>
    <row r="976" ht="15.75" customHeight="1">
      <c r="F976" s="203"/>
    </row>
    <row r="977" ht="15.75" customHeight="1">
      <c r="F977" s="203"/>
    </row>
    <row r="978" ht="15.75" customHeight="1">
      <c r="F978" s="203"/>
    </row>
    <row r="979" ht="15.75" customHeight="1">
      <c r="F979" s="203"/>
    </row>
    <row r="980" ht="15.75" customHeight="1">
      <c r="F980" s="203"/>
    </row>
    <row r="981" ht="15.75" customHeight="1">
      <c r="F981" s="203"/>
    </row>
    <row r="982" ht="15.75" customHeight="1">
      <c r="F982" s="203"/>
    </row>
    <row r="983" ht="15.75" customHeight="1">
      <c r="F983" s="203"/>
    </row>
    <row r="984" ht="15.75" customHeight="1">
      <c r="F984" s="203"/>
    </row>
    <row r="985" ht="15.75" customHeight="1">
      <c r="F985" s="203"/>
    </row>
    <row r="986" ht="15.75" customHeight="1">
      <c r="F986" s="203"/>
    </row>
    <row r="987" ht="15.75" customHeight="1">
      <c r="F987" s="203"/>
    </row>
    <row r="988" ht="15.75" customHeight="1">
      <c r="F988" s="203"/>
    </row>
    <row r="989" ht="15.75" customHeight="1">
      <c r="F989" s="203"/>
    </row>
    <row r="990" ht="15.75" customHeight="1">
      <c r="F990" s="203"/>
    </row>
    <row r="991" ht="15.75" customHeight="1">
      <c r="F991" s="203"/>
    </row>
    <row r="992" ht="15.75" customHeight="1">
      <c r="F992" s="203"/>
    </row>
    <row r="993" ht="15.75" customHeight="1">
      <c r="F993" s="203"/>
    </row>
    <row r="994" ht="15.75" customHeight="1">
      <c r="F994" s="203"/>
    </row>
    <row r="995" ht="15.75" customHeight="1">
      <c r="F995" s="203"/>
    </row>
    <row r="996" ht="15.75" customHeight="1">
      <c r="F996" s="203"/>
    </row>
    <row r="997" ht="15.75" customHeight="1">
      <c r="F997" s="203"/>
    </row>
    <row r="998" ht="15.75" customHeight="1">
      <c r="F998" s="203"/>
    </row>
    <row r="999" ht="15.75" customHeight="1">
      <c r="F999" s="203"/>
    </row>
    <row r="1000" ht="15.75" customHeight="1">
      <c r="F1000" s="203"/>
    </row>
  </sheetData>
  <conditionalFormatting sqref="F3:F12 F15:F29 G30">
    <cfRule type="cellIs" dxfId="0" priority="1" stopIfTrue="1" operator="greaterThan">
      <formula>0</formula>
    </cfRule>
  </conditionalFormatting>
  <conditionalFormatting sqref="F3:F12 F15:F29 G30">
    <cfRule type="cellIs" dxfId="1" priority="2" stopIfTrue="1" operator="lessThanOrEqual">
      <formula>0</formula>
    </cfRule>
  </conditionalFormatting>
  <conditionalFormatting sqref="F31:G31">
    <cfRule type="cellIs" dxfId="0" priority="3" stopIfTrue="1" operator="greaterThan">
      <formula>0</formula>
    </cfRule>
  </conditionalFormatting>
  <conditionalFormatting sqref="F31:G31">
    <cfRule type="cellIs" dxfId="1" priority="4" stopIfTrue="1" operator="lessThanOrEqual">
      <formula>0</formula>
    </cfRule>
  </conditionalFormatting>
  <conditionalFormatting sqref="F30">
    <cfRule type="cellIs" dxfId="0" priority="5" stopIfTrue="1" operator="greaterThan">
      <formula>0</formula>
    </cfRule>
  </conditionalFormatting>
  <conditionalFormatting sqref="F30">
    <cfRule type="cellIs" dxfId="1" priority="6" stopIfTrue="1" operator="lessThanOrEqual">
      <formula>0</formula>
    </cfRule>
  </conditionalFormatting>
  <conditionalFormatting sqref="F13">
    <cfRule type="cellIs" dxfId="0" priority="7" stopIfTrue="1" operator="greaterThan">
      <formula>0</formula>
    </cfRule>
  </conditionalFormatting>
  <conditionalFormatting sqref="F13">
    <cfRule type="cellIs" dxfId="1" priority="8" stopIfTrue="1" operator="lessThanOrEqual">
      <formula>0</formula>
    </cfRule>
  </conditionalFormatting>
  <conditionalFormatting sqref="F3:F12 F15:F29">
    <cfRule type="cellIs" dxfId="0" priority="9" stopIfTrue="1" operator="greaterThan">
      <formula>0</formula>
    </cfRule>
  </conditionalFormatting>
  <conditionalFormatting sqref="F3:F12 F15:F29">
    <cfRule type="cellIs" dxfId="1" priority="10" stopIfTrue="1" operator="less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14"/>
    <col customWidth="1" min="2" max="2" width="14.29"/>
    <col customWidth="1" min="3" max="3" width="14.0"/>
    <col customWidth="1" min="4" max="4" width="13.71"/>
    <col customWidth="1" min="5" max="5" width="11.86"/>
    <col customWidth="1" min="6" max="6" width="15.14"/>
    <col customWidth="1" min="7" max="8" width="14.86"/>
    <col customWidth="1" min="9" max="9" width="11.86"/>
    <col customWidth="1" min="10" max="10" width="15.0"/>
    <col customWidth="1" min="11" max="11" width="16.14"/>
    <col customWidth="1" min="12" max="12" width="16.43"/>
    <col customWidth="1" min="13" max="13" width="11.86"/>
    <col customWidth="1" min="14" max="14" width="12.29"/>
    <col customWidth="1" min="15" max="15" width="12.43"/>
    <col customWidth="1" min="16" max="26" width="9.14"/>
  </cols>
  <sheetData>
    <row r="1" ht="10.5" hidden="1" customHeight="1">
      <c r="A1" s="78" t="s">
        <v>315</v>
      </c>
      <c r="B1" s="78" t="s">
        <v>58</v>
      </c>
      <c r="C1" s="78" t="s">
        <v>59</v>
      </c>
      <c r="D1" s="78" t="s">
        <v>60</v>
      </c>
      <c r="E1" s="78" t="s">
        <v>61</v>
      </c>
      <c r="F1" s="78" t="s">
        <v>62</v>
      </c>
      <c r="G1" s="78" t="s">
        <v>63</v>
      </c>
      <c r="H1" s="78" t="s">
        <v>64</v>
      </c>
      <c r="I1" s="78" t="s">
        <v>65</v>
      </c>
      <c r="J1" s="78" t="s">
        <v>66</v>
      </c>
      <c r="K1" s="78" t="s">
        <v>67</v>
      </c>
      <c r="L1" s="78" t="s">
        <v>68</v>
      </c>
      <c r="M1" s="78" t="s">
        <v>69</v>
      </c>
      <c r="N1" s="78" t="s">
        <v>70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0.5" hidden="1" customHeight="1">
      <c r="A2" s="82" t="s">
        <v>40</v>
      </c>
      <c r="B2" s="83">
        <v>3856145.7899999996</v>
      </c>
      <c r="C2" s="83">
        <v>3851662.14</v>
      </c>
      <c r="D2" s="83">
        <v>3954204.62</v>
      </c>
      <c r="E2" s="83">
        <v>3982440.2399999993</v>
      </c>
      <c r="F2" s="83">
        <v>4176229.78</v>
      </c>
      <c r="G2" s="83">
        <v>4176563.11</v>
      </c>
      <c r="H2" s="83">
        <v>4051297.94</v>
      </c>
      <c r="I2" s="83">
        <v>4116689.83</v>
      </c>
      <c r="J2" s="83">
        <v>4007522.07</v>
      </c>
      <c r="K2" s="83">
        <v>3974581.97</v>
      </c>
      <c r="L2" s="83">
        <v>4168402.62</v>
      </c>
      <c r="M2" s="83">
        <v>4217705.230000002</v>
      </c>
      <c r="N2" s="89">
        <f t="shared" ref="N2:N14" si="1">SUM(B2:M2)</f>
        <v>48533445.34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0.5" hidden="1" customHeight="1">
      <c r="A3" s="82" t="s">
        <v>71</v>
      </c>
      <c r="B3" s="83">
        <v>-145107.19</v>
      </c>
      <c r="C3" s="83">
        <v>-141612.73</v>
      </c>
      <c r="D3" s="83">
        <v>-164934.96</v>
      </c>
      <c r="E3" s="83">
        <v>-162347.98</v>
      </c>
      <c r="F3" s="83">
        <v>-165222.28</v>
      </c>
      <c r="G3" s="83">
        <v>-165234.43</v>
      </c>
      <c r="H3" s="83">
        <v>-160652.4</v>
      </c>
      <c r="I3" s="83">
        <v>-163049.06</v>
      </c>
      <c r="J3" s="83">
        <v>-159064.43</v>
      </c>
      <c r="K3" s="83">
        <v>-157862.08</v>
      </c>
      <c r="L3" s="83">
        <v>-163909.52</v>
      </c>
      <c r="M3" s="83">
        <v>-166736.12</v>
      </c>
      <c r="N3" s="89">
        <f t="shared" si="1"/>
        <v>-1915733.18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0.5" hidden="1" customHeight="1">
      <c r="A4" s="82" t="s">
        <v>72</v>
      </c>
      <c r="B4" s="83">
        <f t="shared" ref="B4:M4" si="2">B2+B3</f>
        <v>3711038.6</v>
      </c>
      <c r="C4" s="83">
        <f t="shared" si="2"/>
        <v>3710049.41</v>
      </c>
      <c r="D4" s="83">
        <f t="shared" si="2"/>
        <v>3789269.66</v>
      </c>
      <c r="E4" s="83">
        <f t="shared" si="2"/>
        <v>3820092.26</v>
      </c>
      <c r="F4" s="83">
        <f t="shared" si="2"/>
        <v>4011007.5</v>
      </c>
      <c r="G4" s="83">
        <f t="shared" si="2"/>
        <v>4011328.68</v>
      </c>
      <c r="H4" s="83">
        <f t="shared" si="2"/>
        <v>3890645.54</v>
      </c>
      <c r="I4" s="83">
        <f t="shared" si="2"/>
        <v>3953640.77</v>
      </c>
      <c r="J4" s="83">
        <f t="shared" si="2"/>
        <v>3848457.64</v>
      </c>
      <c r="K4" s="83">
        <f t="shared" si="2"/>
        <v>3816719.89</v>
      </c>
      <c r="L4" s="83">
        <f t="shared" si="2"/>
        <v>4004493.1</v>
      </c>
      <c r="M4" s="83">
        <f t="shared" si="2"/>
        <v>4050969.11</v>
      </c>
      <c r="N4" s="89">
        <f t="shared" si="1"/>
        <v>46617712.16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.5" hidden="1" customHeight="1">
      <c r="A5" s="82" t="s">
        <v>73</v>
      </c>
      <c r="B5" s="83">
        <v>0.0</v>
      </c>
      <c r="C5" s="83">
        <v>0.0</v>
      </c>
      <c r="D5" s="83">
        <v>0.0</v>
      </c>
      <c r="E5" s="83">
        <v>0.0</v>
      </c>
      <c r="F5" s="83">
        <v>0.0</v>
      </c>
      <c r="G5" s="83">
        <v>0.0</v>
      </c>
      <c r="H5" s="83">
        <v>0.0</v>
      </c>
      <c r="I5" s="83">
        <v>0.0</v>
      </c>
      <c r="J5" s="83">
        <v>0.0</v>
      </c>
      <c r="K5" s="83">
        <v>0.0</v>
      </c>
      <c r="L5" s="83">
        <v>0.0</v>
      </c>
      <c r="M5" s="83">
        <v>0.0</v>
      </c>
      <c r="N5" s="89">
        <f t="shared" si="1"/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0.5" hidden="1" customHeight="1">
      <c r="A6" s="82" t="s">
        <v>75</v>
      </c>
      <c r="B6" s="83">
        <f t="shared" ref="B6:M6" si="3">B4+B5</f>
        <v>3711038.6</v>
      </c>
      <c r="C6" s="83">
        <f t="shared" si="3"/>
        <v>3710049.41</v>
      </c>
      <c r="D6" s="83">
        <f t="shared" si="3"/>
        <v>3789269.66</v>
      </c>
      <c r="E6" s="83">
        <f t="shared" si="3"/>
        <v>3820092.26</v>
      </c>
      <c r="F6" s="83">
        <f t="shared" si="3"/>
        <v>4011007.5</v>
      </c>
      <c r="G6" s="83">
        <f t="shared" si="3"/>
        <v>4011328.68</v>
      </c>
      <c r="H6" s="83">
        <f t="shared" si="3"/>
        <v>3890645.54</v>
      </c>
      <c r="I6" s="83">
        <f t="shared" si="3"/>
        <v>3953640.77</v>
      </c>
      <c r="J6" s="83">
        <f t="shared" si="3"/>
        <v>3848457.64</v>
      </c>
      <c r="K6" s="83">
        <f t="shared" si="3"/>
        <v>3816719.89</v>
      </c>
      <c r="L6" s="83">
        <f t="shared" si="3"/>
        <v>4004493.1</v>
      </c>
      <c r="M6" s="83">
        <f t="shared" si="3"/>
        <v>4050969.11</v>
      </c>
      <c r="N6" s="89">
        <f t="shared" si="1"/>
        <v>46617712.16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.5" hidden="1" customHeight="1">
      <c r="A7" s="82" t="s">
        <v>77</v>
      </c>
      <c r="B7" s="83">
        <v>-615815.52</v>
      </c>
      <c r="C7" s="83">
        <v>-1059385.33</v>
      </c>
      <c r="D7" s="83">
        <v>-597703.73</v>
      </c>
      <c r="E7" s="83">
        <v>-585851.07</v>
      </c>
      <c r="F7" s="83">
        <v>-626909.63</v>
      </c>
      <c r="G7" s="83">
        <v>-658123.18</v>
      </c>
      <c r="H7" s="83">
        <v>-669764.11</v>
      </c>
      <c r="I7" s="83">
        <v>-653895.3</v>
      </c>
      <c r="J7" s="83">
        <v>-661060.21</v>
      </c>
      <c r="K7" s="83">
        <v>-661990.94</v>
      </c>
      <c r="L7" s="83">
        <v>-724479.74</v>
      </c>
      <c r="M7" s="83">
        <v>-732164.66</v>
      </c>
      <c r="N7" s="89">
        <f t="shared" si="1"/>
        <v>-8247143.42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0.5" hidden="1" customHeight="1">
      <c r="A8" s="100" t="s">
        <v>80</v>
      </c>
      <c r="B8" s="102">
        <f t="shared" ref="B8:M8" si="4">B6+B7</f>
        <v>3095223.08</v>
      </c>
      <c r="C8" s="102">
        <f t="shared" si="4"/>
        <v>2650664.08</v>
      </c>
      <c r="D8" s="102">
        <f t="shared" si="4"/>
        <v>3191565.93</v>
      </c>
      <c r="E8" s="102">
        <f t="shared" si="4"/>
        <v>3234241.19</v>
      </c>
      <c r="F8" s="102">
        <f t="shared" si="4"/>
        <v>3384097.87</v>
      </c>
      <c r="G8" s="102">
        <f t="shared" si="4"/>
        <v>3353205.5</v>
      </c>
      <c r="H8" s="102">
        <f t="shared" si="4"/>
        <v>3220881.43</v>
      </c>
      <c r="I8" s="102">
        <f t="shared" si="4"/>
        <v>3299745.47</v>
      </c>
      <c r="J8" s="102">
        <f t="shared" si="4"/>
        <v>3187397.43</v>
      </c>
      <c r="K8" s="102">
        <f t="shared" si="4"/>
        <v>3154728.95</v>
      </c>
      <c r="L8" s="102">
        <f t="shared" si="4"/>
        <v>3280013.36</v>
      </c>
      <c r="M8" s="102">
        <f t="shared" si="4"/>
        <v>3318804.45</v>
      </c>
      <c r="N8" s="102">
        <f t="shared" si="1"/>
        <v>38370568.74</v>
      </c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0.5" hidden="1" customHeight="1">
      <c r="A9" s="82" t="s">
        <v>82</v>
      </c>
      <c r="B9" s="83">
        <v>-275367.48</v>
      </c>
      <c r="C9" s="83">
        <v>-276495.33</v>
      </c>
      <c r="D9" s="83">
        <v>-276311.49</v>
      </c>
      <c r="E9" s="83">
        <v>-276396.68</v>
      </c>
      <c r="F9" s="83">
        <v>-276974.26</v>
      </c>
      <c r="G9" s="83">
        <v>-277563.42</v>
      </c>
      <c r="H9" s="83">
        <v>-277696.15</v>
      </c>
      <c r="I9" s="83">
        <v>-277857.82</v>
      </c>
      <c r="J9" s="83">
        <v>-277351.74</v>
      </c>
      <c r="K9" s="83">
        <v>-277528.89</v>
      </c>
      <c r="L9" s="83">
        <v>-277521.2</v>
      </c>
      <c r="M9" s="83">
        <v>-250724.47</v>
      </c>
      <c r="N9" s="89">
        <f t="shared" si="1"/>
        <v>-3297788.93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.5" hidden="1" customHeight="1">
      <c r="A10" s="82" t="s">
        <v>83</v>
      </c>
      <c r="B10" s="83">
        <f t="shared" ref="B10:M10" si="5">B8+B9</f>
        <v>2819855.6</v>
      </c>
      <c r="C10" s="83">
        <f t="shared" si="5"/>
        <v>2374168.75</v>
      </c>
      <c r="D10" s="83">
        <f t="shared" si="5"/>
        <v>2915254.44</v>
      </c>
      <c r="E10" s="83">
        <f t="shared" si="5"/>
        <v>2957844.51</v>
      </c>
      <c r="F10" s="83">
        <f t="shared" si="5"/>
        <v>3107123.61</v>
      </c>
      <c r="G10" s="83">
        <f t="shared" si="5"/>
        <v>3075642.08</v>
      </c>
      <c r="H10" s="83">
        <f t="shared" si="5"/>
        <v>2943185.28</v>
      </c>
      <c r="I10" s="83">
        <f t="shared" si="5"/>
        <v>3021887.65</v>
      </c>
      <c r="J10" s="83">
        <f t="shared" si="5"/>
        <v>2910045.69</v>
      </c>
      <c r="K10" s="83">
        <f t="shared" si="5"/>
        <v>2877200.06</v>
      </c>
      <c r="L10" s="83">
        <f t="shared" si="5"/>
        <v>3002492.16</v>
      </c>
      <c r="M10" s="83">
        <f t="shared" si="5"/>
        <v>3068079.98</v>
      </c>
      <c r="N10" s="89">
        <f t="shared" si="1"/>
        <v>35072779.81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0.5" hidden="1" customHeight="1">
      <c r="A11" s="82" t="s">
        <v>84</v>
      </c>
      <c r="B11" s="83">
        <v>-458700.82</v>
      </c>
      <c r="C11" s="83">
        <v>-319753.74</v>
      </c>
      <c r="D11" s="83">
        <v>-240599.96</v>
      </c>
      <c r="E11" s="83">
        <v>-303233.48</v>
      </c>
      <c r="F11" s="83">
        <v>-219542.8</v>
      </c>
      <c r="G11" s="83">
        <v>-168336.18</v>
      </c>
      <c r="H11" s="83">
        <v>-165628.07</v>
      </c>
      <c r="I11" s="83">
        <v>-137130.42</v>
      </c>
      <c r="J11" s="83">
        <v>-142937.86</v>
      </c>
      <c r="K11" s="83">
        <v>-179572.93</v>
      </c>
      <c r="L11" s="83">
        <v>-128796.04</v>
      </c>
      <c r="M11" s="83">
        <v>-44929.85000000007</v>
      </c>
      <c r="N11" s="89">
        <f t="shared" si="1"/>
        <v>-2509162.15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0.5" hidden="1" customHeight="1">
      <c r="A12" s="82" t="s">
        <v>86</v>
      </c>
      <c r="B12" s="83">
        <f t="shared" ref="B12:M12" si="6">B10+B11</f>
        <v>2361154.78</v>
      </c>
      <c r="C12" s="83">
        <f t="shared" si="6"/>
        <v>2054415.01</v>
      </c>
      <c r="D12" s="83">
        <f t="shared" si="6"/>
        <v>2674654.48</v>
      </c>
      <c r="E12" s="83">
        <f t="shared" si="6"/>
        <v>2654611.03</v>
      </c>
      <c r="F12" s="83">
        <f t="shared" si="6"/>
        <v>2887580.81</v>
      </c>
      <c r="G12" s="83">
        <f t="shared" si="6"/>
        <v>2907305.9</v>
      </c>
      <c r="H12" s="83">
        <f t="shared" si="6"/>
        <v>2777557.21</v>
      </c>
      <c r="I12" s="83">
        <f t="shared" si="6"/>
        <v>2884757.23</v>
      </c>
      <c r="J12" s="83">
        <f t="shared" si="6"/>
        <v>2767107.83</v>
      </c>
      <c r="K12" s="83">
        <f t="shared" si="6"/>
        <v>2697627.13</v>
      </c>
      <c r="L12" s="83">
        <f t="shared" si="6"/>
        <v>2873696.12</v>
      </c>
      <c r="M12" s="83">
        <f t="shared" si="6"/>
        <v>3023150.13</v>
      </c>
      <c r="N12" s="89">
        <f t="shared" si="1"/>
        <v>32563617.66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0.5" hidden="1" customHeight="1">
      <c r="A13" s="82" t="s">
        <v>87</v>
      </c>
      <c r="B13" s="83">
        <v>-444761.45</v>
      </c>
      <c r="C13" s="83">
        <v>-437569.8</v>
      </c>
      <c r="D13" s="83">
        <v>-455391.7</v>
      </c>
      <c r="E13" s="83">
        <v>-469238.95</v>
      </c>
      <c r="F13" s="83">
        <v>-490780.22</v>
      </c>
      <c r="G13" s="83">
        <v>-501537.58</v>
      </c>
      <c r="H13" s="83">
        <v>-446916.31</v>
      </c>
      <c r="I13" s="83">
        <v>-570603.26</v>
      </c>
      <c r="J13" s="83">
        <v>-518995.34</v>
      </c>
      <c r="K13" s="83">
        <v>-512205.51</v>
      </c>
      <c r="L13" s="83">
        <v>-455449.07</v>
      </c>
      <c r="M13" s="83">
        <v>-683539.73</v>
      </c>
      <c r="N13" s="89">
        <f t="shared" si="1"/>
        <v>-5986988.92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0.5" hidden="1" customHeight="1">
      <c r="A14" s="82" t="s">
        <v>89</v>
      </c>
      <c r="B14" s="83">
        <f t="shared" ref="B14:M14" si="7">B12+B13</f>
        <v>1916393.33</v>
      </c>
      <c r="C14" s="83">
        <f t="shared" si="7"/>
        <v>1616845.21</v>
      </c>
      <c r="D14" s="83">
        <f t="shared" si="7"/>
        <v>2219262.78</v>
      </c>
      <c r="E14" s="83">
        <f t="shared" si="7"/>
        <v>2185372.08</v>
      </c>
      <c r="F14" s="83">
        <f t="shared" si="7"/>
        <v>2396800.59</v>
      </c>
      <c r="G14" s="83">
        <f t="shared" si="7"/>
        <v>2405768.32</v>
      </c>
      <c r="H14" s="83">
        <f t="shared" si="7"/>
        <v>2330640.9</v>
      </c>
      <c r="I14" s="83">
        <f t="shared" si="7"/>
        <v>2314153.97</v>
      </c>
      <c r="J14" s="83">
        <f t="shared" si="7"/>
        <v>2248112.49</v>
      </c>
      <c r="K14" s="83">
        <f t="shared" si="7"/>
        <v>2185421.62</v>
      </c>
      <c r="L14" s="83">
        <f t="shared" si="7"/>
        <v>2418247.05</v>
      </c>
      <c r="M14" s="83">
        <f t="shared" si="7"/>
        <v>2339610.4</v>
      </c>
      <c r="N14" s="89">
        <f t="shared" si="1"/>
        <v>26576628.74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0.5" hidden="1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0.5" hidden="1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0.5" hidden="1" customHeight="1">
      <c r="A17" s="78" t="s">
        <v>316</v>
      </c>
      <c r="B17" s="78" t="s">
        <v>58</v>
      </c>
      <c r="C17" s="78" t="s">
        <v>59</v>
      </c>
      <c r="D17" s="78" t="s">
        <v>60</v>
      </c>
      <c r="E17" s="78" t="s">
        <v>61</v>
      </c>
      <c r="F17" s="78" t="s">
        <v>62</v>
      </c>
      <c r="G17" s="78" t="s">
        <v>63</v>
      </c>
      <c r="H17" s="78" t="s">
        <v>64</v>
      </c>
      <c r="I17" s="78" t="s">
        <v>65</v>
      </c>
      <c r="J17" s="78" t="s">
        <v>66</v>
      </c>
      <c r="K17" s="78" t="s">
        <v>67</v>
      </c>
      <c r="L17" s="78" t="s">
        <v>68</v>
      </c>
      <c r="M17" s="78" t="s">
        <v>69</v>
      </c>
      <c r="N17" s="78" t="s">
        <v>70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hidden="1" customHeight="1">
      <c r="A18" s="82" t="s">
        <v>40</v>
      </c>
      <c r="B18" s="83">
        <v>4255580.62</v>
      </c>
      <c r="C18" s="83">
        <v>4255580.62</v>
      </c>
      <c r="D18" s="83">
        <v>4299728.2</v>
      </c>
      <c r="E18" s="83">
        <v>4312550.76</v>
      </c>
      <c r="F18" s="83">
        <v>4405047.64</v>
      </c>
      <c r="G18" s="83">
        <v>4406354.11</v>
      </c>
      <c r="H18" s="83">
        <v>4406354.11</v>
      </c>
      <c r="I18" s="83">
        <v>4414743.16</v>
      </c>
      <c r="J18" s="83">
        <v>4414777.62</v>
      </c>
      <c r="K18" s="83">
        <v>4414815.74</v>
      </c>
      <c r="L18" s="83">
        <v>4476276.82</v>
      </c>
      <c r="M18" s="83">
        <v>4491045.59</v>
      </c>
      <c r="N18" s="89">
        <f t="shared" ref="N18:N30" si="8">SUM(B18:M18)</f>
        <v>52552854.99</v>
      </c>
      <c r="O18" s="4"/>
      <c r="P18" s="132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.5" hidden="1" customHeight="1">
      <c r="A19" s="82" t="s">
        <v>71</v>
      </c>
      <c r="B19" s="83">
        <v>-155328.68</v>
      </c>
      <c r="C19" s="83">
        <v>-155328.68</v>
      </c>
      <c r="D19" s="83">
        <v>-156940.01</v>
      </c>
      <c r="E19" s="83">
        <v>-157408.05</v>
      </c>
      <c r="F19" s="83">
        <v>-160784.31</v>
      </c>
      <c r="G19" s="83">
        <v>-160831.99</v>
      </c>
      <c r="H19" s="83">
        <v>-160831.99</v>
      </c>
      <c r="I19" s="83">
        <v>-161138.22</v>
      </c>
      <c r="J19" s="83">
        <v>-161139.48</v>
      </c>
      <c r="K19" s="83">
        <v>-161140.88</v>
      </c>
      <c r="L19" s="83">
        <v>-163384.2</v>
      </c>
      <c r="M19" s="83">
        <v>-163923.26</v>
      </c>
      <c r="N19" s="89">
        <f t="shared" si="8"/>
        <v>-1918179.75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hidden="1" customHeight="1">
      <c r="A20" s="82" t="s">
        <v>72</v>
      </c>
      <c r="B20" s="83">
        <f t="shared" ref="B20:M20" si="9">B18+B19</f>
        <v>4100251.94</v>
      </c>
      <c r="C20" s="83">
        <f t="shared" si="9"/>
        <v>4100251.94</v>
      </c>
      <c r="D20" s="83">
        <f t="shared" si="9"/>
        <v>4142788.19</v>
      </c>
      <c r="E20" s="83">
        <f t="shared" si="9"/>
        <v>4155142.71</v>
      </c>
      <c r="F20" s="83">
        <f t="shared" si="9"/>
        <v>4244263.33</v>
      </c>
      <c r="G20" s="83">
        <f t="shared" si="9"/>
        <v>4245522.12</v>
      </c>
      <c r="H20" s="83">
        <f t="shared" si="9"/>
        <v>4245522.12</v>
      </c>
      <c r="I20" s="83">
        <f t="shared" si="9"/>
        <v>4253604.94</v>
      </c>
      <c r="J20" s="83">
        <f t="shared" si="9"/>
        <v>4253638.14</v>
      </c>
      <c r="K20" s="83">
        <f t="shared" si="9"/>
        <v>4253674.86</v>
      </c>
      <c r="L20" s="83">
        <f t="shared" si="9"/>
        <v>4312892.62</v>
      </c>
      <c r="M20" s="83">
        <f t="shared" si="9"/>
        <v>4327122.33</v>
      </c>
      <c r="N20" s="89">
        <f t="shared" si="8"/>
        <v>50634675.24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0.5" hidden="1" customHeight="1">
      <c r="A21" s="82" t="s">
        <v>73</v>
      </c>
      <c r="B21" s="83">
        <v>0.0</v>
      </c>
      <c r="C21" s="83">
        <v>0.0</v>
      </c>
      <c r="D21" s="83">
        <v>0.0</v>
      </c>
      <c r="E21" s="83">
        <v>0.0</v>
      </c>
      <c r="F21" s="83">
        <v>0.0</v>
      </c>
      <c r="G21" s="83">
        <v>0.0</v>
      </c>
      <c r="H21" s="83">
        <v>0.0</v>
      </c>
      <c r="I21" s="83">
        <v>0.0</v>
      </c>
      <c r="J21" s="83">
        <v>0.0</v>
      </c>
      <c r="K21" s="83">
        <v>0.0</v>
      </c>
      <c r="L21" s="83">
        <v>0.0</v>
      </c>
      <c r="M21" s="83">
        <v>0.0</v>
      </c>
      <c r="N21" s="89">
        <f t="shared" si="8"/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0.5" hidden="1" customHeight="1">
      <c r="A22" s="82" t="s">
        <v>75</v>
      </c>
      <c r="B22" s="83">
        <f t="shared" ref="B22:M22" si="10">B20+B21</f>
        <v>4100251.94</v>
      </c>
      <c r="C22" s="83">
        <f t="shared" si="10"/>
        <v>4100251.94</v>
      </c>
      <c r="D22" s="83">
        <f t="shared" si="10"/>
        <v>4142788.19</v>
      </c>
      <c r="E22" s="83">
        <f t="shared" si="10"/>
        <v>4155142.71</v>
      </c>
      <c r="F22" s="83">
        <f t="shared" si="10"/>
        <v>4244263.33</v>
      </c>
      <c r="G22" s="83">
        <f t="shared" si="10"/>
        <v>4245522.12</v>
      </c>
      <c r="H22" s="83">
        <f t="shared" si="10"/>
        <v>4245522.12</v>
      </c>
      <c r="I22" s="83">
        <f t="shared" si="10"/>
        <v>4253604.94</v>
      </c>
      <c r="J22" s="83">
        <f t="shared" si="10"/>
        <v>4253638.14</v>
      </c>
      <c r="K22" s="83">
        <f t="shared" si="10"/>
        <v>4253674.86</v>
      </c>
      <c r="L22" s="83">
        <f t="shared" si="10"/>
        <v>4312892.62</v>
      </c>
      <c r="M22" s="83">
        <f t="shared" si="10"/>
        <v>4327122.33</v>
      </c>
      <c r="N22" s="89">
        <f t="shared" si="8"/>
        <v>50634675.24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.5" hidden="1" customHeight="1">
      <c r="A23" s="82" t="s">
        <v>77</v>
      </c>
      <c r="B23" s="83">
        <v>-780682.09</v>
      </c>
      <c r="C23" s="83">
        <v>-778261.62</v>
      </c>
      <c r="D23" s="83">
        <v>-780959.58</v>
      </c>
      <c r="E23" s="83">
        <v>-748231.14</v>
      </c>
      <c r="F23" s="83">
        <v>-781977.84</v>
      </c>
      <c r="G23" s="83">
        <v>-1017435.58</v>
      </c>
      <c r="H23" s="83">
        <v>-730605.03</v>
      </c>
      <c r="I23" s="83">
        <v>-718118.8</v>
      </c>
      <c r="J23" s="83">
        <v>-757542.57</v>
      </c>
      <c r="K23" s="83">
        <v>-794168.11</v>
      </c>
      <c r="L23" s="83">
        <v>-743935.18</v>
      </c>
      <c r="M23" s="83">
        <v>-772514.59</v>
      </c>
      <c r="N23" s="89">
        <f t="shared" si="8"/>
        <v>-9404432.13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.5" hidden="1" customHeight="1">
      <c r="A24" s="100" t="s">
        <v>80</v>
      </c>
      <c r="B24" s="102">
        <f t="shared" ref="B24:M24" si="11">B22+B23</f>
        <v>3319569.85</v>
      </c>
      <c r="C24" s="102">
        <f t="shared" si="11"/>
        <v>3321990.32</v>
      </c>
      <c r="D24" s="102">
        <f t="shared" si="11"/>
        <v>3361828.61</v>
      </c>
      <c r="E24" s="102">
        <f t="shared" si="11"/>
        <v>3406911.57</v>
      </c>
      <c r="F24" s="102">
        <f t="shared" si="11"/>
        <v>3462285.49</v>
      </c>
      <c r="G24" s="102">
        <f t="shared" si="11"/>
        <v>3228086.54</v>
      </c>
      <c r="H24" s="102">
        <f t="shared" si="11"/>
        <v>3514917.09</v>
      </c>
      <c r="I24" s="102">
        <f t="shared" si="11"/>
        <v>3535486.14</v>
      </c>
      <c r="J24" s="102">
        <f t="shared" si="11"/>
        <v>3496095.57</v>
      </c>
      <c r="K24" s="102">
        <f t="shared" si="11"/>
        <v>3459506.75</v>
      </c>
      <c r="L24" s="102">
        <f t="shared" si="11"/>
        <v>3568957.44</v>
      </c>
      <c r="M24" s="102">
        <f t="shared" si="11"/>
        <v>3554607.74</v>
      </c>
      <c r="N24" s="102">
        <f t="shared" si="8"/>
        <v>41230243.11</v>
      </c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0.5" hidden="1" customHeight="1">
      <c r="A25" s="82" t="s">
        <v>82</v>
      </c>
      <c r="B25" s="83">
        <v>-277405.6</v>
      </c>
      <c r="C25" s="83">
        <v>-277405.6</v>
      </c>
      <c r="D25" s="83">
        <v>-277672.27</v>
      </c>
      <c r="E25" s="83">
        <v>-280103.94</v>
      </c>
      <c r="F25" s="83">
        <v>-280120.61</v>
      </c>
      <c r="G25" s="83">
        <v>-280537.28</v>
      </c>
      <c r="H25" s="83">
        <v>-280932.28</v>
      </c>
      <c r="I25" s="83">
        <v>-280932.28</v>
      </c>
      <c r="J25" s="83">
        <v>-280932.28</v>
      </c>
      <c r="K25" s="83">
        <v>-282960.2</v>
      </c>
      <c r="L25" s="83">
        <v>-283585.2</v>
      </c>
      <c r="M25" s="83">
        <v>-288108.12</v>
      </c>
      <c r="N25" s="89">
        <f t="shared" si="8"/>
        <v>-3370695.66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.5" hidden="1" customHeight="1">
      <c r="A26" s="82" t="s">
        <v>83</v>
      </c>
      <c r="B26" s="83">
        <f t="shared" ref="B26:M26" si="12">B24+B25</f>
        <v>3042164.25</v>
      </c>
      <c r="C26" s="83">
        <f t="shared" si="12"/>
        <v>3044584.72</v>
      </c>
      <c r="D26" s="83">
        <f t="shared" si="12"/>
        <v>3084156.34</v>
      </c>
      <c r="E26" s="83">
        <f t="shared" si="12"/>
        <v>3126807.63</v>
      </c>
      <c r="F26" s="83">
        <f t="shared" si="12"/>
        <v>3182164.88</v>
      </c>
      <c r="G26" s="83">
        <f t="shared" si="12"/>
        <v>2947549.26</v>
      </c>
      <c r="H26" s="83">
        <f t="shared" si="12"/>
        <v>3233984.81</v>
      </c>
      <c r="I26" s="83">
        <f t="shared" si="12"/>
        <v>3254553.86</v>
      </c>
      <c r="J26" s="83">
        <f t="shared" si="12"/>
        <v>3215163.29</v>
      </c>
      <c r="K26" s="83">
        <f t="shared" si="12"/>
        <v>3176546.55</v>
      </c>
      <c r="L26" s="83">
        <f t="shared" si="12"/>
        <v>3285372.24</v>
      </c>
      <c r="M26" s="83">
        <f t="shared" si="12"/>
        <v>3266499.62</v>
      </c>
      <c r="N26" s="89">
        <f t="shared" si="8"/>
        <v>37859547.45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.5" hidden="1" customHeight="1">
      <c r="A27" s="82" t="s">
        <v>84</v>
      </c>
      <c r="B27" s="83">
        <v>64429.04</v>
      </c>
      <c r="C27" s="83">
        <v>77216.4</v>
      </c>
      <c r="D27" s="83">
        <v>136348.91</v>
      </c>
      <c r="E27" s="83">
        <v>169248.96</v>
      </c>
      <c r="F27" s="83">
        <v>189012.67</v>
      </c>
      <c r="G27" s="83">
        <v>213302.15</v>
      </c>
      <c r="H27" s="83">
        <v>223089.23</v>
      </c>
      <c r="I27" s="83">
        <v>245606.63</v>
      </c>
      <c r="J27" s="83">
        <v>263720.52</v>
      </c>
      <c r="K27" s="83">
        <v>264115.61</v>
      </c>
      <c r="L27" s="83">
        <v>282622.91</v>
      </c>
      <c r="M27" s="83">
        <v>303474.83</v>
      </c>
      <c r="N27" s="89">
        <f t="shared" si="8"/>
        <v>2432187.86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0.5" hidden="1" customHeight="1">
      <c r="A28" s="82" t="s">
        <v>86</v>
      </c>
      <c r="B28" s="83">
        <f t="shared" ref="B28:M28" si="13">B26+B27</f>
        <v>3106593.29</v>
      </c>
      <c r="C28" s="83">
        <f t="shared" si="13"/>
        <v>3121801.12</v>
      </c>
      <c r="D28" s="83">
        <f t="shared" si="13"/>
        <v>3220505.25</v>
      </c>
      <c r="E28" s="83">
        <f t="shared" si="13"/>
        <v>3296056.59</v>
      </c>
      <c r="F28" s="83">
        <f t="shared" si="13"/>
        <v>3371177.55</v>
      </c>
      <c r="G28" s="83">
        <f t="shared" si="13"/>
        <v>3160851.41</v>
      </c>
      <c r="H28" s="83">
        <f t="shared" si="13"/>
        <v>3457074.04</v>
      </c>
      <c r="I28" s="83">
        <f t="shared" si="13"/>
        <v>3500160.49</v>
      </c>
      <c r="J28" s="83">
        <f t="shared" si="13"/>
        <v>3478883.81</v>
      </c>
      <c r="K28" s="83">
        <f t="shared" si="13"/>
        <v>3440662.16</v>
      </c>
      <c r="L28" s="83">
        <f t="shared" si="13"/>
        <v>3567995.15</v>
      </c>
      <c r="M28" s="83">
        <f t="shared" si="13"/>
        <v>3569974.45</v>
      </c>
      <c r="N28" s="89">
        <f t="shared" si="8"/>
        <v>40291735.31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0.5" hidden="1" customHeight="1">
      <c r="A29" s="82" t="s">
        <v>87</v>
      </c>
      <c r="B29" s="83">
        <v>-585756.86</v>
      </c>
      <c r="C29" s="83">
        <v>-587460.42</v>
      </c>
      <c r="D29" s="83">
        <v>-609724.54</v>
      </c>
      <c r="E29" s="83">
        <v>-619661.52</v>
      </c>
      <c r="F29" s="83">
        <v>-633800.52</v>
      </c>
      <c r="G29" s="83">
        <v>-639556.94</v>
      </c>
      <c r="H29" s="83">
        <v>-640240.39</v>
      </c>
      <c r="I29" s="83">
        <v>-646164.88</v>
      </c>
      <c r="J29" s="83">
        <v>-649683.21</v>
      </c>
      <c r="K29" s="83">
        <v>-647177.54</v>
      </c>
      <c r="L29" s="83">
        <v>-657512.86</v>
      </c>
      <c r="M29" s="83">
        <v>-663565.2</v>
      </c>
      <c r="N29" s="89">
        <f t="shared" si="8"/>
        <v>-7580304.88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0.5" hidden="1" customHeight="1">
      <c r="A30" s="82" t="s">
        <v>89</v>
      </c>
      <c r="B30" s="83">
        <f t="shared" ref="B30:M30" si="14">B28+B29</f>
        <v>2520836.43</v>
      </c>
      <c r="C30" s="83">
        <f t="shared" si="14"/>
        <v>2534340.7</v>
      </c>
      <c r="D30" s="83">
        <f t="shared" si="14"/>
        <v>2610780.71</v>
      </c>
      <c r="E30" s="83">
        <f t="shared" si="14"/>
        <v>2676395.07</v>
      </c>
      <c r="F30" s="83">
        <f t="shared" si="14"/>
        <v>2737377.03</v>
      </c>
      <c r="G30" s="83">
        <f t="shared" si="14"/>
        <v>2521294.47</v>
      </c>
      <c r="H30" s="83">
        <f t="shared" si="14"/>
        <v>2816833.65</v>
      </c>
      <c r="I30" s="83">
        <f t="shared" si="14"/>
        <v>2853995.61</v>
      </c>
      <c r="J30" s="83">
        <f t="shared" si="14"/>
        <v>2829200.6</v>
      </c>
      <c r="K30" s="83">
        <f t="shared" si="14"/>
        <v>2793484.62</v>
      </c>
      <c r="L30" s="83">
        <f t="shared" si="14"/>
        <v>2910482.29</v>
      </c>
      <c r="M30" s="83">
        <f t="shared" si="14"/>
        <v>2906409.25</v>
      </c>
      <c r="N30" s="89">
        <f t="shared" si="8"/>
        <v>32711430.43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0.5" hidden="1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0.5" hidden="1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7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0.5" hidden="1" customHeight="1">
      <c r="A33" s="78" t="s">
        <v>57</v>
      </c>
      <c r="B33" s="78" t="s">
        <v>58</v>
      </c>
      <c r="C33" s="78" t="s">
        <v>59</v>
      </c>
      <c r="D33" s="78" t="s">
        <v>60</v>
      </c>
      <c r="E33" s="78" t="s">
        <v>61</v>
      </c>
      <c r="F33" s="78" t="s">
        <v>62</v>
      </c>
      <c r="G33" s="78" t="s">
        <v>63</v>
      </c>
      <c r="H33" s="78" t="s">
        <v>64</v>
      </c>
      <c r="I33" s="78" t="s">
        <v>65</v>
      </c>
      <c r="J33" s="78" t="s">
        <v>66</v>
      </c>
      <c r="K33" s="78" t="s">
        <v>67</v>
      </c>
      <c r="L33" s="78" t="s">
        <v>68</v>
      </c>
      <c r="M33" s="78" t="s">
        <v>69</v>
      </c>
      <c r="N33" s="78" t="s">
        <v>70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.5" hidden="1" customHeight="1">
      <c r="A34" s="82" t="s">
        <v>40</v>
      </c>
      <c r="B34" s="886">
        <v>4291819.85</v>
      </c>
      <c r="C34" s="886">
        <v>4323169.14</v>
      </c>
      <c r="D34" s="886">
        <v>4574065.19</v>
      </c>
      <c r="E34" s="886">
        <v>4439052.63</v>
      </c>
      <c r="F34" s="886">
        <v>4583680.49</v>
      </c>
      <c r="G34" s="886">
        <v>4569300.28</v>
      </c>
      <c r="H34" s="886">
        <v>4573444.39</v>
      </c>
      <c r="I34" s="886">
        <v>4597484.72</v>
      </c>
      <c r="J34" s="886">
        <v>4597484.72</v>
      </c>
      <c r="K34" s="886">
        <v>4593984.72</v>
      </c>
      <c r="L34" s="886">
        <v>4657418.38</v>
      </c>
      <c r="M34" s="887">
        <v>4675184.17</v>
      </c>
      <c r="N34" s="888">
        <f t="shared" ref="N34:N46" si="15">SUM(B34:M34)</f>
        <v>54476088.68</v>
      </c>
      <c r="O34" s="91"/>
      <c r="P34" s="889"/>
      <c r="Q34" s="93"/>
      <c r="R34" s="4"/>
      <c r="S34" s="4"/>
      <c r="T34" s="4"/>
      <c r="U34" s="4"/>
      <c r="V34" s="4"/>
      <c r="W34" s="4"/>
      <c r="X34" s="4"/>
      <c r="Y34" s="4"/>
      <c r="Z34" s="4"/>
    </row>
    <row r="35" ht="10.5" hidden="1" customHeight="1">
      <c r="A35" s="82" t="s">
        <v>71</v>
      </c>
      <c r="B35" s="83">
        <v>-157678.48</v>
      </c>
      <c r="C35" s="83">
        <v>-159005.49</v>
      </c>
      <c r="D35" s="83">
        <v>-167558.29</v>
      </c>
      <c r="E35" s="83">
        <v>-162630.32</v>
      </c>
      <c r="F35" s="83">
        <v>-167909.23</v>
      </c>
      <c r="G35" s="890">
        <v>-167384.36</v>
      </c>
      <c r="H35" s="890">
        <v>-167535.65</v>
      </c>
      <c r="I35" s="890">
        <v>-168413.06</v>
      </c>
      <c r="J35" s="890">
        <v>-168413.09</v>
      </c>
      <c r="K35" s="886">
        <v>-168285.35</v>
      </c>
      <c r="L35" s="886">
        <v>-170600.68</v>
      </c>
      <c r="M35" s="887">
        <v>-170644.2</v>
      </c>
      <c r="N35" s="888">
        <f t="shared" si="15"/>
        <v>-1996058.2</v>
      </c>
      <c r="O35" s="91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.5" hidden="1" customHeight="1">
      <c r="A36" s="82" t="s">
        <v>72</v>
      </c>
      <c r="B36" s="83">
        <f t="shared" ref="B36:M36" si="16">B34+B35</f>
        <v>4134141.37</v>
      </c>
      <c r="C36" s="83">
        <f t="shared" si="16"/>
        <v>4164163.65</v>
      </c>
      <c r="D36" s="83">
        <f t="shared" si="16"/>
        <v>4406506.9</v>
      </c>
      <c r="E36" s="83">
        <f t="shared" si="16"/>
        <v>4276422.31</v>
      </c>
      <c r="F36" s="83">
        <f t="shared" si="16"/>
        <v>4415771.26</v>
      </c>
      <c r="G36" s="83">
        <f t="shared" si="16"/>
        <v>4401915.92</v>
      </c>
      <c r="H36" s="83">
        <f t="shared" si="16"/>
        <v>4405908.74</v>
      </c>
      <c r="I36" s="83">
        <f t="shared" si="16"/>
        <v>4429071.66</v>
      </c>
      <c r="J36" s="83">
        <f t="shared" si="16"/>
        <v>4429071.63</v>
      </c>
      <c r="K36" s="135">
        <f t="shared" si="16"/>
        <v>4425699.37</v>
      </c>
      <c r="L36" s="135">
        <f t="shared" si="16"/>
        <v>4486817.7</v>
      </c>
      <c r="M36" s="891">
        <f t="shared" si="16"/>
        <v>4504539.97</v>
      </c>
      <c r="N36" s="888">
        <f t="shared" si="15"/>
        <v>52480030.48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.5" hidden="1" customHeight="1">
      <c r="A37" s="82" t="s">
        <v>73</v>
      </c>
      <c r="B37" s="83">
        <v>0.0</v>
      </c>
      <c r="C37" s="83">
        <v>0.0</v>
      </c>
      <c r="D37" s="83">
        <v>0.0</v>
      </c>
      <c r="E37" s="83">
        <v>0.0</v>
      </c>
      <c r="F37" s="83">
        <v>0.0</v>
      </c>
      <c r="G37" s="83">
        <v>0.0</v>
      </c>
      <c r="H37" s="83">
        <v>0.0</v>
      </c>
      <c r="I37" s="83">
        <v>0.0</v>
      </c>
      <c r="J37" s="83">
        <v>0.0</v>
      </c>
      <c r="K37" s="135">
        <v>0.0</v>
      </c>
      <c r="L37" s="135">
        <v>0.0</v>
      </c>
      <c r="M37" s="891">
        <v>0.0</v>
      </c>
      <c r="N37" s="888">
        <f t="shared" si="15"/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.5" hidden="1" customHeight="1">
      <c r="A38" s="82" t="s">
        <v>75</v>
      </c>
      <c r="B38" s="83">
        <f t="shared" ref="B38:M38" si="17">B36+B37</f>
        <v>4134141.37</v>
      </c>
      <c r="C38" s="83">
        <f t="shared" si="17"/>
        <v>4164163.65</v>
      </c>
      <c r="D38" s="83">
        <f t="shared" si="17"/>
        <v>4406506.9</v>
      </c>
      <c r="E38" s="83">
        <f t="shared" si="17"/>
        <v>4276422.31</v>
      </c>
      <c r="F38" s="83">
        <f t="shared" si="17"/>
        <v>4415771.26</v>
      </c>
      <c r="G38" s="83">
        <f t="shared" si="17"/>
        <v>4401915.92</v>
      </c>
      <c r="H38" s="83">
        <f t="shared" si="17"/>
        <v>4405908.74</v>
      </c>
      <c r="I38" s="83">
        <f t="shared" si="17"/>
        <v>4429071.66</v>
      </c>
      <c r="J38" s="83">
        <f t="shared" si="17"/>
        <v>4429071.63</v>
      </c>
      <c r="K38" s="135">
        <f t="shared" si="17"/>
        <v>4425699.37</v>
      </c>
      <c r="L38" s="135">
        <f t="shared" si="17"/>
        <v>4486817.7</v>
      </c>
      <c r="M38" s="891">
        <f t="shared" si="17"/>
        <v>4504539.97</v>
      </c>
      <c r="N38" s="888">
        <f t="shared" si="15"/>
        <v>52480030.48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0.5" hidden="1" customHeight="1">
      <c r="A39" s="82" t="s">
        <v>77</v>
      </c>
      <c r="B39" s="83">
        <v>-691817.45</v>
      </c>
      <c r="C39" s="83">
        <v>-591430.31</v>
      </c>
      <c r="D39" s="83">
        <v>-636259.76</v>
      </c>
      <c r="E39" s="83">
        <v>-748558.86</v>
      </c>
      <c r="F39" s="83">
        <v>-774701.01</v>
      </c>
      <c r="G39" s="890">
        <v>-798795.82</v>
      </c>
      <c r="H39" s="890">
        <v>-668758.5</v>
      </c>
      <c r="I39" s="890">
        <v>-853692.74</v>
      </c>
      <c r="J39" s="890">
        <v>-891268.34</v>
      </c>
      <c r="K39" s="886">
        <v>-719873.04</v>
      </c>
      <c r="L39" s="886">
        <v>-825531.49</v>
      </c>
      <c r="M39" s="887">
        <v>-768403.65</v>
      </c>
      <c r="N39" s="888">
        <f t="shared" si="15"/>
        <v>-8969090.97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0.5" hidden="1" customHeight="1">
      <c r="A40" s="100" t="s">
        <v>80</v>
      </c>
      <c r="B40" s="102">
        <f t="shared" ref="B40:M40" si="18">B38+B39</f>
        <v>3442323.92</v>
      </c>
      <c r="C40" s="102">
        <f t="shared" si="18"/>
        <v>3572733.34</v>
      </c>
      <c r="D40" s="102">
        <f t="shared" si="18"/>
        <v>3770247.14</v>
      </c>
      <c r="E40" s="102">
        <f t="shared" si="18"/>
        <v>3527863.45</v>
      </c>
      <c r="F40" s="102">
        <f t="shared" si="18"/>
        <v>3641070.25</v>
      </c>
      <c r="G40" s="102">
        <f t="shared" si="18"/>
        <v>3603120.1</v>
      </c>
      <c r="H40" s="102">
        <f t="shared" si="18"/>
        <v>3737150.24</v>
      </c>
      <c r="I40" s="102">
        <f t="shared" si="18"/>
        <v>3575378.92</v>
      </c>
      <c r="J40" s="102">
        <f t="shared" si="18"/>
        <v>3537803.29</v>
      </c>
      <c r="K40" s="892">
        <f t="shared" si="18"/>
        <v>3705826.33</v>
      </c>
      <c r="L40" s="892">
        <f t="shared" si="18"/>
        <v>3661286.21</v>
      </c>
      <c r="M40" s="893">
        <f t="shared" si="18"/>
        <v>3736136.32</v>
      </c>
      <c r="N40" s="892">
        <f t="shared" si="15"/>
        <v>43510939.51</v>
      </c>
      <c r="O40" s="107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0.5" hidden="1" customHeight="1">
      <c r="A41" s="82" t="s">
        <v>82</v>
      </c>
      <c r="B41" s="83">
        <v>-252324.77</v>
      </c>
      <c r="C41" s="83">
        <v>-252340.34</v>
      </c>
      <c r="D41" s="83">
        <v>-252551.06</v>
      </c>
      <c r="E41" s="83">
        <v>-252705.21</v>
      </c>
      <c r="F41" s="83">
        <v>-253789.5</v>
      </c>
      <c r="G41" s="890">
        <v>-253307.28</v>
      </c>
      <c r="H41" s="890">
        <v>-253150.76</v>
      </c>
      <c r="I41" s="890">
        <v>-252719.19</v>
      </c>
      <c r="J41" s="890">
        <v>-253124.07</v>
      </c>
      <c r="K41" s="886">
        <v>-253466.72</v>
      </c>
      <c r="L41" s="886">
        <v>-253445.41</v>
      </c>
      <c r="M41" s="887">
        <v>-288108.12</v>
      </c>
      <c r="N41" s="888">
        <f t="shared" si="15"/>
        <v>-3071032.43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.5" hidden="1" customHeight="1">
      <c r="A42" s="82" t="s">
        <v>83</v>
      </c>
      <c r="B42" s="83">
        <f t="shared" ref="B42:M42" si="19">B40+B41</f>
        <v>3189999.15</v>
      </c>
      <c r="C42" s="83">
        <f t="shared" si="19"/>
        <v>3320393</v>
      </c>
      <c r="D42" s="83">
        <f t="shared" si="19"/>
        <v>3517696.08</v>
      </c>
      <c r="E42" s="83">
        <f t="shared" si="19"/>
        <v>3275158.24</v>
      </c>
      <c r="F42" s="83">
        <f t="shared" si="19"/>
        <v>3387280.75</v>
      </c>
      <c r="G42" s="83">
        <f t="shared" si="19"/>
        <v>3349812.82</v>
      </c>
      <c r="H42" s="83">
        <f t="shared" si="19"/>
        <v>3483999.48</v>
      </c>
      <c r="I42" s="83">
        <f t="shared" si="19"/>
        <v>3322659.73</v>
      </c>
      <c r="J42" s="83">
        <f t="shared" si="19"/>
        <v>3284679.22</v>
      </c>
      <c r="K42" s="135">
        <f t="shared" si="19"/>
        <v>3452359.61</v>
      </c>
      <c r="L42" s="135">
        <f t="shared" si="19"/>
        <v>3407840.8</v>
      </c>
      <c r="M42" s="891">
        <f t="shared" si="19"/>
        <v>3448028.2</v>
      </c>
      <c r="N42" s="888">
        <f t="shared" si="15"/>
        <v>40439907.08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0.5" hidden="1" customHeight="1">
      <c r="A43" s="82" t="s">
        <v>84</v>
      </c>
      <c r="B43" s="83">
        <v>40916.05</v>
      </c>
      <c r="C43" s="83">
        <v>130626.81</v>
      </c>
      <c r="D43" s="83">
        <v>185396.08</v>
      </c>
      <c r="E43" s="83">
        <v>51972.0</v>
      </c>
      <c r="F43" s="83">
        <v>161064.11</v>
      </c>
      <c r="G43" s="890">
        <v>316542.11</v>
      </c>
      <c r="H43" s="890">
        <v>387181.97</v>
      </c>
      <c r="I43" s="890">
        <v>625772.68</v>
      </c>
      <c r="J43" s="890">
        <v>713379.86</v>
      </c>
      <c r="K43" s="886">
        <v>656707.72</v>
      </c>
      <c r="L43" s="886">
        <v>583962.5</v>
      </c>
      <c r="M43" s="887">
        <v>303474.83</v>
      </c>
      <c r="N43" s="888">
        <f t="shared" si="15"/>
        <v>4156996.72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0.5" hidden="1" customHeight="1">
      <c r="A44" s="82" t="s">
        <v>86</v>
      </c>
      <c r="B44" s="83">
        <f t="shared" ref="B44:M44" si="20">B42+B43</f>
        <v>3230915.2</v>
      </c>
      <c r="C44" s="83">
        <f t="shared" si="20"/>
        <v>3451019.81</v>
      </c>
      <c r="D44" s="83">
        <f t="shared" si="20"/>
        <v>3703092.16</v>
      </c>
      <c r="E44" s="83">
        <f t="shared" si="20"/>
        <v>3327130.24</v>
      </c>
      <c r="F44" s="83">
        <f t="shared" si="20"/>
        <v>3548344.86</v>
      </c>
      <c r="G44" s="83">
        <f t="shared" si="20"/>
        <v>3666354.93</v>
      </c>
      <c r="H44" s="83">
        <f t="shared" si="20"/>
        <v>3871181.45</v>
      </c>
      <c r="I44" s="83">
        <f t="shared" si="20"/>
        <v>3948432.41</v>
      </c>
      <c r="J44" s="83">
        <f t="shared" si="20"/>
        <v>3998059.08</v>
      </c>
      <c r="K44" s="135">
        <f t="shared" si="20"/>
        <v>4109067.33</v>
      </c>
      <c r="L44" s="135">
        <f t="shared" si="20"/>
        <v>3991803.3</v>
      </c>
      <c r="M44" s="891">
        <f t="shared" si="20"/>
        <v>3751503.03</v>
      </c>
      <c r="N44" s="888">
        <f t="shared" si="15"/>
        <v>44596903.8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0.5" hidden="1" customHeight="1">
      <c r="A45" s="82" t="s">
        <v>87</v>
      </c>
      <c r="B45" s="83">
        <v>-595625.04</v>
      </c>
      <c r="C45" s="83">
        <v>-606910.07</v>
      </c>
      <c r="D45" s="83">
        <v>-664216.04</v>
      </c>
      <c r="E45" s="83">
        <v>-639932.27</v>
      </c>
      <c r="F45" s="83">
        <v>-698394.09</v>
      </c>
      <c r="G45" s="890">
        <v>-698392.15</v>
      </c>
      <c r="H45" s="890">
        <v>-709392.7</v>
      </c>
      <c r="I45" s="890">
        <v>-739706.01</v>
      </c>
      <c r="J45" s="890">
        <v>-734526.19</v>
      </c>
      <c r="K45" s="886">
        <v>-726497.98</v>
      </c>
      <c r="L45" s="886">
        <v>-738625.93</v>
      </c>
      <c r="M45" s="887">
        <v>-683599.74</v>
      </c>
      <c r="N45" s="888">
        <f t="shared" si="15"/>
        <v>-8235818.21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0.5" hidden="1" customHeight="1">
      <c r="A46" s="82" t="s">
        <v>89</v>
      </c>
      <c r="B46" s="83">
        <f t="shared" ref="B46:M46" si="21">B44+B45</f>
        <v>2635290.16</v>
      </c>
      <c r="C46" s="83">
        <f t="shared" si="21"/>
        <v>2844109.74</v>
      </c>
      <c r="D46" s="83">
        <f t="shared" si="21"/>
        <v>3038876.12</v>
      </c>
      <c r="E46" s="83">
        <f t="shared" si="21"/>
        <v>2687197.97</v>
      </c>
      <c r="F46" s="83">
        <f t="shared" si="21"/>
        <v>2849950.77</v>
      </c>
      <c r="G46" s="83">
        <f t="shared" si="21"/>
        <v>2967962.78</v>
      </c>
      <c r="H46" s="83">
        <f t="shared" si="21"/>
        <v>3161788.75</v>
      </c>
      <c r="I46" s="83">
        <f t="shared" si="21"/>
        <v>3208726.4</v>
      </c>
      <c r="J46" s="83">
        <f t="shared" si="21"/>
        <v>3263532.89</v>
      </c>
      <c r="K46" s="135">
        <f t="shared" si="21"/>
        <v>3382569.35</v>
      </c>
      <c r="L46" s="135">
        <f t="shared" si="21"/>
        <v>3253177.37</v>
      </c>
      <c r="M46" s="891">
        <f t="shared" si="21"/>
        <v>3067903.29</v>
      </c>
      <c r="N46" s="888">
        <f t="shared" si="15"/>
        <v>36361085.59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0.5" hidden="1" customHeight="1">
      <c r="A47" s="126" t="s">
        <v>92</v>
      </c>
      <c r="B47" s="895">
        <v>44603.0</v>
      </c>
      <c r="C47" s="895">
        <v>44631.0</v>
      </c>
      <c r="D47" s="895">
        <v>44658.0</v>
      </c>
      <c r="E47" s="895">
        <v>44690.0</v>
      </c>
      <c r="F47" s="895">
        <v>44720.0</v>
      </c>
      <c r="G47" s="895">
        <v>44743.0</v>
      </c>
      <c r="H47" s="897">
        <v>44791.0</v>
      </c>
      <c r="I47" s="897">
        <v>44820.0</v>
      </c>
      <c r="J47" s="897">
        <v>44848.0</v>
      </c>
      <c r="K47" s="897">
        <v>44875.0</v>
      </c>
      <c r="L47" s="897">
        <v>44902.0</v>
      </c>
      <c r="M47" s="897">
        <v>44924.0</v>
      </c>
      <c r="N47" s="897">
        <v>44924.0</v>
      </c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ht="10.5" hidden="1" customHeight="1">
      <c r="A48" s="4"/>
      <c r="B48" s="134"/>
      <c r="C48" s="134"/>
      <c r="D48" s="134"/>
      <c r="E48" s="134"/>
      <c r="F48" s="134"/>
      <c r="G48" s="134"/>
      <c r="H48" s="134"/>
      <c r="I48" s="83"/>
      <c r="J48" s="83"/>
      <c r="K48" s="135"/>
      <c r="L48" s="135"/>
      <c r="M48" s="137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0.5" hidden="1" customHeight="1">
      <c r="A49" s="4"/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9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0.5" customHeight="1">
      <c r="A50" s="143"/>
      <c r="B50" s="145" t="s">
        <v>318</v>
      </c>
      <c r="C50" s="145" t="s">
        <v>319</v>
      </c>
      <c r="D50" s="145" t="s">
        <v>320</v>
      </c>
      <c r="E50" s="145" t="s">
        <v>321</v>
      </c>
      <c r="F50" s="145" t="s">
        <v>322</v>
      </c>
      <c r="G50" s="145" t="s">
        <v>323</v>
      </c>
      <c r="H50" s="145" t="s">
        <v>324</v>
      </c>
      <c r="I50" s="145" t="s">
        <v>325</v>
      </c>
      <c r="J50" s="145" t="s">
        <v>326</v>
      </c>
      <c r="K50" s="145" t="s">
        <v>327</v>
      </c>
      <c r="L50" s="145" t="s">
        <v>328</v>
      </c>
      <c r="M50" s="145" t="s">
        <v>329</v>
      </c>
      <c r="N50" s="9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0.5" customHeight="1">
      <c r="A51" s="152">
        <v>2020.0</v>
      </c>
      <c r="B51" s="54">
        <f t="shared" ref="B51:M51" si="22">(B8)/1000</f>
        <v>3095.22308</v>
      </c>
      <c r="C51" s="54">
        <f t="shared" si="22"/>
        <v>2650.66408</v>
      </c>
      <c r="D51" s="54">
        <f t="shared" si="22"/>
        <v>3191.56593</v>
      </c>
      <c r="E51" s="54">
        <f t="shared" si="22"/>
        <v>3234.24119</v>
      </c>
      <c r="F51" s="54">
        <f t="shared" si="22"/>
        <v>3384.09787</v>
      </c>
      <c r="G51" s="54">
        <f t="shared" si="22"/>
        <v>3353.2055</v>
      </c>
      <c r="H51" s="54">
        <f t="shared" si="22"/>
        <v>3220.88143</v>
      </c>
      <c r="I51" s="54">
        <f t="shared" si="22"/>
        <v>3299.74547</v>
      </c>
      <c r="J51" s="54">
        <f t="shared" si="22"/>
        <v>3187.39743</v>
      </c>
      <c r="K51" s="54">
        <f t="shared" si="22"/>
        <v>3154.72895</v>
      </c>
      <c r="L51" s="54">
        <f t="shared" si="22"/>
        <v>3280.01336</v>
      </c>
      <c r="M51" s="54">
        <f t="shared" si="22"/>
        <v>3318.80445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0.5" customHeight="1">
      <c r="A52" s="152" t="s">
        <v>330</v>
      </c>
      <c r="B52" s="54">
        <f t="shared" ref="B52:M52" si="23">(B24)/1000</f>
        <v>3319.56985</v>
      </c>
      <c r="C52" s="54">
        <f t="shared" si="23"/>
        <v>3321.99032</v>
      </c>
      <c r="D52" s="54">
        <f t="shared" si="23"/>
        <v>3361.82861</v>
      </c>
      <c r="E52" s="54">
        <f t="shared" si="23"/>
        <v>3406.91157</v>
      </c>
      <c r="F52" s="54">
        <f t="shared" si="23"/>
        <v>3462.28549</v>
      </c>
      <c r="G52" s="54">
        <f t="shared" si="23"/>
        <v>3228.08654</v>
      </c>
      <c r="H52" s="54">
        <f t="shared" si="23"/>
        <v>3514.91709</v>
      </c>
      <c r="I52" s="54">
        <f t="shared" si="23"/>
        <v>3535.48614</v>
      </c>
      <c r="J52" s="54">
        <f t="shared" si="23"/>
        <v>3496.09557</v>
      </c>
      <c r="K52" s="54">
        <f t="shared" si="23"/>
        <v>3459.50675</v>
      </c>
      <c r="L52" s="54">
        <f t="shared" si="23"/>
        <v>3568.95744</v>
      </c>
      <c r="M52" s="54">
        <f t="shared" si="23"/>
        <v>3554.60774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0.5" customHeight="1">
      <c r="A53" s="152">
        <v>2021.0</v>
      </c>
      <c r="B53" s="54">
        <f t="shared" ref="B53:M53" si="24">(B40)/1000</f>
        <v>3442.32392</v>
      </c>
      <c r="C53" s="54">
        <f t="shared" si="24"/>
        <v>3572.73334</v>
      </c>
      <c r="D53" s="54">
        <f t="shared" si="24"/>
        <v>3770.24714</v>
      </c>
      <c r="E53" s="54">
        <f t="shared" si="24"/>
        <v>3527.86345</v>
      </c>
      <c r="F53" s="54">
        <f t="shared" si="24"/>
        <v>3641.07025</v>
      </c>
      <c r="G53" s="54">
        <f t="shared" si="24"/>
        <v>3603.1201</v>
      </c>
      <c r="H53" s="54">
        <f t="shared" si="24"/>
        <v>3737.15024</v>
      </c>
      <c r="I53" s="54">
        <f t="shared" si="24"/>
        <v>3575.37892</v>
      </c>
      <c r="J53" s="54">
        <f t="shared" si="24"/>
        <v>3537.80329</v>
      </c>
      <c r="K53" s="54">
        <f t="shared" si="24"/>
        <v>3705.82633</v>
      </c>
      <c r="L53" s="54">
        <f t="shared" si="24"/>
        <v>3661.28621</v>
      </c>
      <c r="M53" s="54">
        <f t="shared" si="24"/>
        <v>3736.13632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0.5" hidden="1" customHeight="1">
      <c r="A54" s="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0.5" hidden="1" customHeight="1">
      <c r="A55" s="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0.5" hidden="1" customHeight="1">
      <c r="A56" s="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0.5" hidden="1" customHeight="1">
      <c r="A57" s="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0.5" hidden="1" customHeight="1">
      <c r="A58" s="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0.5" hidden="1" customHeight="1">
      <c r="A59" s="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0.5" hidden="1" customHeight="1">
      <c r="A60" s="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0.5" hidden="1" customHeight="1">
      <c r="A61" s="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0.5" hidden="1" customHeight="1">
      <c r="A62" s="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0.5" hidden="1" customHeight="1">
      <c r="A63" s="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0.5" hidden="1" customHeight="1">
      <c r="A64" s="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4"/>
      <c r="N64" s="4" t="s">
        <v>334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0.5" hidden="1" customHeight="1">
      <c r="A65" s="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4"/>
      <c r="N65" s="4" t="s">
        <v>336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0.5" hidden="1" customHeight="1">
      <c r="A66" s="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0.5" hidden="1" customHeight="1">
      <c r="A67" s="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0.5" hidden="1" customHeight="1">
      <c r="A68" s="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0.5" hidden="1" customHeight="1">
      <c r="A69" s="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0.5" hidden="1" customHeight="1">
      <c r="A70" s="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0.5" hidden="1" customHeight="1">
      <c r="A71" s="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0.5" hidden="1" customHeight="1">
      <c r="A72" s="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0.5" hidden="1" customHeight="1">
      <c r="A73" s="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0.5" hidden="1" customHeight="1">
      <c r="A74" s="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0.5" hidden="1" customHeight="1">
      <c r="A75" s="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0.5" hidden="1" customHeight="1">
      <c r="A76" s="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0.5" hidden="1" customHeight="1">
      <c r="A77" s="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0.5" hidden="1" customHeight="1">
      <c r="A78" s="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0.5" hidden="1" customHeight="1">
      <c r="A79" s="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0.5" hidden="1" customHeight="1">
      <c r="A80" s="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0.5" hidden="1" customHeight="1">
      <c r="A81" s="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0.5" hidden="1" customHeight="1">
      <c r="A82" s="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0.5" hidden="1" customHeight="1">
      <c r="A83" s="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0.5" hidden="1" customHeight="1">
      <c r="A84" s="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0.5" hidden="1" customHeight="1">
      <c r="A85" s="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4"/>
      <c r="N85" s="4"/>
      <c r="O85" s="4" t="s">
        <v>340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0.5" hidden="1" customHeight="1">
      <c r="A86" s="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0.5" hidden="1" customHeight="1">
      <c r="A87" s="4"/>
      <c r="B87" s="310"/>
      <c r="C87" s="310"/>
      <c r="D87" s="310"/>
      <c r="E87" s="310"/>
      <c r="F87" s="310"/>
      <c r="G87" s="310"/>
      <c r="H87" s="310"/>
      <c r="I87" s="310"/>
      <c r="J87" s="310"/>
      <c r="K87" s="310" t="s">
        <v>341</v>
      </c>
      <c r="L87" s="310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0.5" hidden="1" customHeight="1">
      <c r="A88" s="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921" t="s">
        <v>342</v>
      </c>
      <c r="S88" s="922"/>
      <c r="T88" s="923">
        <v>0.0065</v>
      </c>
      <c r="U88" s="924" t="s">
        <v>343</v>
      </c>
      <c r="V88" s="925"/>
      <c r="W88" s="4"/>
      <c r="X88" s="4"/>
      <c r="Y88" s="4"/>
      <c r="Z88" s="4"/>
    </row>
    <row r="89" ht="10.5" hidden="1" customHeight="1">
      <c r="A89" s="143" t="s">
        <v>344</v>
      </c>
      <c r="B89" s="143" t="s">
        <v>345</v>
      </c>
      <c r="C89" s="143" t="s">
        <v>346</v>
      </c>
      <c r="D89" s="143" t="s">
        <v>347</v>
      </c>
      <c r="E89" s="143" t="s">
        <v>348</v>
      </c>
      <c r="F89" s="143" t="s">
        <v>349</v>
      </c>
      <c r="G89" s="143" t="s">
        <v>350</v>
      </c>
      <c r="H89" s="143" t="s">
        <v>351</v>
      </c>
      <c r="I89" s="143" t="s">
        <v>352</v>
      </c>
      <c r="J89" s="143" t="s">
        <v>353</v>
      </c>
      <c r="K89" s="143" t="s">
        <v>354</v>
      </c>
      <c r="L89" s="143" t="s">
        <v>355</v>
      </c>
      <c r="M89" s="143" t="s">
        <v>356</v>
      </c>
      <c r="N89" s="143" t="s">
        <v>70</v>
      </c>
      <c r="O89" s="927"/>
      <c r="P89" s="927"/>
      <c r="Q89" s="927"/>
      <c r="R89" s="928"/>
      <c r="S89" s="803"/>
      <c r="T89" s="929">
        <v>0.03</v>
      </c>
      <c r="U89" s="931" t="s">
        <v>357</v>
      </c>
      <c r="V89" s="933"/>
      <c r="W89" s="4"/>
      <c r="X89" s="4"/>
      <c r="Y89" s="4"/>
      <c r="Z89" s="4"/>
    </row>
    <row r="90" ht="10.5" hidden="1" customHeight="1">
      <c r="A90" s="934" t="s">
        <v>358</v>
      </c>
      <c r="B90" s="935" t="str">
        <f>B95+59.6309</f>
        <v>#REF!</v>
      </c>
      <c r="C90" s="935" t="str">
        <f>C95+2.32</f>
        <v>#REF!</v>
      </c>
      <c r="D90" s="935" t="str">
        <f t="shared" ref="D90:E90" si="25">D95+59.6309</f>
        <v>#REF!</v>
      </c>
      <c r="E90" s="935" t="str">
        <f t="shared" si="25"/>
        <v>#REF!</v>
      </c>
      <c r="F90" s="935" t="str">
        <f>F95+62.1697</f>
        <v>#REF!</v>
      </c>
      <c r="G90" s="935" t="str">
        <f t="shared" ref="G90:I90" si="26">G95+62.3268</f>
        <v>#REF!</v>
      </c>
      <c r="H90" s="935" t="str">
        <f t="shared" si="26"/>
        <v>#REF!</v>
      </c>
      <c r="I90" s="935" t="str">
        <f t="shared" si="26"/>
        <v>#REF!</v>
      </c>
      <c r="J90" s="935" t="str">
        <f t="shared" ref="J90:L90" si="27">J95+62.4137</f>
        <v>#REF!</v>
      </c>
      <c r="K90" s="935" t="str">
        <f t="shared" si="27"/>
        <v>#REF!</v>
      </c>
      <c r="L90" s="935" t="str">
        <f t="shared" si="27"/>
        <v>#REF!</v>
      </c>
      <c r="M90" s="935" t="str">
        <f>M95-48.2946</f>
        <v>#REF!</v>
      </c>
      <c r="N90" s="938" t="str">
        <f t="shared" ref="N90:N92" si="31">SUM(B90:M90)</f>
        <v>#REF!</v>
      </c>
      <c r="O90" s="939"/>
      <c r="P90" s="5"/>
      <c r="Q90" s="5"/>
      <c r="R90" s="940" t="s">
        <v>359</v>
      </c>
      <c r="S90" s="802"/>
      <c r="T90" s="941">
        <v>0.1088</v>
      </c>
      <c r="U90" s="802" t="s">
        <v>360</v>
      </c>
      <c r="V90" s="933"/>
      <c r="W90" s="4"/>
      <c r="X90" s="4"/>
      <c r="Y90" s="4"/>
      <c r="Z90" s="4"/>
    </row>
    <row r="91" ht="10.5" hidden="1" customHeight="1">
      <c r="A91" s="934" t="s">
        <v>330</v>
      </c>
      <c r="B91" s="935" t="str">
        <f t="shared" ref="B91:E91" si="28">B96+77.2963</f>
        <v>#REF!</v>
      </c>
      <c r="C91" s="935" t="str">
        <f t="shared" si="28"/>
        <v>#REF!</v>
      </c>
      <c r="D91" s="935" t="str">
        <f t="shared" si="28"/>
        <v>#REF!</v>
      </c>
      <c r="E91" s="935" t="str">
        <f t="shared" si="28"/>
        <v>#REF!</v>
      </c>
      <c r="F91" s="935" t="str">
        <f t="shared" ref="F91:F92" si="33">F96+79.4903</f>
        <v>#REF!</v>
      </c>
      <c r="G91" s="935" t="str">
        <f t="shared" ref="G91:I91" si="29">G96+79.5534</f>
        <v>#REF!</v>
      </c>
      <c r="H91" s="935" t="str">
        <f t="shared" si="29"/>
        <v>#REF!</v>
      </c>
      <c r="I91" s="935" t="str">
        <f t="shared" si="29"/>
        <v>#REF!</v>
      </c>
      <c r="J91" s="935" t="str">
        <f t="shared" ref="J91:M91" si="30">J96+79.6219</f>
        <v>#REF!</v>
      </c>
      <c r="K91" s="935" t="str">
        <f t="shared" si="30"/>
        <v>#REF!</v>
      </c>
      <c r="L91" s="935" t="str">
        <f t="shared" si="30"/>
        <v>#REF!</v>
      </c>
      <c r="M91" s="935" t="str">
        <f t="shared" si="30"/>
        <v>#REF!</v>
      </c>
      <c r="N91" s="938" t="str">
        <f t="shared" si="31"/>
        <v>#REF!</v>
      </c>
      <c r="O91" s="939"/>
      <c r="P91" s="5"/>
      <c r="Q91" s="5"/>
      <c r="R91" s="942" t="s">
        <v>361</v>
      </c>
      <c r="S91" s="943"/>
      <c r="T91" s="943"/>
      <c r="U91" s="943"/>
      <c r="V91" s="944"/>
      <c r="W91" s="4"/>
      <c r="X91" s="4"/>
      <c r="Y91" s="4"/>
      <c r="Z91" s="4"/>
    </row>
    <row r="92" ht="10.5" hidden="1" customHeight="1">
      <c r="A92" s="934" t="s">
        <v>362</v>
      </c>
      <c r="B92" s="935" t="str">
        <f>B97+78.9325</f>
        <v>#REF!</v>
      </c>
      <c r="C92" s="935" t="str">
        <f>C97-14.8249</f>
        <v>#REF!</v>
      </c>
      <c r="D92" s="935" t="str">
        <f t="shared" ref="D92:E92" si="32">D97+77.2963</f>
        <v>#REF!</v>
      </c>
      <c r="E92" s="935" t="str">
        <f t="shared" si="32"/>
        <v>#REF!</v>
      </c>
      <c r="F92" s="935" t="str">
        <f t="shared" si="33"/>
        <v>#REF!</v>
      </c>
      <c r="G92" s="935" t="str">
        <f t="shared" ref="G92:I92" si="34">G97+78.8155</f>
        <v>#REF!</v>
      </c>
      <c r="H92" s="935" t="str">
        <f t="shared" si="34"/>
        <v>#REF!</v>
      </c>
      <c r="I92" s="935" t="str">
        <f t="shared" si="34"/>
        <v>#REF!</v>
      </c>
      <c r="J92" s="935" t="str">
        <f t="shared" ref="J92:M92" si="35">J97+78.884</f>
        <v>#REF!</v>
      </c>
      <c r="K92" s="935" t="str">
        <f t="shared" si="35"/>
        <v>#REF!</v>
      </c>
      <c r="L92" s="935" t="str">
        <f t="shared" si="35"/>
        <v>#REF!</v>
      </c>
      <c r="M92" s="935" t="str">
        <f t="shared" si="35"/>
        <v>#REF!</v>
      </c>
      <c r="N92" s="938" t="str">
        <f t="shared" si="31"/>
        <v>#REF!</v>
      </c>
      <c r="O92" s="945" t="str">
        <f>(N92/N91)-1</f>
        <v>#REF!</v>
      </c>
      <c r="P92" s="946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0.5" hidden="1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0.5" hidden="1" customHeight="1">
      <c r="A94" s="143" t="s">
        <v>363</v>
      </c>
      <c r="B94" s="143" t="s">
        <v>345</v>
      </c>
      <c r="C94" s="143" t="s">
        <v>346</v>
      </c>
      <c r="D94" s="143" t="s">
        <v>347</v>
      </c>
      <c r="E94" s="143" t="s">
        <v>348</v>
      </c>
      <c r="F94" s="143" t="s">
        <v>349</v>
      </c>
      <c r="G94" s="143" t="s">
        <v>350</v>
      </c>
      <c r="H94" s="143" t="s">
        <v>351</v>
      </c>
      <c r="I94" s="143" t="s">
        <v>352</v>
      </c>
      <c r="J94" s="143" t="s">
        <v>353</v>
      </c>
      <c r="K94" s="143" t="s">
        <v>354</v>
      </c>
      <c r="L94" s="143" t="s">
        <v>355</v>
      </c>
      <c r="M94" s="143" t="s">
        <v>356</v>
      </c>
      <c r="N94" s="143" t="s">
        <v>70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0.5" hidden="1" customHeight="1">
      <c r="A95" s="934" t="s">
        <v>358</v>
      </c>
      <c r="B95" s="935" t="str">
        <f>(B8+'Demercado_senha capital OK'!B8+'Garoto senha_capital OK'!B8+'Hangar senha_capital OK'!B8+'Posto Esteio senha_capital OK'!B8+'Posto Curitiba_senha capital OK'!B8)/1000</f>
        <v>#REF!</v>
      </c>
      <c r="C95" s="935" t="str">
        <f>(C8+'Demercado_senha capital OK'!C8+'Garoto senha_capital OK'!C8+'Hangar senha_capital OK'!C8+'Posto Esteio senha_capital OK'!C8+'Posto Curitiba_senha capital OK'!C8)/1000</f>
        <v>#REF!</v>
      </c>
      <c r="D95" s="935" t="str">
        <f>(D8+'Demercado_senha capital OK'!D8+'Garoto senha_capital OK'!D8+'Hangar senha_capital OK'!D8+'Posto Esteio senha_capital OK'!D8+'Posto Curitiba_senha capital OK'!D8)/1000</f>
        <v>#REF!</v>
      </c>
      <c r="E95" s="935" t="str">
        <f>(E8+'Demercado_senha capital OK'!E8+'Garoto senha_capital OK'!E8+'Hangar senha_capital OK'!E8+'Posto Esteio senha_capital OK'!E8+'Posto Curitiba_senha capital OK'!E8)/1000</f>
        <v>#REF!</v>
      </c>
      <c r="F95" s="935" t="str">
        <f>(F8+'Demercado_senha capital OK'!F8+'Garoto senha_capital OK'!F8+'Hangar senha_capital OK'!F8+'Posto Esteio senha_capital OK'!F8+'Posto Curitiba_senha capital OK'!F8)/1000</f>
        <v>#REF!</v>
      </c>
      <c r="G95" s="935" t="str">
        <f>(G8+'Demercado_senha capital OK'!G8+'Garoto senha_capital OK'!G8+'Hangar senha_capital OK'!G8+'Posto Esteio senha_capital OK'!G8+'Posto Curitiba_senha capital OK'!G8)/1000</f>
        <v>#REF!</v>
      </c>
      <c r="H95" s="935" t="str">
        <f>(H8+'Demercado_senha capital OK'!H8+'Garoto senha_capital OK'!H8+'Hangar senha_capital OK'!H8+'Posto Esteio senha_capital OK'!H8+'Posto Curitiba_senha capital OK'!H8)/1000</f>
        <v>#REF!</v>
      </c>
      <c r="I95" s="935" t="str">
        <f>(I8+'Demercado_senha capital OK'!I8+'Garoto senha_capital OK'!I8+'Hangar senha_capital OK'!I8+'Posto Esteio senha_capital OK'!I8+'Posto Curitiba_senha capital OK'!I8)/1000</f>
        <v>#REF!</v>
      </c>
      <c r="J95" s="935" t="str">
        <f>(J8+'Demercado_senha capital OK'!J8+'Garoto senha_capital OK'!J8+'Hangar senha_capital OK'!J8+'Posto Esteio senha_capital OK'!J8+'Posto Curitiba_senha capital OK'!J8)/1000</f>
        <v>#REF!</v>
      </c>
      <c r="K95" s="935" t="str">
        <f>(K8+'Demercado_senha capital OK'!K8+'Garoto senha_capital OK'!K8+'Hangar senha_capital OK'!K8+'Posto Esteio senha_capital OK'!K8+'Posto Curitiba_senha capital OK'!K8)/1000</f>
        <v>#REF!</v>
      </c>
      <c r="L95" s="935" t="str">
        <f>(L8+'Demercado_senha capital OK'!L8+'Garoto senha_capital OK'!L8+'Hangar senha_capital OK'!L8+'Posto Esteio senha_capital OK'!L8+'Posto Curitiba_senha capital OK'!L8)/1000</f>
        <v>#REF!</v>
      </c>
      <c r="M95" s="935" t="str">
        <f>(M8+'Demercado_senha capital OK'!M8+'Garoto senha_capital OK'!M8+'Hangar senha_capital OK'!M8+'Posto Esteio senha_capital OK'!M8+'Posto Curitiba_senha capital OK'!M8)/1000</f>
        <v>#REF!</v>
      </c>
      <c r="N95" s="935" t="str">
        <f t="shared" ref="N95:N97" si="36">SUM(B95:M95)</f>
        <v>#REF!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0.5" hidden="1" customHeight="1">
      <c r="A96" s="934" t="s">
        <v>330</v>
      </c>
      <c r="B96" s="935" t="str">
        <f>(B24+'Demercado_senha capital OK'!B24+'Garoto senha_capital OK'!B38+'Hangar senha_capital OK'!B39+'Posto Esteio senha_capital OK'!B24+'Posto Curitiba_senha capital OK'!B24)/1000</f>
        <v>#REF!</v>
      </c>
      <c r="C96" s="935" t="str">
        <f>(C24+'Demercado_senha capital OK'!C24+'Garoto senha_capital OK'!C38+'Hangar senha_capital OK'!C39+'Posto Esteio senha_capital OK'!C24+'Posto Curitiba_senha capital OK'!C24)/1000</f>
        <v>#REF!</v>
      </c>
      <c r="D96" s="935" t="str">
        <f>(D24+'Demercado_senha capital OK'!D24+'Garoto senha_capital OK'!D38+'Hangar senha_capital OK'!D39+'Posto Esteio senha_capital OK'!D24+'Posto Curitiba_senha capital OK'!D24)/1000</f>
        <v>#REF!</v>
      </c>
      <c r="E96" s="935" t="str">
        <f>(E24+'Demercado_senha capital OK'!E24+'Garoto senha_capital OK'!E38+'Hangar senha_capital OK'!E39+'Posto Esteio senha_capital OK'!E24+'Posto Curitiba_senha capital OK'!E24)/1000</f>
        <v>#REF!</v>
      </c>
      <c r="F96" s="935" t="str">
        <f>(F24+'Demercado_senha capital OK'!F24+'Garoto senha_capital OK'!F38+'Hangar senha_capital OK'!F39+'Posto Esteio senha_capital OK'!F24+'Posto Curitiba_senha capital OK'!F24)/1000</f>
        <v>#REF!</v>
      </c>
      <c r="G96" s="935" t="str">
        <f>(G24+'Demercado_senha capital OK'!G24+'Garoto senha_capital OK'!G38+'Hangar senha_capital OK'!G39+'Posto Esteio senha_capital OK'!G24+'Posto Curitiba_senha capital OK'!G24)/1000</f>
        <v>#REF!</v>
      </c>
      <c r="H96" s="935" t="str">
        <f>(H24+'Demercado_senha capital OK'!H24+'Garoto senha_capital OK'!H38+'Hangar senha_capital OK'!H39+'Posto Esteio senha_capital OK'!H24+'Posto Curitiba_senha capital OK'!H24)/1000</f>
        <v>#REF!</v>
      </c>
      <c r="I96" s="935" t="str">
        <f>(I24+'Demercado_senha capital OK'!I24+'Garoto senha_capital OK'!I38+'Hangar senha_capital OK'!I39+'Posto Esteio senha_capital OK'!I24+'Posto Curitiba_senha capital OK'!I24)/1000</f>
        <v>#REF!</v>
      </c>
      <c r="J96" s="935" t="str">
        <f>(J24+'Demercado_senha capital OK'!J24+'Garoto senha_capital OK'!J38+'Hangar senha_capital OK'!J39+'Posto Esteio senha_capital OK'!J24+'Posto Curitiba_senha capital OK'!J24)/1000</f>
        <v>#REF!</v>
      </c>
      <c r="K96" s="935" t="str">
        <f>(K24+'Demercado_senha capital OK'!K24+'Garoto senha_capital OK'!K38+'Hangar senha_capital OK'!K39+'Posto Esteio senha_capital OK'!K24+'Posto Curitiba_senha capital OK'!K24)/1000</f>
        <v>#REF!</v>
      </c>
      <c r="L96" s="935" t="str">
        <f>(L24+'Demercado_senha capital OK'!L24+'Garoto senha_capital OK'!L38+'Hangar senha_capital OK'!L39+'Posto Esteio senha_capital OK'!L24+'Posto Curitiba_senha capital OK'!L24)/1000</f>
        <v>#REF!</v>
      </c>
      <c r="M96" s="935" t="str">
        <f>(M24+'Demercado_senha capital OK'!M24+'Garoto senha_capital OK'!M38+'Hangar senha_capital OK'!M39+'Posto Esteio senha_capital OK'!M24+'Posto Curitiba_senha capital OK'!M24)/1000</f>
        <v>#REF!</v>
      </c>
      <c r="N96" s="935" t="str">
        <f t="shared" si="36"/>
        <v>#REF!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0.5" hidden="1" customHeight="1">
      <c r="A97" s="934" t="s">
        <v>362</v>
      </c>
      <c r="B97" s="935" t="str">
        <f>(B40+'Demercado_senha capital OK'!B40+'Garoto senha_capital OK'!B54+'Hangar senha_capital OK'!B55+'Posto Esteio senha_capital OK'!B40+'Posto Curitiba_senha capital OK'!B40)/1000</f>
        <v>#REF!</v>
      </c>
      <c r="C97" s="935" t="str">
        <f>(C40+'Demercado_senha capital OK'!C40+'Garoto senha_capital OK'!C54+'Hangar senha_capital OK'!C55+'Posto Esteio senha_capital OK'!C40+'Posto Curitiba_senha capital OK'!C40)/1000</f>
        <v>#REF!</v>
      </c>
      <c r="D97" s="935" t="str">
        <f>(D40+'Demercado_senha capital OK'!D40+'Garoto senha_capital OK'!D54+'Hangar senha_capital OK'!D55+'Posto Esteio senha_capital OK'!D40+'Posto Curitiba_senha capital OK'!D40)/1000</f>
        <v>#REF!</v>
      </c>
      <c r="E97" s="935" t="str">
        <f>(E40+'Demercado_senha capital OK'!E40+'Garoto senha_capital OK'!E54+'Hangar senha_capital OK'!E55+'Posto Esteio senha_capital OK'!E40+'Posto Curitiba_senha capital OK'!E40)/1000</f>
        <v>#REF!</v>
      </c>
      <c r="F97" s="935" t="str">
        <f>(F40+'Demercado_senha capital OK'!F40+'Garoto senha_capital OK'!F54+'Hangar senha_capital OK'!F55+'Posto Esteio senha_capital OK'!F40+'Posto Curitiba_senha capital OK'!F40)/1000</f>
        <v>#REF!</v>
      </c>
      <c r="G97" s="935" t="str">
        <f>(G40+'Demercado_senha capital OK'!G40+'Garoto senha_capital OK'!G54+'Hangar senha_capital OK'!G55+'Posto Esteio senha_capital OK'!G40+'Posto Curitiba_senha capital OK'!G40)/1000</f>
        <v>#REF!</v>
      </c>
      <c r="H97" s="935" t="str">
        <f>(H40+'Demercado_senha capital OK'!H40+'Garoto senha_capital OK'!H54+'Hangar senha_capital OK'!H55+'Posto Esteio senha_capital OK'!H40+'Posto Curitiba_senha capital OK'!H40)/1000</f>
        <v>#REF!</v>
      </c>
      <c r="I97" s="935" t="str">
        <f>(I40+'Demercado_senha capital OK'!I40+'Garoto senha_capital OK'!I54+'Hangar senha_capital OK'!I55+'Posto Esteio senha_capital OK'!I40+'Posto Curitiba_senha capital OK'!I40)/1000</f>
        <v>#REF!</v>
      </c>
      <c r="J97" s="935" t="str">
        <f>(J40+'Demercado_senha capital OK'!J40+'Garoto senha_capital OK'!J54+'Hangar senha_capital OK'!J55+'Posto Esteio senha_capital OK'!J40+'Posto Curitiba_senha capital OK'!J40)/1000</f>
        <v>#REF!</v>
      </c>
      <c r="K97" s="935" t="str">
        <f>(K40+'Demercado_senha capital OK'!K40+'Garoto senha_capital OK'!K54+'Hangar senha_capital OK'!K55+'Posto Esteio senha_capital OK'!K40+'Posto Curitiba_senha capital OK'!K40)/1000</f>
        <v>#REF!</v>
      </c>
      <c r="L97" s="935" t="str">
        <f>(L40+'Demercado_senha capital OK'!L40+'Garoto senha_capital OK'!L54+'Hangar senha_capital OK'!L55+'Posto Esteio senha_capital OK'!L40+'Posto Curitiba_senha capital OK'!L40)/1000</f>
        <v>#REF!</v>
      </c>
      <c r="M97" s="935" t="str">
        <f>(M40+'Demercado_senha capital OK'!M40+'Garoto senha_capital OK'!M54+'Hangar senha_capital OK'!M55+'Posto Esteio senha_capital OK'!M40+'Posto Curitiba_senha capital OK'!M40)/1000</f>
        <v>#REF!</v>
      </c>
      <c r="N97" s="935" t="str">
        <f t="shared" si="36"/>
        <v>#REF!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0.5" hidden="1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0.5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4"/>
      <c r="M99" s="4"/>
      <c r="N99" s="5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customHeight="1">
      <c r="A102" s="813" t="s">
        <v>382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0.5" customHeight="1">
      <c r="A103" s="979"/>
      <c r="B103" s="980" t="s">
        <v>383</v>
      </c>
      <c r="C103" s="980" t="s">
        <v>385</v>
      </c>
      <c r="D103" s="980" t="s">
        <v>386</v>
      </c>
      <c r="E103" s="981"/>
      <c r="F103" s="980" t="s">
        <v>383</v>
      </c>
      <c r="G103" s="980" t="s">
        <v>385</v>
      </c>
      <c r="H103" s="980" t="s">
        <v>386</v>
      </c>
      <c r="I103" s="981"/>
      <c r="J103" s="980" t="s">
        <v>387</v>
      </c>
      <c r="K103" s="980" t="s">
        <v>388</v>
      </c>
      <c r="L103" s="980" t="s">
        <v>389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0.5" customHeight="1">
      <c r="A104" s="982" t="s">
        <v>390</v>
      </c>
      <c r="B104" s="983">
        <v>5430432.92</v>
      </c>
      <c r="C104" s="983">
        <v>5715350.98</v>
      </c>
      <c r="D104" s="983">
        <v>6126790.0</v>
      </c>
      <c r="E104" s="984"/>
      <c r="F104" s="983">
        <v>3.594230937E7</v>
      </c>
      <c r="G104" s="983">
        <v>3.908261778E7</v>
      </c>
      <c r="H104" s="983">
        <v>3.992489497E7</v>
      </c>
      <c r="I104" s="984"/>
      <c r="J104" s="983">
        <v>6.303315652E7</v>
      </c>
      <c r="K104" s="983">
        <v>6.83264373E7</v>
      </c>
      <c r="L104" s="983">
        <v>6.970486779E7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0.5" customHeight="1">
      <c r="A105" s="982" t="s">
        <v>392</v>
      </c>
      <c r="B105" s="985">
        <v>-198210.8</v>
      </c>
      <c r="C105" s="985">
        <v>-208610.31</v>
      </c>
      <c r="D105" s="985">
        <v>-223627.84</v>
      </c>
      <c r="E105" s="987"/>
      <c r="F105" s="985">
        <v>-1465185.57</v>
      </c>
      <c r="G105" s="985">
        <v>-1426515.55</v>
      </c>
      <c r="H105" s="985">
        <v>-1457258.64</v>
      </c>
      <c r="I105" s="987"/>
      <c r="J105" s="985">
        <v>-2455084.0</v>
      </c>
      <c r="K105" s="985">
        <v>-2493914.96</v>
      </c>
      <c r="L105" s="985">
        <v>-2544227.65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0.5" customHeight="1">
      <c r="A106" s="982" t="s">
        <v>394</v>
      </c>
      <c r="B106" s="983">
        <v>5232222.12</v>
      </c>
      <c r="C106" s="983">
        <v>5506740.67</v>
      </c>
      <c r="D106" s="983">
        <v>5903162.16</v>
      </c>
      <c r="E106" s="984"/>
      <c r="F106" s="983">
        <v>3.44771238E7</v>
      </c>
      <c r="G106" s="983">
        <v>3.765610223E7</v>
      </c>
      <c r="H106" s="983">
        <v>3.846763633E7</v>
      </c>
      <c r="I106" s="984"/>
      <c r="J106" s="983">
        <v>6.057807252E7</v>
      </c>
      <c r="K106" s="983">
        <v>6.583252234E7</v>
      </c>
      <c r="L106" s="983">
        <v>6.716064014E7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s="982" t="s">
        <v>395</v>
      </c>
      <c r="B107" s="983">
        <v>0.0</v>
      </c>
      <c r="C107" s="983">
        <v>0.0</v>
      </c>
      <c r="D107" s="983">
        <v>0.0</v>
      </c>
      <c r="E107" s="987"/>
      <c r="F107" s="985">
        <v>-75107.15</v>
      </c>
      <c r="G107" s="983">
        <v>0.0</v>
      </c>
      <c r="H107" s="983">
        <v>0.0</v>
      </c>
      <c r="I107" s="987"/>
      <c r="J107" s="985">
        <v>-75107.15</v>
      </c>
      <c r="K107" s="983">
        <v>0.0</v>
      </c>
      <c r="L107" s="983">
        <v>0.0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s="982" t="s">
        <v>397</v>
      </c>
      <c r="B108" s="983">
        <v>5232222.12</v>
      </c>
      <c r="C108" s="983">
        <v>5506740.67</v>
      </c>
      <c r="D108" s="983">
        <v>5903162.16</v>
      </c>
      <c r="E108" s="984"/>
      <c r="F108" s="983">
        <v>3.440201665E7</v>
      </c>
      <c r="G108" s="983">
        <v>3.765610223E7</v>
      </c>
      <c r="H108" s="983">
        <v>3.846763633E7</v>
      </c>
      <c r="I108" s="984"/>
      <c r="J108" s="983">
        <v>6.050296537E7</v>
      </c>
      <c r="K108" s="983">
        <v>6.583252234E7</v>
      </c>
      <c r="L108" s="983">
        <v>6.716064014E7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0.5" customHeight="1">
      <c r="A109" s="982" t="s">
        <v>398</v>
      </c>
      <c r="B109" s="985">
        <v>-1147166.72</v>
      </c>
      <c r="C109" s="985">
        <v>-1033654.95</v>
      </c>
      <c r="D109" s="985">
        <v>-928213.31</v>
      </c>
      <c r="E109" s="987"/>
      <c r="F109" s="985">
        <v>-5926349.62</v>
      </c>
      <c r="G109" s="985">
        <v>-6878181.58</v>
      </c>
      <c r="H109" s="985">
        <v>-6069564.3</v>
      </c>
      <c r="I109" s="987"/>
      <c r="J109" s="985">
        <v>-1.141579819E7</v>
      </c>
      <c r="K109" s="985">
        <v>-1.143917423E7</v>
      </c>
      <c r="L109" s="985">
        <v>-1.144849256E7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0.5" customHeight="1">
      <c r="A110" s="982" t="s">
        <v>400</v>
      </c>
      <c r="B110" s="983">
        <v>4085055.4</v>
      </c>
      <c r="C110" s="983">
        <v>4473085.72</v>
      </c>
      <c r="D110" s="983">
        <v>4974948.85</v>
      </c>
      <c r="E110" s="984"/>
      <c r="F110" s="983">
        <v>2.847566703E7</v>
      </c>
      <c r="G110" s="983">
        <v>3.077792065E7</v>
      </c>
      <c r="H110" s="983">
        <v>3.239807203E7</v>
      </c>
      <c r="I110" s="984"/>
      <c r="J110" s="983">
        <v>4.908716718E7</v>
      </c>
      <c r="K110" s="983">
        <v>5.439334811E7</v>
      </c>
      <c r="L110" s="983">
        <v>5.571214758E7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0.5" customHeight="1">
      <c r="A111" s="982" t="s">
        <v>401</v>
      </c>
      <c r="B111" s="985">
        <v>-418153.69</v>
      </c>
      <c r="C111" s="985">
        <v>-468143.01</v>
      </c>
      <c r="D111" s="985">
        <v>-436857.04</v>
      </c>
      <c r="E111" s="987"/>
      <c r="F111" s="985">
        <v>-2118739.55</v>
      </c>
      <c r="G111" s="985">
        <v>-3160539.2</v>
      </c>
      <c r="H111" s="985">
        <v>-2996902.14</v>
      </c>
      <c r="I111" s="987"/>
      <c r="J111" s="985">
        <v>-4218935.53</v>
      </c>
      <c r="K111" s="985">
        <v>-5667346.27</v>
      </c>
      <c r="L111" s="985">
        <v>-5410216.66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0.5" customHeight="1">
      <c r="A112" s="982" t="s">
        <v>403</v>
      </c>
      <c r="B112" s="983">
        <v>3666901.71</v>
      </c>
      <c r="C112" s="983">
        <v>4004942.71</v>
      </c>
      <c r="D112" s="983">
        <v>4538091.81</v>
      </c>
      <c r="E112" s="984"/>
      <c r="F112" s="983">
        <v>2.635692748E7</v>
      </c>
      <c r="G112" s="983">
        <v>2.761738145E7</v>
      </c>
      <c r="H112" s="983">
        <v>2.940116989E7</v>
      </c>
      <c r="I112" s="984"/>
      <c r="J112" s="983">
        <v>4.486823165E7</v>
      </c>
      <c r="K112" s="983">
        <v>4.872600184E7</v>
      </c>
      <c r="L112" s="983">
        <v>5.030193092E7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0.5" customHeight="1">
      <c r="A113" s="982" t="s">
        <v>84</v>
      </c>
      <c r="B113" s="983">
        <v>261442.48</v>
      </c>
      <c r="C113" s="983">
        <v>46677.86</v>
      </c>
      <c r="D113" s="983">
        <v>148465.75</v>
      </c>
      <c r="E113" s="984"/>
      <c r="F113" s="983">
        <v>1823138.71</v>
      </c>
      <c r="G113" s="983">
        <v>325649.52</v>
      </c>
      <c r="H113" s="983">
        <v>766179.74</v>
      </c>
      <c r="I113" s="984"/>
      <c r="J113" s="983">
        <v>2687772.21</v>
      </c>
      <c r="K113" s="983">
        <v>598753.97</v>
      </c>
      <c r="L113" s="983">
        <v>932258.43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0.5" customHeight="1">
      <c r="A114" s="988" t="s">
        <v>405</v>
      </c>
      <c r="B114" s="989">
        <v>290217.71</v>
      </c>
      <c r="C114" s="989">
        <v>65443.7</v>
      </c>
      <c r="D114" s="989">
        <v>166967.91</v>
      </c>
      <c r="E114" s="984"/>
      <c r="F114" s="989">
        <v>2156353.06</v>
      </c>
      <c r="G114" s="989">
        <v>465445.33</v>
      </c>
      <c r="H114" s="989">
        <v>908459.88</v>
      </c>
      <c r="I114" s="984"/>
      <c r="J114" s="989">
        <v>3135243.32</v>
      </c>
      <c r="K114" s="989">
        <v>825712.63</v>
      </c>
      <c r="L114" s="989">
        <v>1161701.42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s="988" t="s">
        <v>407</v>
      </c>
      <c r="B115" s="990">
        <v>-28775.23</v>
      </c>
      <c r="C115" s="990">
        <v>-18765.84</v>
      </c>
      <c r="D115" s="990">
        <v>-18502.16</v>
      </c>
      <c r="E115" s="984"/>
      <c r="F115" s="990">
        <v>-333214.35</v>
      </c>
      <c r="G115" s="990">
        <v>-139795.81</v>
      </c>
      <c r="H115" s="990">
        <v>-142280.14</v>
      </c>
      <c r="I115" s="984"/>
      <c r="J115" s="990">
        <v>-447471.11</v>
      </c>
      <c r="K115" s="990">
        <v>-226958.66</v>
      </c>
      <c r="L115" s="990">
        <v>-229442.99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0.5" customHeight="1">
      <c r="A116" s="982" t="s">
        <v>86</v>
      </c>
      <c r="B116" s="983">
        <v>3928344.19</v>
      </c>
      <c r="C116" s="983">
        <v>4051620.57</v>
      </c>
      <c r="D116" s="983">
        <v>4686557.56</v>
      </c>
      <c r="E116" s="984"/>
      <c r="F116" s="983">
        <v>2.818006619E7</v>
      </c>
      <c r="G116" s="983">
        <v>2.794303097E7</v>
      </c>
      <c r="H116" s="983">
        <v>3.016734963E7</v>
      </c>
      <c r="I116" s="984"/>
      <c r="J116" s="983">
        <v>4.755600386E7</v>
      </c>
      <c r="K116" s="983">
        <v>4.932475581E7</v>
      </c>
      <c r="L116" s="983">
        <v>5.123418935E7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0.5" customHeight="1">
      <c r="A117" s="982" t="s">
        <v>87</v>
      </c>
      <c r="B117" s="985">
        <v>-687933.52</v>
      </c>
      <c r="C117" s="985">
        <v>-705806.83</v>
      </c>
      <c r="D117" s="985">
        <v>-774851.72</v>
      </c>
      <c r="E117" s="987"/>
      <c r="F117" s="985">
        <v>-4593473.62</v>
      </c>
      <c r="G117" s="985">
        <v>-4832532.51</v>
      </c>
      <c r="H117" s="985">
        <v>-5025131.65</v>
      </c>
      <c r="I117" s="987"/>
      <c r="J117" s="985">
        <v>-7868480.52</v>
      </c>
      <c r="K117" s="985">
        <v>-8452584.22</v>
      </c>
      <c r="L117" s="985">
        <v>-8672918.54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0.5" customHeight="1">
      <c r="A118" s="982" t="s">
        <v>410</v>
      </c>
      <c r="B118" s="983">
        <v>3240410.67</v>
      </c>
      <c r="C118" s="983">
        <v>3345813.74</v>
      </c>
      <c r="D118" s="983">
        <v>3911705.84</v>
      </c>
      <c r="E118" s="984"/>
      <c r="F118" s="983">
        <v>2.358659257E7</v>
      </c>
      <c r="G118" s="983">
        <v>2.311049846E7</v>
      </c>
      <c r="H118" s="983">
        <v>2.514221798E7</v>
      </c>
      <c r="I118" s="984"/>
      <c r="J118" s="983">
        <v>3.968752334E7</v>
      </c>
      <c r="K118" s="983">
        <v>4.087217159E7</v>
      </c>
      <c r="L118" s="983">
        <v>4.256127081E7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0.5" customHeight="1">
      <c r="A119" s="988" t="s">
        <v>411</v>
      </c>
      <c r="B119" s="992">
        <v>0.7808</v>
      </c>
      <c r="C119" s="992">
        <v>0.8123</v>
      </c>
      <c r="D119" s="992">
        <v>0.8428</v>
      </c>
      <c r="E119" s="993"/>
      <c r="F119" s="992">
        <v>0.8259</v>
      </c>
      <c r="G119" s="992">
        <v>0.8173</v>
      </c>
      <c r="H119" s="993"/>
      <c r="I119" s="993"/>
      <c r="J119" s="992">
        <v>0.8103</v>
      </c>
      <c r="K119" s="992">
        <v>0.8262</v>
      </c>
      <c r="L119" s="992">
        <v>0.8295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0.5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0.5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0.5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0.5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0.5" customHeigh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0.5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0.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0.5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0.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0.5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0.5" customHeight="1">
      <c r="A130" s="1005"/>
      <c r="B130" s="1007"/>
      <c r="C130" s="1007"/>
      <c r="D130" s="1007"/>
      <c r="E130" s="1007"/>
      <c r="F130" s="1007"/>
      <c r="G130" s="1007"/>
      <c r="H130" s="1007"/>
      <c r="I130" s="1007"/>
      <c r="J130" s="1007"/>
      <c r="K130" s="1007"/>
      <c r="L130" s="1005"/>
      <c r="M130" s="1005"/>
      <c r="N130" s="1005"/>
      <c r="O130" s="1005"/>
      <c r="P130" s="1005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0.5" customHeight="1">
      <c r="A131" s="1005"/>
      <c r="B131" s="1007"/>
      <c r="C131" s="1007"/>
      <c r="D131" s="1007"/>
      <c r="E131" s="1007"/>
      <c r="F131" s="1007"/>
      <c r="G131" s="1007"/>
      <c r="H131" s="1007"/>
      <c r="I131" s="1007"/>
      <c r="J131" s="1007"/>
      <c r="K131" s="1007"/>
      <c r="L131" s="1005"/>
      <c r="M131" s="1005"/>
      <c r="N131" s="1005"/>
      <c r="O131" s="1005"/>
      <c r="P131" s="1005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0.5" customHeight="1">
      <c r="A132" s="1005"/>
      <c r="B132" s="1007"/>
      <c r="C132" s="1007"/>
      <c r="D132" s="1007"/>
      <c r="E132" s="1007"/>
      <c r="F132" s="1007"/>
      <c r="G132" s="1007"/>
      <c r="H132" s="1007"/>
      <c r="I132" s="1007"/>
      <c r="J132" s="1007"/>
      <c r="K132" s="1007"/>
      <c r="L132" s="1005"/>
      <c r="M132" s="1005"/>
      <c r="N132" s="1005"/>
      <c r="O132" s="1005"/>
      <c r="P132" s="1005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0.5" customHeight="1">
      <c r="A133" s="1009"/>
      <c r="B133" s="1009"/>
      <c r="C133" s="1009"/>
      <c r="D133" s="1009"/>
      <c r="E133" s="1009"/>
      <c r="F133" s="1009"/>
      <c r="G133" s="1009"/>
      <c r="H133" s="1009"/>
      <c r="I133" s="1009"/>
      <c r="J133" s="1009"/>
      <c r="K133" s="1009"/>
      <c r="L133" s="1009"/>
      <c r="M133" s="1009"/>
      <c r="N133" s="1009"/>
      <c r="O133" s="1005"/>
      <c r="P133" s="1005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0.5" customHeight="1">
      <c r="A134" s="1011"/>
      <c r="B134" s="1011"/>
      <c r="C134" s="1011"/>
      <c r="D134" s="1011"/>
      <c r="E134" s="1011"/>
      <c r="F134" s="1011"/>
      <c r="G134" s="1011"/>
      <c r="H134" s="1011"/>
      <c r="I134" s="1011"/>
      <c r="J134" s="1011"/>
      <c r="K134" s="1011"/>
      <c r="L134" s="1011"/>
      <c r="M134" s="1011"/>
      <c r="N134" s="321"/>
      <c r="O134" s="1005"/>
      <c r="P134" s="1005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0.5" customHeight="1">
      <c r="A135" s="1011"/>
      <c r="B135" s="1011"/>
      <c r="C135" s="1011"/>
      <c r="D135" s="1011"/>
      <c r="E135" s="1011"/>
      <c r="F135" s="1011"/>
      <c r="G135" s="1011"/>
      <c r="H135" s="1011"/>
      <c r="I135" s="1011"/>
      <c r="J135" s="1011"/>
      <c r="K135" s="1011"/>
      <c r="L135" s="1011"/>
      <c r="M135" s="1011"/>
      <c r="N135" s="321"/>
      <c r="O135" s="1005"/>
      <c r="P135" s="1005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0.5" customHeight="1">
      <c r="A136" s="1011"/>
      <c r="B136" s="1011"/>
      <c r="C136" s="1011"/>
      <c r="D136" s="1011"/>
      <c r="E136" s="1011"/>
      <c r="F136" s="1011"/>
      <c r="G136" s="1011"/>
      <c r="H136" s="1011"/>
      <c r="I136" s="1011"/>
      <c r="J136" s="1011"/>
      <c r="K136" s="1011"/>
      <c r="L136" s="1011"/>
      <c r="M136" s="1012"/>
      <c r="N136" s="321"/>
      <c r="O136" s="1005"/>
      <c r="P136" s="1005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0.5" customHeight="1">
      <c r="A137" s="1005"/>
      <c r="B137" s="1007"/>
      <c r="C137" s="1007"/>
      <c r="D137" s="1007"/>
      <c r="E137" s="1007"/>
      <c r="F137" s="1007"/>
      <c r="G137" s="1007"/>
      <c r="H137" s="1007"/>
      <c r="I137" s="1007"/>
      <c r="J137" s="1007"/>
      <c r="K137" s="1007"/>
      <c r="L137" s="1005"/>
      <c r="M137" s="1005"/>
      <c r="N137" s="1005"/>
      <c r="O137" s="1005"/>
      <c r="P137" s="1005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0.5" customHeight="1">
      <c r="A138" s="1005"/>
      <c r="B138" s="1007"/>
      <c r="C138" s="1007"/>
      <c r="D138" s="1007"/>
      <c r="E138" s="1007"/>
      <c r="F138" s="1007"/>
      <c r="G138" s="1007"/>
      <c r="H138" s="1007"/>
      <c r="I138" s="1007"/>
      <c r="J138" s="1007"/>
      <c r="K138" s="1007"/>
      <c r="L138" s="1005"/>
      <c r="M138" s="1005"/>
      <c r="N138" s="1005"/>
      <c r="O138" s="1005"/>
      <c r="P138" s="1005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0.5" customHeight="1">
      <c r="A139" s="1005"/>
      <c r="B139" s="1007"/>
      <c r="C139" s="1007"/>
      <c r="D139" s="1007"/>
      <c r="E139" s="1007"/>
      <c r="F139" s="1007"/>
      <c r="G139" s="1007"/>
      <c r="H139" s="1007"/>
      <c r="I139" s="1007"/>
      <c r="J139" s="1007"/>
      <c r="K139" s="1007"/>
      <c r="L139" s="1005"/>
      <c r="M139" s="1005"/>
      <c r="N139" s="1005"/>
      <c r="O139" s="1005"/>
      <c r="P139" s="1005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0.5" customHeight="1">
      <c r="A140" s="1005"/>
      <c r="B140" s="1007"/>
      <c r="C140" s="1007"/>
      <c r="D140" s="1007"/>
      <c r="E140" s="1007"/>
      <c r="F140" s="1007"/>
      <c r="G140" s="1007"/>
      <c r="H140" s="1007"/>
      <c r="I140" s="1007"/>
      <c r="J140" s="1007"/>
      <c r="K140" s="1007"/>
      <c r="L140" s="1005"/>
      <c r="M140" s="1005"/>
      <c r="N140" s="1005"/>
      <c r="O140" s="1005"/>
      <c r="P140" s="1005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0.5" customHeight="1">
      <c r="A141" s="1005"/>
      <c r="B141" s="1007"/>
      <c r="C141" s="1007"/>
      <c r="D141" s="1007"/>
      <c r="E141" s="1007"/>
      <c r="F141" s="1007"/>
      <c r="G141" s="1007"/>
      <c r="H141" s="1007"/>
      <c r="I141" s="1007"/>
      <c r="J141" s="1007"/>
      <c r="K141" s="1007"/>
      <c r="L141" s="1005"/>
      <c r="M141" s="1005"/>
      <c r="N141" s="1005"/>
      <c r="O141" s="1005"/>
      <c r="P141" s="1005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0.5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0.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0.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0.5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0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0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0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0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0.5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0.5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0.5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0.5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0.5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0.5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0.5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0.5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0.5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0.5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0.5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0.5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0.5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0.5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0.5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0.5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0.5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0.5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0.5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0.5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0.5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0.5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0.5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0.5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0.5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0.5" customHeight="1">
      <c r="A188" s="4"/>
      <c r="B188" s="5"/>
      <c r="C188" s="5"/>
      <c r="D188" s="5"/>
      <c r="E188" s="5"/>
      <c r="F188" s="5"/>
      <c r="G188" s="5"/>
      <c r="H188" s="1027"/>
      <c r="I188" s="1027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4"/>
      <c r="B189" s="5"/>
      <c r="C189" s="5"/>
      <c r="D189" s="5"/>
      <c r="E189" s="5"/>
      <c r="F189" s="5"/>
      <c r="G189" s="5"/>
      <c r="H189" s="1027"/>
      <c r="I189" s="5"/>
      <c r="J189" s="5"/>
      <c r="K189" s="1028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0.5" customHeight="1">
      <c r="A190" s="4"/>
      <c r="B190" s="5"/>
      <c r="C190" s="5"/>
      <c r="D190" s="5"/>
      <c r="E190" s="5"/>
      <c r="F190" s="5"/>
      <c r="G190" s="5"/>
      <c r="H190" s="1027"/>
      <c r="I190" s="5"/>
      <c r="J190" s="5"/>
      <c r="K190" s="1028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4"/>
      <c r="B191" s="5"/>
      <c r="C191" s="5"/>
      <c r="D191" s="5"/>
      <c r="E191" s="5"/>
      <c r="F191" s="5"/>
      <c r="G191" s="5"/>
      <c r="H191" s="1027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0.5" customHeight="1">
      <c r="A192" s="4"/>
      <c r="B192" s="5"/>
      <c r="C192" s="5"/>
      <c r="D192" s="5"/>
      <c r="E192" s="5"/>
      <c r="F192" s="5"/>
      <c r="G192" s="5"/>
      <c r="H192" s="1027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0.5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0.5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0.5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0.5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0.5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0.5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0.5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0.5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0.5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0.5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0.5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0.5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0.5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0.5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0.5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0.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0.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0.5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0.5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0.5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0.5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0.5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0.5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0.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0.5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0.5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0.5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0.5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0.5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0.5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0.5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0.5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0.5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0.5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0.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0.5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0.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0.5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0.5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0.5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0.5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.5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0.5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0.5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0.5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0.5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0.5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0.5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0.5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0.5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0.5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0.5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0.5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0.5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0.5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0.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0.5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0.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0.5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0.5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0.5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0.5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0.5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0.5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0.5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0.5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0.5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0.5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0.5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0.5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0.5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0.5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0.5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0.5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0.5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0.5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0.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0.5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0.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0.5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0.5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0.5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0.5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0.5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0.5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0.5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0.5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0.5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0.5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0.5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0.5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0.5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0.5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0.5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0.5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0.5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0.5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0.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0.5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0.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0.5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0.5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0.5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0.5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0.5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0.5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0.5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0.5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0.5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0.5" customHeight="1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0.5" customHeight="1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0.5" customHeight="1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0.5" customHeight="1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0.5" customHeight="1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0.5" customHeight="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0.5" customHeight="1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0.5" customHeight="1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0.5" customHeight="1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0.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0.5" customHeight="1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0.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0.5" customHeight="1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0.5" customHeight="1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0.5" customHeight="1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0.5" customHeight="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0.5" customHeight="1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0.5" customHeight="1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0.5" customHeight="1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0.5" customHeight="1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0.5" customHeight="1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0.5" customHeight="1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0.5" customHeight="1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0.5" customHeight="1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0.5" customHeight="1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0.5" customHeight="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0.5" customHeight="1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0.5" customHeight="1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0.5" customHeight="1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0.5" customHeight="1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0.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0.5" customHeight="1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0.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0.5" customHeight="1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0.5" customHeight="1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0.5" customHeight="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0.5" customHeight="1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0.5" customHeight="1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0.5" customHeight="1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0.5" customHeight="1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0.5" customHeight="1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0.5" customHeight="1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0.5" customHeight="1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0.5" customHeight="1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0.5" customHeight="1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0.5" customHeight="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0.5" customHeight="1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0.5" customHeight="1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0.5" customHeight="1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0.5" customHeight="1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0.5" customHeight="1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0.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0.5" customHeight="1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0.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0.5" customHeight="1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0.5" customHeight="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0.5" customHeight="1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0.5" customHeight="1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0.5" customHeight="1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0.5" customHeight="1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0.5" customHeight="1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0.5" customHeight="1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0.5" customHeight="1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0.5" customHeight="1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0.5" customHeight="1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0.5" customHeight="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0.5" customHeight="1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0.5" customHeight="1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0.5" customHeight="1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0.5" customHeight="1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0.5" customHeight="1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0.5" customHeight="1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0.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0.5" customHeight="1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0.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0.5" customHeight="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0.5" customHeight="1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0.5" customHeight="1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0.5" customHeight="1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0.5" customHeight="1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0.5" customHeight="1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0.5" customHeight="1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0.5" customHeight="1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0.5" customHeight="1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0.5" customHeight="1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0.5" customHeight="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0.5" customHeight="1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0.5" customHeight="1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0.5" customHeight="1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0.5" customHeight="1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0.5" customHeight="1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0.5" customHeight="1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0.5" customHeight="1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0.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0.5" customHeight="1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0.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0.5" customHeight="1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0.5" customHeight="1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0.5" customHeight="1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0.5" customHeight="1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0.5" customHeight="1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0.5" customHeight="1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0.5" customHeight="1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0.5" customHeight="1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0.5" customHeight="1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0.5" customHeight="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0.5" customHeight="1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0.5" customHeight="1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0.5" customHeight="1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0.5" customHeight="1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0.5" customHeight="1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0.5" customHeight="1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0.5" customHeight="1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0.5" customHeight="1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0.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0.5" customHeight="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0.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0.5" customHeight="1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0.5" customHeight="1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0.5" customHeight="1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0.5" customHeight="1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0.5" customHeight="1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0.5" customHeight="1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0.5" customHeight="1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0.5" customHeight="1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0.5" customHeight="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0.5" customHeight="1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0.5" customHeight="1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0.5" customHeight="1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0.5" customHeight="1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0.5" customHeight="1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0.5" customHeight="1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0.5" customHeight="1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0.5" customHeight="1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0.5" customHeight="1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0.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0.5" customHeight="1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0.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0.5" customHeight="1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0.5" customHeight="1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0.5" customHeight="1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0.5" customHeight="1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0.5" customHeight="1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0.5" customHeight="1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0.5" customHeight="1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0.5" customHeight="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0.5" customHeight="1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0.5" customHeight="1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0.5" customHeight="1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0.5" customHeight="1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0.5" customHeight="1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0.5" customHeight="1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0.5" customHeight="1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0.5" customHeight="1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0.5" customHeight="1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0.5" customHeight="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0.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0.5" customHeight="1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0.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0.5" customHeight="1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0.5" customHeight="1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0.5" customHeight="1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0.5" customHeight="1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0.5" customHeight="1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0.5" customHeight="1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0.5" customHeight="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0.5" customHeight="1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0.5" customHeight="1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0.5" customHeight="1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0.5" customHeight="1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0.5" customHeight="1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0.5" customHeight="1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0.5" customHeight="1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0.5" customHeight="1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0.5" customHeight="1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0.5" customHeight="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0.5" customHeight="1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0.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0.5" customHeight="1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0.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0.5" customHeight="1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0.5" customHeight="1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0.5" customHeight="1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0.5" customHeight="1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0.5" customHeight="1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0.5" customHeight="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0.5" customHeight="1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0.5" customHeight="1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0.5" customHeight="1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0.5" customHeight="1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0.5" customHeight="1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0.5" customHeight="1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0.5" customHeight="1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0.5" customHeight="1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0.5" customHeight="1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0.5" customHeight="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0.5" customHeight="1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0.5" customHeight="1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0.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0.5" customHeight="1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0.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0.5" customHeight="1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0.5" customHeight="1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0.5" customHeight="1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0.5" customHeight="1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0.5" customHeight="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0.5" customHeight="1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0.5" customHeight="1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0.5" customHeight="1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0.5" customHeight="1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0.5" customHeight="1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0.5" customHeight="1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0.5" customHeight="1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0.5" customHeight="1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0.5" customHeight="1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0.5" customHeight="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0.5" customHeight="1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0.5" customHeight="1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0.5" customHeight="1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0.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0.5" customHeight="1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0.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0.5" customHeight="1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0.5" customHeight="1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0.5" customHeight="1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0.5" customHeight="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0.5" customHeight="1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0.5" customHeight="1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0.5" customHeight="1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0.5" customHeight="1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0.5" customHeight="1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0.5" customHeight="1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0.5" customHeight="1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0.5" customHeight="1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0.5" customHeight="1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0.5" customHeight="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0.5" customHeight="1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0.5" customHeight="1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0.5" customHeight="1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0.5" customHeight="1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0.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0.5" customHeight="1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0.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0.5" customHeight="1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0.5" customHeight="1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0.5" customHeight="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0.5" customHeight="1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0.5" customHeight="1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0.5" customHeight="1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0.5" customHeight="1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0.5" customHeight="1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0.5" customHeight="1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0.5" customHeight="1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0.5" customHeight="1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0.5" customHeight="1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0.5" customHeight="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0.5" customHeight="1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0.5" customHeight="1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0.5" customHeight="1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0.5" customHeight="1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0.5" customHeight="1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0.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0.5" customHeight="1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0.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0.5" customHeight="1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0.5" customHeight="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0.5" customHeight="1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0.5" customHeight="1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0.5" customHeight="1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0.5" customHeight="1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0.5" customHeight="1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0.5" customHeight="1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0.5" customHeight="1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0.5" customHeight="1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0.5" customHeight="1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0.5" customHeight="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0.5" customHeight="1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0.5" customHeight="1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0.5" customHeight="1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0.5" customHeight="1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0.5" customHeight="1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0.5" customHeight="1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0.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0.5" customHeight="1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0.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0.5" customHeight="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0.5" customHeight="1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0.5" customHeight="1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0.5" customHeight="1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0.5" customHeight="1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0.5" customHeight="1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0.5" customHeight="1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0.5" customHeight="1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0.5" customHeight="1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0.5" customHeight="1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0.5" customHeight="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0.5" customHeight="1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0.5" customHeight="1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0.5" customHeight="1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0.5" customHeight="1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0.5" customHeight="1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0.5" customHeight="1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0.5" customHeight="1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0.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0.5" customHeight="1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0.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0.5" customHeight="1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0.5" customHeight="1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0.5" customHeight="1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0.5" customHeight="1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0.5" customHeight="1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0.5" customHeight="1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0.5" customHeight="1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0.5" customHeight="1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0.5" customHeight="1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0.5" customHeight="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0.5" customHeight="1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0.5" customHeight="1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0.5" customHeight="1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0.5" customHeight="1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0.5" customHeight="1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0.5" customHeight="1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0.5" customHeight="1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0.5" customHeight="1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0.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0.5" customHeight="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0.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0.5" customHeight="1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0.5" customHeight="1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0.5" customHeight="1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0.5" customHeight="1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0.5" customHeight="1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0.5" customHeight="1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0.5" customHeight="1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0.5" customHeight="1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0.5" customHeight="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0.5" customHeight="1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0.5" customHeight="1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0.5" customHeight="1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0.5" customHeight="1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0.5" customHeight="1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0.5" customHeight="1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0.5" customHeight="1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0.5" customHeight="1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0.5" customHeight="1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0.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0.5" customHeight="1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0.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0.5" customHeight="1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0.5" customHeight="1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0.5" customHeight="1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0.5" customHeight="1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0.5" customHeight="1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0.5" customHeight="1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0.5" customHeight="1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0.5" customHeight="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0.5" customHeight="1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0.5" customHeight="1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0.5" customHeight="1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0.5" customHeight="1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0.5" customHeight="1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0.5" customHeight="1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0.5" customHeight="1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0.5" customHeight="1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0.5" customHeight="1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0.5" customHeight="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0.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0.5" customHeight="1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0.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0.5" customHeight="1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0.5" customHeight="1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0.5" customHeight="1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0.5" customHeight="1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0.5" customHeight="1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0.5" customHeight="1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0.5" customHeight="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0.5" customHeight="1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0.5" customHeight="1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0.5" customHeight="1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0.5" customHeight="1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0.5" customHeight="1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0.5" customHeight="1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0.5" customHeight="1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0.5" customHeight="1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0.5" customHeight="1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0.5" customHeight="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0.5" customHeight="1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0.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0.5" customHeight="1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0.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0.5" customHeight="1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0.5" customHeight="1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0.5" customHeight="1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0.5" customHeight="1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0.5" customHeight="1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0.5" customHeight="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0.5" customHeight="1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0.5" customHeight="1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0.5" customHeight="1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0.5" customHeight="1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0.5" customHeight="1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0.5" customHeight="1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0.5" customHeight="1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0.5" customHeight="1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0.5" customHeight="1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0.5" customHeight="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0.5" customHeight="1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0.5" customHeight="1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0.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0.5" customHeight="1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0.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0.5" customHeight="1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0.5" customHeight="1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0.5" customHeight="1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0.5" customHeight="1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0.5" customHeight="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0.5" customHeight="1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0.5" customHeight="1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0.5" customHeight="1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0.5" customHeight="1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0.5" customHeight="1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0.5" customHeight="1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0.5" customHeight="1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0.5" customHeight="1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0.5" customHeight="1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0.5" customHeight="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0.5" customHeight="1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0.5" customHeight="1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0.5" customHeight="1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0.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0.5" customHeight="1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0.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0.5" customHeight="1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0.5" customHeight="1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0.5" customHeight="1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0.5" customHeight="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0.5" customHeight="1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0.5" customHeight="1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0.5" customHeight="1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0.5" customHeight="1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0.5" customHeight="1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0.5" customHeight="1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0.5" customHeight="1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0.5" customHeight="1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0.5" customHeight="1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0.5" customHeight="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0.5" customHeight="1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0.5" customHeight="1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0.5" customHeight="1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0.5" customHeight="1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0.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0.5" customHeight="1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0.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0.5" customHeight="1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0.5" customHeight="1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0.5" customHeight="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0.5" customHeight="1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0.5" customHeight="1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0.5" customHeight="1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0.5" customHeight="1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0.5" customHeight="1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0.5" customHeight="1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0.5" customHeight="1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0.5" customHeight="1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0.5" customHeight="1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0.5" customHeight="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0.5" customHeight="1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0.5" customHeight="1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0.5" customHeight="1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0.5" customHeight="1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0.5" customHeight="1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0.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0.5" customHeight="1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0.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0.5" customHeight="1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0.5" customHeight="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0.5" customHeight="1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0.5" customHeight="1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0.5" customHeight="1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0.5" customHeight="1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0.5" customHeight="1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0.5" customHeight="1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0.5" customHeight="1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0.5" customHeight="1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0.5" customHeight="1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0.5" customHeight="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0.5" customHeight="1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0.5" customHeight="1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0.5" customHeight="1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0.5" customHeight="1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0.5" customHeight="1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0.5" customHeight="1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0.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0.5" customHeight="1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0.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0.5" customHeight="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0.5" customHeight="1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0.5" customHeight="1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0.5" customHeight="1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0.5" customHeight="1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0.5" customHeight="1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0.5" customHeight="1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0.5" customHeight="1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0.5" customHeight="1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0.5" customHeight="1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0.5" customHeight="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0.5" customHeight="1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0.5" customHeight="1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0.5" customHeight="1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0.5" customHeight="1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0.5" customHeight="1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0.5" customHeight="1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0.5" customHeight="1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0.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0.5" customHeight="1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0.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0.5" customHeight="1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0.5" customHeight="1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0.5" customHeight="1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0.5" customHeight="1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0.5" customHeight="1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0.5" customHeight="1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0.5" customHeight="1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0.5" customHeight="1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0.5" customHeight="1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0.5" customHeight="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0.5" customHeight="1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0.5" customHeight="1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0.5" customHeight="1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0.5" customHeight="1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0.5" customHeight="1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0.5" customHeight="1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0.5" customHeight="1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0.5" customHeight="1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0.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0.5" customHeight="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0.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0.5" customHeight="1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0.5" customHeight="1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0.5" customHeight="1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0.5" customHeight="1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0.5" customHeight="1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0.5" customHeight="1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0.5" customHeight="1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0.5" customHeight="1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0.5" customHeight="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0.5" customHeight="1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0.5" customHeight="1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0.5" customHeight="1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0.5" customHeight="1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0.5" customHeight="1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0.5" customHeight="1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0.5" customHeight="1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0.5" customHeight="1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0.5" customHeight="1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0.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0.5" customHeight="1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0.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0.5" customHeight="1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0.5" customHeight="1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0.5" customHeight="1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0.5" customHeight="1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0.5" customHeight="1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0.5" customHeight="1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0.5" customHeight="1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0.5" customHeight="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0.5" customHeight="1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0.5" customHeight="1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0.5" customHeight="1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0.5" customHeight="1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0.5" customHeight="1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0.5" customHeight="1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0.5" customHeight="1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0.5" customHeight="1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0.5" customHeight="1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0.5" customHeight="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0.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0.5" customHeight="1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0.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0.5" customHeight="1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0.5" customHeight="1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0.5" customHeight="1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0.5" customHeight="1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0.5" customHeight="1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0.5" customHeight="1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0.5" customHeight="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0.5" customHeight="1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0.5" customHeight="1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0.5" customHeight="1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0.5" customHeight="1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0.5" customHeight="1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0.5" customHeight="1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0.5" customHeight="1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0.5" customHeight="1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0.5" customHeight="1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0.5" customHeight="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0.5" customHeight="1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0.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0.5" customHeight="1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0.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0.5" customHeight="1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0.5" customHeight="1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0.5" customHeight="1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0.5" customHeight="1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0.5" customHeight="1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0.5" customHeight="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0.5" customHeight="1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0.5" customHeight="1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0.5" customHeight="1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0.5" customHeight="1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0.5" customHeight="1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0.5" customHeight="1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0.5" customHeight="1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0.5" customHeight="1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0.5" customHeight="1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0.5" customHeight="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0.5" customHeight="1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0.5" customHeight="1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0.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0.5" customHeight="1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0.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0.5" customHeight="1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0.5" customHeight="1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0.5" customHeight="1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0.5" customHeight="1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0.5" customHeight="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0.5" customHeight="1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0.5" customHeight="1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0.5" customHeight="1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0.5" customHeight="1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0.5" customHeight="1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0.5" customHeight="1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0.5" customHeight="1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0.5" customHeight="1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0.5" customHeight="1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0.5" customHeight="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0.5" customHeight="1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0.5" customHeight="1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0.5" customHeight="1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0.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0.5" customHeight="1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0.5" customHeight="1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0.5" customHeight="1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0.5" customHeight="1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0.5" customHeight="1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0.5" customHeight="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0.5" customHeight="1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0.5" customHeight="1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0.5" customHeight="1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0.5" customHeight="1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0.5" customHeight="1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0.5" customHeight="1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0.5" customHeight="1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0.5" customHeight="1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0.5" customHeight="1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0.5" customHeight="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0.5" customHeight="1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0.5" customHeight="1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0.5" customHeight="1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0.5" customHeight="1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0.5" customHeight="1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0.5" customHeight="1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0.5" customHeight="1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0.5" customHeight="1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0.5" customHeight="1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0.5" customHeight="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0.5" customHeight="1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0.5" customHeight="1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0.5" customHeight="1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0.5" customHeight="1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0.5" customHeight="1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0.5" customHeight="1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0.5" customHeight="1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0.5" customHeight="1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0.5" customHeight="1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0.5" customHeight="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0.5" customHeight="1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0.5" customHeight="1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0.5" customHeight="1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0.5" customHeight="1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0.5" customHeight="1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0.5" customHeight="1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0.5" customHeight="1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0.5" customHeight="1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0.5" customHeight="1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0.5" customHeight="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0.5" customHeight="1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0.5" customHeight="1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0.5" customHeight="1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0.5" customHeight="1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0.5" customHeight="1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0.5" customHeight="1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0.5" customHeight="1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0.5" customHeight="1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0.5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0.5" customHeight="1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0.5" customHeight="1">
      <c r="A1002" s="4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L32:M32"/>
    <mergeCell ref="R91:V9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1.57"/>
    <col customWidth="1" min="3" max="7" width="14.57"/>
    <col customWidth="1" min="8" max="8" width="8.71"/>
    <col customWidth="1" min="9" max="9" width="27.43"/>
    <col customWidth="1" min="10" max="10" width="49.57"/>
    <col customWidth="1" min="11" max="26" width="8.71"/>
  </cols>
  <sheetData>
    <row r="1">
      <c r="A1" s="1"/>
      <c r="B1" s="1"/>
      <c r="C1" s="203"/>
      <c r="D1" s="203"/>
      <c r="E1" s="203"/>
      <c r="F1" s="20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.0" customHeight="1">
      <c r="A2" s="1"/>
      <c r="B2" s="1"/>
      <c r="C2" s="203"/>
      <c r="D2" s="203"/>
      <c r="E2" s="20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42"/>
      <c r="B3" s="894" t="s">
        <v>293</v>
      </c>
      <c r="C3" s="896" t="s">
        <v>27</v>
      </c>
      <c r="D3" s="896" t="s">
        <v>30</v>
      </c>
      <c r="E3" s="896" t="s">
        <v>31</v>
      </c>
      <c r="F3" s="898" t="s">
        <v>258</v>
      </c>
      <c r="G3" s="899" t="s">
        <v>259</v>
      </c>
      <c r="H3" s="42"/>
      <c r="I3" s="900"/>
      <c r="J3" s="900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9.5" customHeight="1">
      <c r="A4" s="42"/>
      <c r="B4" s="901" t="s">
        <v>317</v>
      </c>
      <c r="C4" s="732">
        <v>47023.64</v>
      </c>
      <c r="D4" s="732">
        <v>319110.14</v>
      </c>
      <c r="E4" s="732">
        <v>249322.62</v>
      </c>
      <c r="F4" s="733">
        <f t="shared" ref="F4:F6" si="1">E4-D4</f>
        <v>-69787.52</v>
      </c>
      <c r="G4" s="734">
        <f t="shared" ref="G4:G5" si="2">E4/D4-1</f>
        <v>-0.2186941474</v>
      </c>
      <c r="H4" s="42"/>
      <c r="I4" s="902"/>
      <c r="J4" s="903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9.5" customHeight="1">
      <c r="A5" s="42"/>
      <c r="B5" s="730" t="s">
        <v>132</v>
      </c>
      <c r="C5" s="732">
        <v>56215.09</v>
      </c>
      <c r="D5" s="732">
        <v>57321.52</v>
      </c>
      <c r="E5" s="732">
        <v>57120.77</v>
      </c>
      <c r="F5" s="733">
        <f t="shared" si="1"/>
        <v>-200.75</v>
      </c>
      <c r="G5" s="734">
        <f t="shared" si="2"/>
        <v>-0.003502175099</v>
      </c>
      <c r="H5" s="904"/>
      <c r="I5" s="902"/>
      <c r="J5" s="903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9.5" customHeight="1">
      <c r="A6" s="42"/>
      <c r="B6" s="767" t="s">
        <v>70</v>
      </c>
      <c r="C6" s="905">
        <f t="shared" ref="C6:E6" si="3">SUM(C4:C5)</f>
        <v>103238.73</v>
      </c>
      <c r="D6" s="905">
        <f t="shared" si="3"/>
        <v>376431.66</v>
      </c>
      <c r="E6" s="905">
        <f t="shared" si="3"/>
        <v>306443.39</v>
      </c>
      <c r="F6" s="906">
        <f t="shared" si="1"/>
        <v>-69988.27</v>
      </c>
      <c r="G6" s="907">
        <f>E6/D6-1</f>
        <v>-0.1859255675</v>
      </c>
      <c r="H6" s="42"/>
      <c r="I6" s="742"/>
      <c r="J6" s="908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9.5" customHeight="1">
      <c r="A7" s="42"/>
      <c r="B7" s="894" t="s">
        <v>262</v>
      </c>
      <c r="C7" s="896" t="s">
        <v>27</v>
      </c>
      <c r="D7" s="896" t="s">
        <v>30</v>
      </c>
      <c r="E7" s="896" t="s">
        <v>31</v>
      </c>
      <c r="F7" s="898" t="s">
        <v>258</v>
      </c>
      <c r="G7" s="899" t="s">
        <v>259</v>
      </c>
      <c r="H7" s="42"/>
      <c r="I7" s="909"/>
      <c r="J7" s="910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9.5" customHeight="1">
      <c r="A8" s="42"/>
      <c r="B8" s="730" t="s">
        <v>331</v>
      </c>
      <c r="C8" s="732">
        <v>330853.72</v>
      </c>
      <c r="D8" s="732">
        <v>330853.72</v>
      </c>
      <c r="E8" s="732">
        <v>490712.62</v>
      </c>
      <c r="F8" s="733">
        <f t="shared" ref="F8:F16" si="4">E8-D8</f>
        <v>159858.9</v>
      </c>
      <c r="G8" s="734">
        <f t="shared" ref="G8:G13" si="5">E8/D8-1</f>
        <v>0.4831709313</v>
      </c>
      <c r="H8" s="904"/>
      <c r="I8" s="902"/>
      <c r="J8" s="903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9.5" customHeight="1">
      <c r="A9" s="42"/>
      <c r="B9" s="730" t="s">
        <v>332</v>
      </c>
      <c r="C9" s="732">
        <v>118725.17</v>
      </c>
      <c r="D9" s="732">
        <v>101727.94</v>
      </c>
      <c r="E9" s="732">
        <v>119025.91</v>
      </c>
      <c r="F9" s="733">
        <f t="shared" si="4"/>
        <v>17297.97</v>
      </c>
      <c r="G9" s="734">
        <f t="shared" si="5"/>
        <v>0.1700414852</v>
      </c>
      <c r="H9" s="904"/>
      <c r="I9" s="902"/>
      <c r="J9" s="903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9.5" customHeight="1">
      <c r="A10" s="42"/>
      <c r="B10" s="742" t="s">
        <v>333</v>
      </c>
      <c r="C10" s="732">
        <v>2683528.87</v>
      </c>
      <c r="D10" s="732">
        <v>3070615.33</v>
      </c>
      <c r="E10" s="732">
        <v>3094148.93</v>
      </c>
      <c r="F10" s="733">
        <f t="shared" si="4"/>
        <v>23533.6</v>
      </c>
      <c r="G10" s="734">
        <f t="shared" si="5"/>
        <v>0.007664131606</v>
      </c>
      <c r="H10" s="42"/>
      <c r="I10" s="902"/>
      <c r="J10" s="903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9.5" customHeight="1">
      <c r="A11" s="42"/>
      <c r="B11" s="730" t="s">
        <v>335</v>
      </c>
      <c r="C11" s="732">
        <v>1234004.93</v>
      </c>
      <c r="D11" s="911">
        <v>1292429.52</v>
      </c>
      <c r="E11" s="911">
        <v>1303825.01</v>
      </c>
      <c r="F11" s="733">
        <f t="shared" si="4"/>
        <v>11395.49</v>
      </c>
      <c r="G11" s="734">
        <f t="shared" si="5"/>
        <v>0.008817107489</v>
      </c>
      <c r="H11" s="42"/>
      <c r="I11" s="902"/>
      <c r="J11" s="903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9.5" customHeight="1">
      <c r="A12" s="42"/>
      <c r="B12" s="730" t="s">
        <v>337</v>
      </c>
      <c r="C12" s="732">
        <v>520604.37</v>
      </c>
      <c r="D12" s="732">
        <v>539224.83</v>
      </c>
      <c r="E12" s="732">
        <v>543467.75</v>
      </c>
      <c r="F12" s="733">
        <f t="shared" si="4"/>
        <v>4242.92</v>
      </c>
      <c r="G12" s="734">
        <f t="shared" si="5"/>
        <v>0.007868554569</v>
      </c>
      <c r="H12" s="42"/>
      <c r="I12" s="902"/>
      <c r="J12" s="903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9.5" customHeight="1">
      <c r="A13" s="42"/>
      <c r="B13" s="730" t="s">
        <v>338</v>
      </c>
      <c r="C13" s="732">
        <v>2821.46</v>
      </c>
      <c r="D13" s="732">
        <v>2821.46</v>
      </c>
      <c r="E13" s="732">
        <v>2821.46</v>
      </c>
      <c r="F13" s="733">
        <f t="shared" si="4"/>
        <v>0</v>
      </c>
      <c r="G13" s="734">
        <f t="shared" si="5"/>
        <v>0</v>
      </c>
      <c r="H13" s="904"/>
      <c r="I13" s="902"/>
      <c r="J13" s="903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9.5" customHeight="1">
      <c r="A14" s="42"/>
      <c r="B14" s="730" t="s">
        <v>339</v>
      </c>
      <c r="C14" s="731">
        <v>397862.08</v>
      </c>
      <c r="D14" s="912">
        <v>0.0</v>
      </c>
      <c r="E14" s="912">
        <v>0.0</v>
      </c>
      <c r="F14" s="733">
        <f t="shared" si="4"/>
        <v>0</v>
      </c>
      <c r="G14" s="745">
        <v>0.0</v>
      </c>
      <c r="H14" s="904"/>
      <c r="I14" s="902"/>
      <c r="J14" s="903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9.5" customHeight="1">
      <c r="A15" s="42"/>
      <c r="B15" s="767" t="s">
        <v>70</v>
      </c>
      <c r="C15" s="913">
        <f t="shared" ref="C15:E15" si="6">SUM(C8:C14)</f>
        <v>5288400.6</v>
      </c>
      <c r="D15" s="914">
        <f t="shared" si="6"/>
        <v>5337672.8</v>
      </c>
      <c r="E15" s="913">
        <f t="shared" si="6"/>
        <v>5554001.68</v>
      </c>
      <c r="F15" s="915">
        <f t="shared" si="4"/>
        <v>216328.88</v>
      </c>
      <c r="G15" s="775">
        <f t="shared" ref="G15:G16" si="8">E15/D15-1</f>
        <v>0.04052868883</v>
      </c>
      <c r="H15" s="42"/>
      <c r="I15" s="916"/>
      <c r="J15" s="903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9.5" customHeight="1">
      <c r="A16" s="42"/>
      <c r="B16" s="917" t="s">
        <v>265</v>
      </c>
      <c r="C16" s="918">
        <f>C6+C15</f>
        <v>5391639.33</v>
      </c>
      <c r="D16" s="918">
        <f t="shared" ref="D16:E16" si="7">D15+D6</f>
        <v>5714104.46</v>
      </c>
      <c r="E16" s="918">
        <f t="shared" si="7"/>
        <v>5860445.07</v>
      </c>
      <c r="F16" s="919">
        <f t="shared" si="4"/>
        <v>146340.61</v>
      </c>
      <c r="G16" s="920">
        <f t="shared" si="8"/>
        <v>0.0256104191</v>
      </c>
      <c r="H16" s="42"/>
      <c r="I16" s="909"/>
      <c r="J16" s="910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1"/>
      <c r="B17" s="1" t="s">
        <v>48</v>
      </c>
      <c r="C17" s="926">
        <f>'Matriz senha_capital OK'!B104</f>
        <v>5430432.92</v>
      </c>
      <c r="D17" s="926">
        <f>'Matriz senha_capital OK'!C104</f>
        <v>5715350.98</v>
      </c>
      <c r="E17" s="926">
        <f>'Matriz senha_capital OK'!D104</f>
        <v>6126790</v>
      </c>
      <c r="F17" s="203"/>
      <c r="G17" s="3"/>
      <c r="H17" s="1"/>
      <c r="I17" s="930"/>
      <c r="J17" s="9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926">
        <f t="shared" ref="C18:E18" si="9">C17-C16</f>
        <v>38793.59</v>
      </c>
      <c r="D18" s="926">
        <f t="shared" si="9"/>
        <v>1246.52</v>
      </c>
      <c r="E18" s="926">
        <f t="shared" si="9"/>
        <v>266344.93</v>
      </c>
      <c r="F18" s="203"/>
      <c r="G18" s="3"/>
      <c r="H18" s="1"/>
      <c r="I18" s="936"/>
      <c r="J18" s="93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203"/>
      <c r="D19" s="203"/>
      <c r="E19" s="203"/>
      <c r="F19" s="20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203"/>
      <c r="D20" s="203"/>
      <c r="E20" s="203"/>
      <c r="F20" s="20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203"/>
      <c r="D21" s="203"/>
      <c r="E21" s="203"/>
      <c r="F21" s="20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203"/>
      <c r="D22" s="203"/>
      <c r="E22" s="203"/>
      <c r="F22" s="20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203"/>
      <c r="D23" s="203"/>
      <c r="E23" s="203"/>
      <c r="F23" s="20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203"/>
      <c r="D24" s="203"/>
      <c r="E24" s="203"/>
      <c r="F24" s="20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203"/>
      <c r="D25" s="203"/>
      <c r="E25" s="203"/>
      <c r="F25" s="20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203"/>
      <c r="D26" s="203"/>
      <c r="E26" s="203"/>
      <c r="F26" s="20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203"/>
      <c r="D27" s="203"/>
      <c r="E27" s="203"/>
      <c r="F27" s="20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203"/>
      <c r="D28" s="203"/>
      <c r="E28" s="203"/>
      <c r="F28" s="20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203"/>
      <c r="D29" s="203"/>
      <c r="E29" s="203"/>
      <c r="F29" s="20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203"/>
      <c r="D30" s="203"/>
      <c r="E30" s="203"/>
      <c r="F30" s="20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203"/>
      <c r="D31" s="203"/>
      <c r="E31" s="203"/>
      <c r="F31" s="20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203"/>
      <c r="D32" s="203"/>
      <c r="E32" s="203"/>
      <c r="F32" s="20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203"/>
      <c r="D33" s="203"/>
      <c r="E33" s="203"/>
      <c r="F33" s="20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203"/>
      <c r="D34" s="203"/>
      <c r="E34" s="203"/>
      <c r="F34" s="20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03"/>
      <c r="D35" s="203"/>
      <c r="E35" s="203"/>
      <c r="F35" s="20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203"/>
      <c r="D36" s="203"/>
      <c r="E36" s="203"/>
      <c r="F36" s="20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203"/>
      <c r="D37" s="203"/>
      <c r="E37" s="203"/>
      <c r="F37" s="20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203"/>
      <c r="D38" s="203"/>
      <c r="E38" s="203"/>
      <c r="F38" s="20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203"/>
      <c r="D39" s="203"/>
      <c r="E39" s="203"/>
      <c r="F39" s="20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203"/>
      <c r="D40" s="203"/>
      <c r="E40" s="203"/>
      <c r="F40" s="20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203"/>
      <c r="D41" s="203"/>
      <c r="E41" s="203"/>
      <c r="F41" s="20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203"/>
      <c r="D42" s="203"/>
      <c r="E42" s="203"/>
      <c r="F42" s="20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203"/>
      <c r="D43" s="203"/>
      <c r="E43" s="203"/>
      <c r="F43" s="20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203"/>
      <c r="D44" s="203"/>
      <c r="E44" s="203"/>
      <c r="F44" s="20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203"/>
      <c r="D45" s="203"/>
      <c r="E45" s="203"/>
      <c r="F45" s="20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203"/>
      <c r="D46" s="203"/>
      <c r="E46" s="203"/>
      <c r="F46" s="20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203"/>
      <c r="D47" s="203"/>
      <c r="E47" s="203"/>
      <c r="F47" s="20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203"/>
      <c r="D48" s="203"/>
      <c r="E48" s="203"/>
      <c r="F48" s="20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203"/>
      <c r="D49" s="203"/>
      <c r="E49" s="203"/>
      <c r="F49" s="20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203"/>
      <c r="D50" s="203"/>
      <c r="E50" s="203"/>
      <c r="F50" s="20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203"/>
      <c r="D51" s="203"/>
      <c r="E51" s="203"/>
      <c r="F51" s="20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203"/>
      <c r="D52" s="203"/>
      <c r="E52" s="203"/>
      <c r="F52" s="20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203"/>
      <c r="D53" s="203"/>
      <c r="E53" s="203"/>
      <c r="F53" s="20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203"/>
      <c r="D54" s="203"/>
      <c r="E54" s="203"/>
      <c r="F54" s="20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203"/>
      <c r="D55" s="203"/>
      <c r="E55" s="203"/>
      <c r="F55" s="20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203"/>
      <c r="D56" s="203"/>
      <c r="E56" s="203"/>
      <c r="F56" s="20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203"/>
      <c r="D57" s="203"/>
      <c r="E57" s="203"/>
      <c r="F57" s="20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203"/>
      <c r="D58" s="203"/>
      <c r="E58" s="203"/>
      <c r="F58" s="20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203"/>
      <c r="D59" s="203"/>
      <c r="E59" s="203"/>
      <c r="F59" s="20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203"/>
      <c r="D60" s="203"/>
      <c r="E60" s="203"/>
      <c r="F60" s="20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203"/>
      <c r="D61" s="203"/>
      <c r="E61" s="203"/>
      <c r="F61" s="20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203"/>
      <c r="D62" s="203"/>
      <c r="E62" s="203"/>
      <c r="F62" s="20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203"/>
      <c r="D63" s="203"/>
      <c r="E63" s="203"/>
      <c r="F63" s="20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203"/>
      <c r="D64" s="203"/>
      <c r="E64" s="203"/>
      <c r="F64" s="20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203"/>
      <c r="D65" s="203"/>
      <c r="E65" s="203"/>
      <c r="F65" s="20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203"/>
      <c r="D66" s="203"/>
      <c r="E66" s="203"/>
      <c r="F66" s="20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203"/>
      <c r="D67" s="203"/>
      <c r="E67" s="203"/>
      <c r="F67" s="20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203"/>
      <c r="D68" s="203"/>
      <c r="E68" s="203"/>
      <c r="F68" s="20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203"/>
      <c r="D69" s="203"/>
      <c r="E69" s="203"/>
      <c r="F69" s="20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203"/>
      <c r="D70" s="203"/>
      <c r="E70" s="203"/>
      <c r="F70" s="20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203"/>
      <c r="D71" s="203"/>
      <c r="E71" s="203"/>
      <c r="F71" s="20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203"/>
      <c r="D72" s="203"/>
      <c r="E72" s="203"/>
      <c r="F72" s="20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203"/>
      <c r="D73" s="203"/>
      <c r="E73" s="203"/>
      <c r="F73" s="20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203"/>
      <c r="D74" s="203"/>
      <c r="E74" s="203"/>
      <c r="F74" s="20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203"/>
      <c r="D75" s="203"/>
      <c r="E75" s="203"/>
      <c r="F75" s="20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203"/>
      <c r="D76" s="203"/>
      <c r="E76" s="203"/>
      <c r="F76" s="20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203"/>
      <c r="D77" s="203"/>
      <c r="E77" s="203"/>
      <c r="F77" s="20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203"/>
      <c r="D78" s="203"/>
      <c r="E78" s="203"/>
      <c r="F78" s="20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203"/>
      <c r="D79" s="203"/>
      <c r="E79" s="203"/>
      <c r="F79" s="20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203"/>
      <c r="D80" s="203"/>
      <c r="E80" s="203"/>
      <c r="F80" s="20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203"/>
      <c r="D81" s="203"/>
      <c r="E81" s="203"/>
      <c r="F81" s="20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203"/>
      <c r="D82" s="203"/>
      <c r="E82" s="203"/>
      <c r="F82" s="20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203"/>
      <c r="D83" s="203"/>
      <c r="E83" s="203"/>
      <c r="F83" s="20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203"/>
      <c r="D84" s="203"/>
      <c r="E84" s="203"/>
      <c r="F84" s="20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203"/>
      <c r="D85" s="203"/>
      <c r="E85" s="203"/>
      <c r="F85" s="20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203"/>
      <c r="D86" s="203"/>
      <c r="E86" s="203"/>
      <c r="F86" s="20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203"/>
      <c r="D87" s="203"/>
      <c r="E87" s="203"/>
      <c r="F87" s="20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203"/>
      <c r="D88" s="203"/>
      <c r="E88" s="203"/>
      <c r="F88" s="20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203"/>
      <c r="D89" s="203"/>
      <c r="E89" s="203"/>
      <c r="F89" s="20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203"/>
      <c r="D90" s="203"/>
      <c r="E90" s="203"/>
      <c r="F90" s="20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203"/>
      <c r="D91" s="203"/>
      <c r="E91" s="203"/>
      <c r="F91" s="20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203"/>
      <c r="D92" s="203"/>
      <c r="E92" s="203"/>
      <c r="F92" s="20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203"/>
      <c r="D93" s="203"/>
      <c r="E93" s="203"/>
      <c r="F93" s="20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203"/>
      <c r="D94" s="203"/>
      <c r="E94" s="203"/>
      <c r="F94" s="20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203"/>
      <c r="D95" s="203"/>
      <c r="E95" s="203"/>
      <c r="F95" s="20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203"/>
      <c r="D96" s="203"/>
      <c r="E96" s="203"/>
      <c r="F96" s="20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203"/>
      <c r="D97" s="203"/>
      <c r="E97" s="203"/>
      <c r="F97" s="20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203"/>
      <c r="D98" s="203"/>
      <c r="E98" s="203"/>
      <c r="F98" s="20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203"/>
      <c r="D99" s="203"/>
      <c r="E99" s="203"/>
      <c r="F99" s="20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203"/>
      <c r="D100" s="203"/>
      <c r="E100" s="203"/>
      <c r="F100" s="20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203"/>
      <c r="D101" s="203"/>
      <c r="E101" s="203"/>
      <c r="F101" s="20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203"/>
      <c r="D102" s="203"/>
      <c r="E102" s="203"/>
      <c r="F102" s="20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203"/>
      <c r="D103" s="203"/>
      <c r="E103" s="203"/>
      <c r="F103" s="20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203"/>
      <c r="D104" s="203"/>
      <c r="E104" s="203"/>
      <c r="F104" s="20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203"/>
      <c r="D105" s="203"/>
      <c r="E105" s="203"/>
      <c r="F105" s="20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203"/>
      <c r="D106" s="203"/>
      <c r="E106" s="203"/>
      <c r="F106" s="20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203"/>
      <c r="D107" s="203"/>
      <c r="E107" s="203"/>
      <c r="F107" s="20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203"/>
      <c r="D108" s="203"/>
      <c r="E108" s="203"/>
      <c r="F108" s="20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203"/>
      <c r="D109" s="203"/>
      <c r="E109" s="203"/>
      <c r="F109" s="20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203"/>
      <c r="D110" s="203"/>
      <c r="E110" s="203"/>
      <c r="F110" s="20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203"/>
      <c r="D111" s="203"/>
      <c r="E111" s="203"/>
      <c r="F111" s="20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203"/>
      <c r="D112" s="203"/>
      <c r="E112" s="203"/>
      <c r="F112" s="20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203"/>
      <c r="D113" s="203"/>
      <c r="E113" s="203"/>
      <c r="F113" s="20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203"/>
      <c r="D114" s="203"/>
      <c r="E114" s="203"/>
      <c r="F114" s="20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203"/>
      <c r="D115" s="203"/>
      <c r="E115" s="203"/>
      <c r="F115" s="20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203"/>
      <c r="D116" s="203"/>
      <c r="E116" s="203"/>
      <c r="F116" s="20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203"/>
      <c r="D117" s="203"/>
      <c r="E117" s="203"/>
      <c r="F117" s="20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203"/>
      <c r="D118" s="203"/>
      <c r="E118" s="203"/>
      <c r="F118" s="20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203"/>
      <c r="D119" s="203"/>
      <c r="E119" s="203"/>
      <c r="F119" s="20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203"/>
      <c r="D120" s="203"/>
      <c r="E120" s="203"/>
      <c r="F120" s="20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203"/>
      <c r="D121" s="203"/>
      <c r="E121" s="203"/>
      <c r="F121" s="20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203"/>
      <c r="D122" s="203"/>
      <c r="E122" s="203"/>
      <c r="F122" s="20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203"/>
      <c r="D123" s="203"/>
      <c r="E123" s="203"/>
      <c r="F123" s="20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203"/>
      <c r="D124" s="203"/>
      <c r="E124" s="203"/>
      <c r="F124" s="20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203"/>
      <c r="D125" s="203"/>
      <c r="E125" s="203"/>
      <c r="F125" s="20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203"/>
      <c r="D126" s="203"/>
      <c r="E126" s="203"/>
      <c r="F126" s="20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203"/>
      <c r="D127" s="203"/>
      <c r="E127" s="203"/>
      <c r="F127" s="20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203"/>
      <c r="D128" s="203"/>
      <c r="E128" s="203"/>
      <c r="F128" s="20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203"/>
      <c r="D129" s="203"/>
      <c r="E129" s="203"/>
      <c r="F129" s="20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203"/>
      <c r="D130" s="203"/>
      <c r="E130" s="203"/>
      <c r="F130" s="20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203"/>
      <c r="D131" s="203"/>
      <c r="E131" s="203"/>
      <c r="F131" s="20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203"/>
      <c r="D132" s="203"/>
      <c r="E132" s="203"/>
      <c r="F132" s="20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203"/>
      <c r="D133" s="203"/>
      <c r="E133" s="203"/>
      <c r="F133" s="20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203"/>
      <c r="D134" s="203"/>
      <c r="E134" s="203"/>
      <c r="F134" s="20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203"/>
      <c r="D135" s="203"/>
      <c r="E135" s="203"/>
      <c r="F135" s="20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203"/>
      <c r="D136" s="203"/>
      <c r="E136" s="203"/>
      <c r="F136" s="20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203"/>
      <c r="D137" s="203"/>
      <c r="E137" s="203"/>
      <c r="F137" s="20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203"/>
      <c r="D138" s="203"/>
      <c r="E138" s="203"/>
      <c r="F138" s="20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203"/>
      <c r="D139" s="203"/>
      <c r="E139" s="203"/>
      <c r="F139" s="20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203"/>
      <c r="D140" s="203"/>
      <c r="E140" s="203"/>
      <c r="F140" s="20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203"/>
      <c r="D141" s="203"/>
      <c r="E141" s="203"/>
      <c r="F141" s="20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203"/>
      <c r="D142" s="203"/>
      <c r="E142" s="203"/>
      <c r="F142" s="20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203"/>
      <c r="D143" s="203"/>
      <c r="E143" s="203"/>
      <c r="F143" s="20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203"/>
      <c r="D144" s="203"/>
      <c r="E144" s="203"/>
      <c r="F144" s="20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203"/>
      <c r="D145" s="203"/>
      <c r="E145" s="203"/>
      <c r="F145" s="20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203"/>
      <c r="D146" s="203"/>
      <c r="E146" s="203"/>
      <c r="F146" s="20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203"/>
      <c r="D147" s="203"/>
      <c r="E147" s="203"/>
      <c r="F147" s="20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203"/>
      <c r="D148" s="203"/>
      <c r="E148" s="203"/>
      <c r="F148" s="20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203"/>
      <c r="D149" s="203"/>
      <c r="E149" s="203"/>
      <c r="F149" s="20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203"/>
      <c r="D150" s="203"/>
      <c r="E150" s="203"/>
      <c r="F150" s="20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203"/>
      <c r="D151" s="203"/>
      <c r="E151" s="203"/>
      <c r="F151" s="20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203"/>
      <c r="D152" s="203"/>
      <c r="E152" s="203"/>
      <c r="F152" s="20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203"/>
      <c r="D153" s="203"/>
      <c r="E153" s="203"/>
      <c r="F153" s="20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203"/>
      <c r="D154" s="203"/>
      <c r="E154" s="203"/>
      <c r="F154" s="20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203"/>
      <c r="D155" s="203"/>
      <c r="E155" s="203"/>
      <c r="F155" s="20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203"/>
      <c r="D156" s="203"/>
      <c r="E156" s="203"/>
      <c r="F156" s="20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203"/>
      <c r="D157" s="203"/>
      <c r="E157" s="203"/>
      <c r="F157" s="20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203"/>
      <c r="D158" s="203"/>
      <c r="E158" s="203"/>
      <c r="F158" s="20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203"/>
      <c r="D159" s="203"/>
      <c r="E159" s="203"/>
      <c r="F159" s="20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203"/>
      <c r="D160" s="203"/>
      <c r="E160" s="203"/>
      <c r="F160" s="20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203"/>
      <c r="D161" s="203"/>
      <c r="E161" s="203"/>
      <c r="F161" s="20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203"/>
      <c r="D162" s="203"/>
      <c r="E162" s="203"/>
      <c r="F162" s="20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203"/>
      <c r="D163" s="203"/>
      <c r="E163" s="203"/>
      <c r="F163" s="20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203"/>
      <c r="D164" s="203"/>
      <c r="E164" s="203"/>
      <c r="F164" s="20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203"/>
      <c r="D165" s="203"/>
      <c r="E165" s="203"/>
      <c r="F165" s="20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203"/>
      <c r="D166" s="203"/>
      <c r="E166" s="203"/>
      <c r="F166" s="20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203"/>
      <c r="D167" s="203"/>
      <c r="E167" s="203"/>
      <c r="F167" s="20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203"/>
      <c r="D168" s="203"/>
      <c r="E168" s="203"/>
      <c r="F168" s="20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203"/>
      <c r="D169" s="203"/>
      <c r="E169" s="203"/>
      <c r="F169" s="20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203"/>
      <c r="D170" s="203"/>
      <c r="E170" s="203"/>
      <c r="F170" s="20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203"/>
      <c r="D171" s="203"/>
      <c r="E171" s="203"/>
      <c r="F171" s="20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203"/>
      <c r="D172" s="203"/>
      <c r="E172" s="203"/>
      <c r="F172" s="20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203"/>
      <c r="D173" s="203"/>
      <c r="E173" s="203"/>
      <c r="F173" s="20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203"/>
      <c r="D174" s="203"/>
      <c r="E174" s="203"/>
      <c r="F174" s="20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203"/>
      <c r="D175" s="203"/>
      <c r="E175" s="203"/>
      <c r="F175" s="20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203"/>
      <c r="D176" s="203"/>
      <c r="E176" s="203"/>
      <c r="F176" s="20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203"/>
      <c r="D177" s="203"/>
      <c r="E177" s="203"/>
      <c r="F177" s="20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203"/>
      <c r="D178" s="203"/>
      <c r="E178" s="203"/>
      <c r="F178" s="20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203"/>
      <c r="D179" s="203"/>
      <c r="E179" s="203"/>
      <c r="F179" s="20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203"/>
      <c r="D180" s="203"/>
      <c r="E180" s="203"/>
      <c r="F180" s="20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203"/>
      <c r="D181" s="203"/>
      <c r="E181" s="203"/>
      <c r="F181" s="20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203"/>
      <c r="D182" s="203"/>
      <c r="E182" s="203"/>
      <c r="F182" s="20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203"/>
      <c r="D183" s="203"/>
      <c r="E183" s="203"/>
      <c r="F183" s="20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203"/>
      <c r="D184" s="203"/>
      <c r="E184" s="203"/>
      <c r="F184" s="20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203"/>
      <c r="D185" s="203"/>
      <c r="E185" s="203"/>
      <c r="F185" s="20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203"/>
      <c r="D186" s="203"/>
      <c r="E186" s="203"/>
      <c r="F186" s="20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203"/>
      <c r="D187" s="203"/>
      <c r="E187" s="203"/>
      <c r="F187" s="20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203"/>
      <c r="D188" s="203"/>
      <c r="E188" s="203"/>
      <c r="F188" s="20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203"/>
      <c r="D189" s="203"/>
      <c r="E189" s="203"/>
      <c r="F189" s="20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203"/>
      <c r="D190" s="203"/>
      <c r="E190" s="203"/>
      <c r="F190" s="20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203"/>
      <c r="D191" s="203"/>
      <c r="E191" s="203"/>
      <c r="F191" s="20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203"/>
      <c r="D192" s="203"/>
      <c r="E192" s="203"/>
      <c r="F192" s="20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203"/>
      <c r="D193" s="203"/>
      <c r="E193" s="203"/>
      <c r="F193" s="20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203"/>
      <c r="D194" s="203"/>
      <c r="E194" s="203"/>
      <c r="F194" s="20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203"/>
      <c r="D195" s="203"/>
      <c r="E195" s="203"/>
      <c r="F195" s="20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203"/>
      <c r="D196" s="203"/>
      <c r="E196" s="203"/>
      <c r="F196" s="20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203"/>
      <c r="D197" s="203"/>
      <c r="E197" s="203"/>
      <c r="F197" s="20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203"/>
      <c r="D198" s="203"/>
      <c r="E198" s="203"/>
      <c r="F198" s="20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203"/>
      <c r="D199" s="203"/>
      <c r="E199" s="203"/>
      <c r="F199" s="20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203"/>
      <c r="D200" s="203"/>
      <c r="E200" s="203"/>
      <c r="F200" s="20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203"/>
      <c r="D201" s="203"/>
      <c r="E201" s="203"/>
      <c r="F201" s="20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203"/>
      <c r="D202" s="203"/>
      <c r="E202" s="203"/>
      <c r="F202" s="20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203"/>
      <c r="D203" s="203"/>
      <c r="E203" s="203"/>
      <c r="F203" s="20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203"/>
      <c r="D204" s="203"/>
      <c r="E204" s="203"/>
      <c r="F204" s="20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203"/>
      <c r="D205" s="203"/>
      <c r="E205" s="203"/>
      <c r="F205" s="20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203"/>
      <c r="D206" s="203"/>
      <c r="E206" s="203"/>
      <c r="F206" s="20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203"/>
      <c r="D207" s="203"/>
      <c r="E207" s="203"/>
      <c r="F207" s="20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203"/>
      <c r="D208" s="203"/>
      <c r="E208" s="203"/>
      <c r="F208" s="20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203"/>
      <c r="D209" s="203"/>
      <c r="E209" s="203"/>
      <c r="F209" s="20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203"/>
      <c r="D210" s="203"/>
      <c r="E210" s="203"/>
      <c r="F210" s="20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203"/>
      <c r="D211" s="203"/>
      <c r="E211" s="203"/>
      <c r="F211" s="20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203"/>
      <c r="D212" s="203"/>
      <c r="E212" s="203"/>
      <c r="F212" s="20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203"/>
      <c r="D213" s="203"/>
      <c r="E213" s="203"/>
      <c r="F213" s="20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203"/>
      <c r="D214" s="203"/>
      <c r="E214" s="203"/>
      <c r="F214" s="20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203"/>
      <c r="D215" s="203"/>
      <c r="E215" s="203"/>
      <c r="F215" s="20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203"/>
      <c r="D216" s="203"/>
      <c r="E216" s="203"/>
      <c r="F216" s="20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203"/>
      <c r="D217" s="203"/>
      <c r="E217" s="203"/>
      <c r="F217" s="20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203"/>
      <c r="D218" s="203"/>
      <c r="E218" s="203"/>
      <c r="F218" s="20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203"/>
      <c r="D219" s="203"/>
      <c r="E219" s="203"/>
      <c r="F219" s="20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203"/>
      <c r="D220" s="203"/>
      <c r="E220" s="203"/>
      <c r="F220" s="20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03"/>
      <c r="D221" s="203"/>
      <c r="E221" s="203"/>
      <c r="F221" s="20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03"/>
      <c r="D222" s="203"/>
      <c r="E222" s="203"/>
      <c r="F222" s="20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03"/>
      <c r="D223" s="203"/>
      <c r="E223" s="203"/>
      <c r="F223" s="20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03"/>
      <c r="D224" s="203"/>
      <c r="E224" s="203"/>
      <c r="F224" s="20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03"/>
      <c r="D225" s="203"/>
      <c r="E225" s="203"/>
      <c r="F225" s="20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03"/>
      <c r="D226" s="203"/>
      <c r="E226" s="203"/>
      <c r="F226" s="20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03"/>
      <c r="D227" s="203"/>
      <c r="E227" s="203"/>
      <c r="F227" s="20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03"/>
      <c r="D228" s="203"/>
      <c r="E228" s="203"/>
      <c r="F228" s="20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03"/>
      <c r="D229" s="203"/>
      <c r="E229" s="203"/>
      <c r="F229" s="20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03"/>
      <c r="D230" s="203"/>
      <c r="E230" s="203"/>
      <c r="F230" s="20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03"/>
      <c r="D231" s="203"/>
      <c r="E231" s="203"/>
      <c r="F231" s="20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203"/>
      <c r="D232" s="203"/>
      <c r="E232" s="203"/>
      <c r="F232" s="20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203"/>
      <c r="D233" s="203"/>
      <c r="E233" s="203"/>
      <c r="F233" s="20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203"/>
      <c r="D234" s="203"/>
      <c r="E234" s="203"/>
      <c r="F234" s="20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203"/>
      <c r="D235" s="203"/>
      <c r="E235" s="203"/>
      <c r="F235" s="20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203"/>
      <c r="D236" s="203"/>
      <c r="E236" s="203"/>
      <c r="F236" s="20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203"/>
      <c r="D237" s="203"/>
      <c r="E237" s="203"/>
      <c r="F237" s="20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203"/>
      <c r="D238" s="203"/>
      <c r="E238" s="203"/>
      <c r="F238" s="20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203"/>
      <c r="D239" s="203"/>
      <c r="E239" s="203"/>
      <c r="F239" s="20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203"/>
      <c r="D240" s="203"/>
      <c r="E240" s="203"/>
      <c r="F240" s="20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203"/>
      <c r="D241" s="203"/>
      <c r="E241" s="203"/>
      <c r="F241" s="20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203"/>
      <c r="D242" s="203"/>
      <c r="E242" s="203"/>
      <c r="F242" s="20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203"/>
      <c r="D243" s="203"/>
      <c r="E243" s="203"/>
      <c r="F243" s="20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203"/>
      <c r="D244" s="203"/>
      <c r="E244" s="203"/>
      <c r="F244" s="20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203"/>
      <c r="D245" s="203"/>
      <c r="E245" s="203"/>
      <c r="F245" s="20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203"/>
      <c r="D246" s="203"/>
      <c r="E246" s="203"/>
      <c r="F246" s="20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203"/>
      <c r="D247" s="203"/>
      <c r="E247" s="203"/>
      <c r="F247" s="20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203"/>
      <c r="D248" s="203"/>
      <c r="E248" s="203"/>
      <c r="F248" s="20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203"/>
      <c r="D249" s="203"/>
      <c r="E249" s="203"/>
      <c r="F249" s="20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203"/>
      <c r="D250" s="203"/>
      <c r="E250" s="203"/>
      <c r="F250" s="20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03"/>
      <c r="D251" s="203"/>
      <c r="E251" s="203"/>
      <c r="F251" s="20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03"/>
      <c r="D252" s="203"/>
      <c r="E252" s="203"/>
      <c r="F252" s="20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03"/>
      <c r="D253" s="203"/>
      <c r="E253" s="203"/>
      <c r="F253" s="20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03"/>
      <c r="D254" s="203"/>
      <c r="E254" s="203"/>
      <c r="F254" s="20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03"/>
      <c r="D255" s="203"/>
      <c r="E255" s="203"/>
      <c r="F255" s="20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03"/>
      <c r="D256" s="203"/>
      <c r="E256" s="203"/>
      <c r="F256" s="20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03"/>
      <c r="D257" s="203"/>
      <c r="E257" s="203"/>
      <c r="F257" s="20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03"/>
      <c r="D258" s="203"/>
      <c r="E258" s="203"/>
      <c r="F258" s="20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03"/>
      <c r="D259" s="203"/>
      <c r="E259" s="203"/>
      <c r="F259" s="20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03"/>
      <c r="D260" s="203"/>
      <c r="E260" s="203"/>
      <c r="F260" s="20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03"/>
      <c r="D261" s="203"/>
      <c r="E261" s="203"/>
      <c r="F261" s="20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03"/>
      <c r="D262" s="203"/>
      <c r="E262" s="203"/>
      <c r="F262" s="20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03"/>
      <c r="D263" s="203"/>
      <c r="E263" s="203"/>
      <c r="F263" s="20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03"/>
      <c r="D264" s="203"/>
      <c r="E264" s="203"/>
      <c r="F264" s="20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03"/>
      <c r="D265" s="203"/>
      <c r="E265" s="203"/>
      <c r="F265" s="20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03"/>
      <c r="D266" s="203"/>
      <c r="E266" s="203"/>
      <c r="F266" s="20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03"/>
      <c r="D267" s="203"/>
      <c r="E267" s="203"/>
      <c r="F267" s="20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03"/>
      <c r="D268" s="203"/>
      <c r="E268" s="203"/>
      <c r="F268" s="20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03"/>
      <c r="D269" s="203"/>
      <c r="E269" s="203"/>
      <c r="F269" s="20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03"/>
      <c r="D270" s="203"/>
      <c r="E270" s="203"/>
      <c r="F270" s="20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03"/>
      <c r="D271" s="203"/>
      <c r="E271" s="203"/>
      <c r="F271" s="20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03"/>
      <c r="D272" s="203"/>
      <c r="E272" s="203"/>
      <c r="F272" s="20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03"/>
      <c r="D273" s="203"/>
      <c r="E273" s="203"/>
      <c r="F273" s="20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03"/>
      <c r="D274" s="203"/>
      <c r="E274" s="203"/>
      <c r="F274" s="20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03"/>
      <c r="D275" s="203"/>
      <c r="E275" s="203"/>
      <c r="F275" s="20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03"/>
      <c r="D276" s="203"/>
      <c r="E276" s="203"/>
      <c r="F276" s="20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03"/>
      <c r="D277" s="203"/>
      <c r="E277" s="203"/>
      <c r="F277" s="20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03"/>
      <c r="D278" s="203"/>
      <c r="E278" s="203"/>
      <c r="F278" s="20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03"/>
      <c r="D279" s="203"/>
      <c r="E279" s="203"/>
      <c r="F279" s="20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03"/>
      <c r="D280" s="203"/>
      <c r="E280" s="203"/>
      <c r="F280" s="20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03"/>
      <c r="D281" s="203"/>
      <c r="E281" s="203"/>
      <c r="F281" s="20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03"/>
      <c r="D282" s="203"/>
      <c r="E282" s="203"/>
      <c r="F282" s="20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03"/>
      <c r="D283" s="203"/>
      <c r="E283" s="203"/>
      <c r="F283" s="20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03"/>
      <c r="D284" s="203"/>
      <c r="E284" s="203"/>
      <c r="F284" s="20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03"/>
      <c r="D285" s="203"/>
      <c r="E285" s="203"/>
      <c r="F285" s="20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03"/>
      <c r="D286" s="203"/>
      <c r="E286" s="203"/>
      <c r="F286" s="20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03"/>
      <c r="D287" s="203"/>
      <c r="E287" s="203"/>
      <c r="F287" s="20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03"/>
      <c r="D288" s="203"/>
      <c r="E288" s="203"/>
      <c r="F288" s="20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03"/>
      <c r="D289" s="203"/>
      <c r="E289" s="203"/>
      <c r="F289" s="20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03"/>
      <c r="D290" s="203"/>
      <c r="E290" s="203"/>
      <c r="F290" s="20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03"/>
      <c r="D291" s="203"/>
      <c r="E291" s="203"/>
      <c r="F291" s="20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03"/>
      <c r="D292" s="203"/>
      <c r="E292" s="203"/>
      <c r="F292" s="20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03"/>
      <c r="D293" s="203"/>
      <c r="E293" s="203"/>
      <c r="F293" s="20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03"/>
      <c r="D294" s="203"/>
      <c r="E294" s="203"/>
      <c r="F294" s="20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03"/>
      <c r="D295" s="203"/>
      <c r="E295" s="203"/>
      <c r="F295" s="20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03"/>
      <c r="D296" s="203"/>
      <c r="E296" s="203"/>
      <c r="F296" s="20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03"/>
      <c r="D297" s="203"/>
      <c r="E297" s="203"/>
      <c r="F297" s="20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03"/>
      <c r="D298" s="203"/>
      <c r="E298" s="203"/>
      <c r="F298" s="20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03"/>
      <c r="D299" s="203"/>
      <c r="E299" s="203"/>
      <c r="F299" s="20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03"/>
      <c r="D300" s="203"/>
      <c r="E300" s="203"/>
      <c r="F300" s="20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03"/>
      <c r="D301" s="203"/>
      <c r="E301" s="203"/>
      <c r="F301" s="20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03"/>
      <c r="D302" s="203"/>
      <c r="E302" s="203"/>
      <c r="F302" s="20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03"/>
      <c r="D303" s="203"/>
      <c r="E303" s="203"/>
      <c r="F303" s="20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03"/>
      <c r="D304" s="203"/>
      <c r="E304" s="203"/>
      <c r="F304" s="20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03"/>
      <c r="D305" s="203"/>
      <c r="E305" s="203"/>
      <c r="F305" s="20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03"/>
      <c r="D306" s="203"/>
      <c r="E306" s="203"/>
      <c r="F306" s="20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03"/>
      <c r="D307" s="203"/>
      <c r="E307" s="203"/>
      <c r="F307" s="20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03"/>
      <c r="D308" s="203"/>
      <c r="E308" s="203"/>
      <c r="F308" s="20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03"/>
      <c r="D309" s="203"/>
      <c r="E309" s="203"/>
      <c r="F309" s="20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03"/>
      <c r="D310" s="203"/>
      <c r="E310" s="203"/>
      <c r="F310" s="20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03"/>
      <c r="D311" s="203"/>
      <c r="E311" s="203"/>
      <c r="F311" s="20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03"/>
      <c r="D312" s="203"/>
      <c r="E312" s="203"/>
      <c r="F312" s="20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03"/>
      <c r="D313" s="203"/>
      <c r="E313" s="203"/>
      <c r="F313" s="20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03"/>
      <c r="D314" s="203"/>
      <c r="E314" s="203"/>
      <c r="F314" s="20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03"/>
      <c r="D315" s="203"/>
      <c r="E315" s="203"/>
      <c r="F315" s="20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03"/>
      <c r="D316" s="203"/>
      <c r="E316" s="203"/>
      <c r="F316" s="20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03"/>
      <c r="D317" s="203"/>
      <c r="E317" s="203"/>
      <c r="F317" s="20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03"/>
      <c r="D318" s="203"/>
      <c r="E318" s="203"/>
      <c r="F318" s="20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03"/>
      <c r="D319" s="203"/>
      <c r="E319" s="203"/>
      <c r="F319" s="20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03"/>
      <c r="D320" s="203"/>
      <c r="E320" s="203"/>
      <c r="F320" s="20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03"/>
      <c r="D321" s="203"/>
      <c r="E321" s="203"/>
      <c r="F321" s="20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03"/>
      <c r="D322" s="203"/>
      <c r="E322" s="203"/>
      <c r="F322" s="20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03"/>
      <c r="D323" s="203"/>
      <c r="E323" s="203"/>
      <c r="F323" s="20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03"/>
      <c r="D324" s="203"/>
      <c r="E324" s="203"/>
      <c r="F324" s="20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03"/>
      <c r="D325" s="203"/>
      <c r="E325" s="203"/>
      <c r="F325" s="20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03"/>
      <c r="D326" s="203"/>
      <c r="E326" s="203"/>
      <c r="F326" s="20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03"/>
      <c r="D327" s="203"/>
      <c r="E327" s="203"/>
      <c r="F327" s="20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03"/>
      <c r="D328" s="203"/>
      <c r="E328" s="203"/>
      <c r="F328" s="20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03"/>
      <c r="D329" s="203"/>
      <c r="E329" s="203"/>
      <c r="F329" s="20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03"/>
      <c r="D330" s="203"/>
      <c r="E330" s="203"/>
      <c r="F330" s="20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03"/>
      <c r="D331" s="203"/>
      <c r="E331" s="203"/>
      <c r="F331" s="20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03"/>
      <c r="D332" s="203"/>
      <c r="E332" s="203"/>
      <c r="F332" s="20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03"/>
      <c r="D333" s="203"/>
      <c r="E333" s="203"/>
      <c r="F333" s="20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03"/>
      <c r="D334" s="203"/>
      <c r="E334" s="203"/>
      <c r="F334" s="20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03"/>
      <c r="D335" s="203"/>
      <c r="E335" s="203"/>
      <c r="F335" s="20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03"/>
      <c r="D336" s="203"/>
      <c r="E336" s="203"/>
      <c r="F336" s="20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03"/>
      <c r="D337" s="203"/>
      <c r="E337" s="203"/>
      <c r="F337" s="20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03"/>
      <c r="D338" s="203"/>
      <c r="E338" s="203"/>
      <c r="F338" s="20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03"/>
      <c r="D339" s="203"/>
      <c r="E339" s="203"/>
      <c r="F339" s="20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03"/>
      <c r="D340" s="203"/>
      <c r="E340" s="203"/>
      <c r="F340" s="20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03"/>
      <c r="D341" s="203"/>
      <c r="E341" s="203"/>
      <c r="F341" s="20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03"/>
      <c r="D342" s="203"/>
      <c r="E342" s="203"/>
      <c r="F342" s="20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03"/>
      <c r="D343" s="203"/>
      <c r="E343" s="203"/>
      <c r="F343" s="20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03"/>
      <c r="D344" s="203"/>
      <c r="E344" s="203"/>
      <c r="F344" s="20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03"/>
      <c r="D345" s="203"/>
      <c r="E345" s="203"/>
      <c r="F345" s="20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03"/>
      <c r="D346" s="203"/>
      <c r="E346" s="203"/>
      <c r="F346" s="20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03"/>
      <c r="D347" s="203"/>
      <c r="E347" s="203"/>
      <c r="F347" s="20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03"/>
      <c r="D348" s="203"/>
      <c r="E348" s="203"/>
      <c r="F348" s="20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03"/>
      <c r="D349" s="203"/>
      <c r="E349" s="203"/>
      <c r="F349" s="20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03"/>
      <c r="D350" s="203"/>
      <c r="E350" s="203"/>
      <c r="F350" s="20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03"/>
      <c r="D351" s="203"/>
      <c r="E351" s="203"/>
      <c r="F351" s="20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03"/>
      <c r="D352" s="203"/>
      <c r="E352" s="203"/>
      <c r="F352" s="20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03"/>
      <c r="D353" s="203"/>
      <c r="E353" s="203"/>
      <c r="F353" s="20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03"/>
      <c r="D354" s="203"/>
      <c r="E354" s="203"/>
      <c r="F354" s="20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03"/>
      <c r="D355" s="203"/>
      <c r="E355" s="203"/>
      <c r="F355" s="20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03"/>
      <c r="D356" s="203"/>
      <c r="E356" s="203"/>
      <c r="F356" s="20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03"/>
      <c r="D357" s="203"/>
      <c r="E357" s="203"/>
      <c r="F357" s="20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03"/>
      <c r="D358" s="203"/>
      <c r="E358" s="203"/>
      <c r="F358" s="20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03"/>
      <c r="D359" s="203"/>
      <c r="E359" s="203"/>
      <c r="F359" s="20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03"/>
      <c r="D360" s="203"/>
      <c r="E360" s="203"/>
      <c r="F360" s="20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03"/>
      <c r="D361" s="203"/>
      <c r="E361" s="203"/>
      <c r="F361" s="20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03"/>
      <c r="D362" s="203"/>
      <c r="E362" s="203"/>
      <c r="F362" s="20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03"/>
      <c r="D363" s="203"/>
      <c r="E363" s="203"/>
      <c r="F363" s="20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03"/>
      <c r="D364" s="203"/>
      <c r="E364" s="203"/>
      <c r="F364" s="20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03"/>
      <c r="D365" s="203"/>
      <c r="E365" s="203"/>
      <c r="F365" s="20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03"/>
      <c r="D366" s="203"/>
      <c r="E366" s="203"/>
      <c r="F366" s="20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03"/>
      <c r="D367" s="203"/>
      <c r="E367" s="203"/>
      <c r="F367" s="20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03"/>
      <c r="D368" s="203"/>
      <c r="E368" s="203"/>
      <c r="F368" s="20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03"/>
      <c r="D369" s="203"/>
      <c r="E369" s="203"/>
      <c r="F369" s="20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03"/>
      <c r="D370" s="203"/>
      <c r="E370" s="203"/>
      <c r="F370" s="20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03"/>
      <c r="D371" s="203"/>
      <c r="E371" s="203"/>
      <c r="F371" s="20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03"/>
      <c r="D372" s="203"/>
      <c r="E372" s="203"/>
      <c r="F372" s="20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03"/>
      <c r="D373" s="203"/>
      <c r="E373" s="203"/>
      <c r="F373" s="20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03"/>
      <c r="D374" s="203"/>
      <c r="E374" s="203"/>
      <c r="F374" s="20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03"/>
      <c r="D375" s="203"/>
      <c r="E375" s="203"/>
      <c r="F375" s="20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03"/>
      <c r="D376" s="203"/>
      <c r="E376" s="203"/>
      <c r="F376" s="20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03"/>
      <c r="D377" s="203"/>
      <c r="E377" s="203"/>
      <c r="F377" s="20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03"/>
      <c r="D378" s="203"/>
      <c r="E378" s="203"/>
      <c r="F378" s="20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03"/>
      <c r="D379" s="203"/>
      <c r="E379" s="203"/>
      <c r="F379" s="20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03"/>
      <c r="D380" s="203"/>
      <c r="E380" s="203"/>
      <c r="F380" s="20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03"/>
      <c r="D381" s="203"/>
      <c r="E381" s="203"/>
      <c r="F381" s="20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03"/>
      <c r="D382" s="203"/>
      <c r="E382" s="203"/>
      <c r="F382" s="20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03"/>
      <c r="D383" s="203"/>
      <c r="E383" s="203"/>
      <c r="F383" s="20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03"/>
      <c r="D384" s="203"/>
      <c r="E384" s="203"/>
      <c r="F384" s="20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03"/>
      <c r="D385" s="203"/>
      <c r="E385" s="203"/>
      <c r="F385" s="20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03"/>
      <c r="D386" s="203"/>
      <c r="E386" s="203"/>
      <c r="F386" s="20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03"/>
      <c r="D387" s="203"/>
      <c r="E387" s="203"/>
      <c r="F387" s="20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03"/>
      <c r="D388" s="203"/>
      <c r="E388" s="203"/>
      <c r="F388" s="20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03"/>
      <c r="D389" s="203"/>
      <c r="E389" s="203"/>
      <c r="F389" s="20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03"/>
      <c r="D390" s="203"/>
      <c r="E390" s="203"/>
      <c r="F390" s="20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03"/>
      <c r="D391" s="203"/>
      <c r="E391" s="203"/>
      <c r="F391" s="20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03"/>
      <c r="D392" s="203"/>
      <c r="E392" s="203"/>
      <c r="F392" s="20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03"/>
      <c r="D393" s="203"/>
      <c r="E393" s="203"/>
      <c r="F393" s="20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03"/>
      <c r="D394" s="203"/>
      <c r="E394" s="203"/>
      <c r="F394" s="20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03"/>
      <c r="D395" s="203"/>
      <c r="E395" s="203"/>
      <c r="F395" s="20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03"/>
      <c r="D396" s="203"/>
      <c r="E396" s="203"/>
      <c r="F396" s="20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03"/>
      <c r="D397" s="203"/>
      <c r="E397" s="203"/>
      <c r="F397" s="20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03"/>
      <c r="D398" s="203"/>
      <c r="E398" s="203"/>
      <c r="F398" s="20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03"/>
      <c r="D399" s="203"/>
      <c r="E399" s="203"/>
      <c r="F399" s="20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03"/>
      <c r="D400" s="203"/>
      <c r="E400" s="203"/>
      <c r="F400" s="20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03"/>
      <c r="D401" s="203"/>
      <c r="E401" s="203"/>
      <c r="F401" s="20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03"/>
      <c r="D402" s="203"/>
      <c r="E402" s="203"/>
      <c r="F402" s="20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03"/>
      <c r="D403" s="203"/>
      <c r="E403" s="203"/>
      <c r="F403" s="20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03"/>
      <c r="D404" s="203"/>
      <c r="E404" s="203"/>
      <c r="F404" s="20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03"/>
      <c r="D405" s="203"/>
      <c r="E405" s="203"/>
      <c r="F405" s="20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03"/>
      <c r="D406" s="203"/>
      <c r="E406" s="203"/>
      <c r="F406" s="20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03"/>
      <c r="D407" s="203"/>
      <c r="E407" s="203"/>
      <c r="F407" s="20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03"/>
      <c r="D408" s="203"/>
      <c r="E408" s="203"/>
      <c r="F408" s="20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03"/>
      <c r="D409" s="203"/>
      <c r="E409" s="203"/>
      <c r="F409" s="20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03"/>
      <c r="D410" s="203"/>
      <c r="E410" s="203"/>
      <c r="F410" s="20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03"/>
      <c r="D411" s="203"/>
      <c r="E411" s="203"/>
      <c r="F411" s="20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03"/>
      <c r="D412" s="203"/>
      <c r="E412" s="203"/>
      <c r="F412" s="20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03"/>
      <c r="D413" s="203"/>
      <c r="E413" s="203"/>
      <c r="F413" s="20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03"/>
      <c r="D414" s="203"/>
      <c r="E414" s="203"/>
      <c r="F414" s="20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03"/>
      <c r="D415" s="203"/>
      <c r="E415" s="203"/>
      <c r="F415" s="20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03"/>
      <c r="D416" s="203"/>
      <c r="E416" s="203"/>
      <c r="F416" s="20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03"/>
      <c r="D417" s="203"/>
      <c r="E417" s="203"/>
      <c r="F417" s="20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03"/>
      <c r="D418" s="203"/>
      <c r="E418" s="203"/>
      <c r="F418" s="20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03"/>
      <c r="D419" s="203"/>
      <c r="E419" s="203"/>
      <c r="F419" s="20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03"/>
      <c r="D420" s="203"/>
      <c r="E420" s="203"/>
      <c r="F420" s="20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03"/>
      <c r="D421" s="203"/>
      <c r="E421" s="203"/>
      <c r="F421" s="20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03"/>
      <c r="D422" s="203"/>
      <c r="E422" s="203"/>
      <c r="F422" s="20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03"/>
      <c r="D423" s="203"/>
      <c r="E423" s="203"/>
      <c r="F423" s="20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03"/>
      <c r="D424" s="203"/>
      <c r="E424" s="203"/>
      <c r="F424" s="20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03"/>
      <c r="D425" s="203"/>
      <c r="E425" s="203"/>
      <c r="F425" s="20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03"/>
      <c r="D426" s="203"/>
      <c r="E426" s="203"/>
      <c r="F426" s="20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03"/>
      <c r="D427" s="203"/>
      <c r="E427" s="203"/>
      <c r="F427" s="20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03"/>
      <c r="D428" s="203"/>
      <c r="E428" s="203"/>
      <c r="F428" s="20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03"/>
      <c r="D429" s="203"/>
      <c r="E429" s="203"/>
      <c r="F429" s="20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03"/>
      <c r="D430" s="203"/>
      <c r="E430" s="203"/>
      <c r="F430" s="20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03"/>
      <c r="D431" s="203"/>
      <c r="E431" s="203"/>
      <c r="F431" s="20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03"/>
      <c r="D432" s="203"/>
      <c r="E432" s="203"/>
      <c r="F432" s="20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03"/>
      <c r="D433" s="203"/>
      <c r="E433" s="203"/>
      <c r="F433" s="20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03"/>
      <c r="D434" s="203"/>
      <c r="E434" s="203"/>
      <c r="F434" s="20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03"/>
      <c r="D435" s="203"/>
      <c r="E435" s="203"/>
      <c r="F435" s="20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03"/>
      <c r="D436" s="203"/>
      <c r="E436" s="203"/>
      <c r="F436" s="20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03"/>
      <c r="D437" s="203"/>
      <c r="E437" s="203"/>
      <c r="F437" s="20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03"/>
      <c r="D438" s="203"/>
      <c r="E438" s="203"/>
      <c r="F438" s="20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03"/>
      <c r="D439" s="203"/>
      <c r="E439" s="203"/>
      <c r="F439" s="20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03"/>
      <c r="D440" s="203"/>
      <c r="E440" s="203"/>
      <c r="F440" s="20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03"/>
      <c r="D441" s="203"/>
      <c r="E441" s="203"/>
      <c r="F441" s="20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03"/>
      <c r="D442" s="203"/>
      <c r="E442" s="203"/>
      <c r="F442" s="20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03"/>
      <c r="D443" s="203"/>
      <c r="E443" s="203"/>
      <c r="F443" s="20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03"/>
      <c r="D444" s="203"/>
      <c r="E444" s="203"/>
      <c r="F444" s="20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03"/>
      <c r="D445" s="203"/>
      <c r="E445" s="203"/>
      <c r="F445" s="20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03"/>
      <c r="D446" s="203"/>
      <c r="E446" s="203"/>
      <c r="F446" s="20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03"/>
      <c r="D447" s="203"/>
      <c r="E447" s="203"/>
      <c r="F447" s="20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03"/>
      <c r="D448" s="203"/>
      <c r="E448" s="203"/>
      <c r="F448" s="20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03"/>
      <c r="D449" s="203"/>
      <c r="E449" s="203"/>
      <c r="F449" s="20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03"/>
      <c r="D450" s="203"/>
      <c r="E450" s="203"/>
      <c r="F450" s="20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03"/>
      <c r="D451" s="203"/>
      <c r="E451" s="203"/>
      <c r="F451" s="20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03"/>
      <c r="D452" s="203"/>
      <c r="E452" s="203"/>
      <c r="F452" s="20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03"/>
      <c r="D453" s="203"/>
      <c r="E453" s="203"/>
      <c r="F453" s="20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03"/>
      <c r="D454" s="203"/>
      <c r="E454" s="203"/>
      <c r="F454" s="20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03"/>
      <c r="D455" s="203"/>
      <c r="E455" s="203"/>
      <c r="F455" s="20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03"/>
      <c r="D456" s="203"/>
      <c r="E456" s="203"/>
      <c r="F456" s="20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03"/>
      <c r="D457" s="203"/>
      <c r="E457" s="203"/>
      <c r="F457" s="20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03"/>
      <c r="D458" s="203"/>
      <c r="E458" s="203"/>
      <c r="F458" s="20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03"/>
      <c r="D459" s="203"/>
      <c r="E459" s="203"/>
      <c r="F459" s="20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03"/>
      <c r="D460" s="203"/>
      <c r="E460" s="203"/>
      <c r="F460" s="20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03"/>
      <c r="D461" s="203"/>
      <c r="E461" s="203"/>
      <c r="F461" s="20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03"/>
      <c r="D462" s="203"/>
      <c r="E462" s="203"/>
      <c r="F462" s="20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03"/>
      <c r="D463" s="203"/>
      <c r="E463" s="203"/>
      <c r="F463" s="20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03"/>
      <c r="D464" s="203"/>
      <c r="E464" s="203"/>
      <c r="F464" s="20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03"/>
      <c r="D465" s="203"/>
      <c r="E465" s="203"/>
      <c r="F465" s="20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03"/>
      <c r="D466" s="203"/>
      <c r="E466" s="203"/>
      <c r="F466" s="20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03"/>
      <c r="D467" s="203"/>
      <c r="E467" s="203"/>
      <c r="F467" s="20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03"/>
      <c r="D468" s="203"/>
      <c r="E468" s="203"/>
      <c r="F468" s="20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03"/>
      <c r="D469" s="203"/>
      <c r="E469" s="203"/>
      <c r="F469" s="20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03"/>
      <c r="D470" s="203"/>
      <c r="E470" s="203"/>
      <c r="F470" s="20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03"/>
      <c r="D471" s="203"/>
      <c r="E471" s="203"/>
      <c r="F471" s="20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03"/>
      <c r="D472" s="203"/>
      <c r="E472" s="203"/>
      <c r="F472" s="20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03"/>
      <c r="D473" s="203"/>
      <c r="E473" s="203"/>
      <c r="F473" s="20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03"/>
      <c r="D474" s="203"/>
      <c r="E474" s="203"/>
      <c r="F474" s="20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03"/>
      <c r="D475" s="203"/>
      <c r="E475" s="203"/>
      <c r="F475" s="20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03"/>
      <c r="D476" s="203"/>
      <c r="E476" s="203"/>
      <c r="F476" s="20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03"/>
      <c r="D477" s="203"/>
      <c r="E477" s="203"/>
      <c r="F477" s="20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03"/>
      <c r="D478" s="203"/>
      <c r="E478" s="203"/>
      <c r="F478" s="20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03"/>
      <c r="D479" s="203"/>
      <c r="E479" s="203"/>
      <c r="F479" s="20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03"/>
      <c r="D480" s="203"/>
      <c r="E480" s="203"/>
      <c r="F480" s="20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03"/>
      <c r="D481" s="203"/>
      <c r="E481" s="203"/>
      <c r="F481" s="20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03"/>
      <c r="D482" s="203"/>
      <c r="E482" s="203"/>
      <c r="F482" s="20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03"/>
      <c r="D483" s="203"/>
      <c r="E483" s="203"/>
      <c r="F483" s="20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03"/>
      <c r="D484" s="203"/>
      <c r="E484" s="203"/>
      <c r="F484" s="20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03"/>
      <c r="D485" s="203"/>
      <c r="E485" s="203"/>
      <c r="F485" s="20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03"/>
      <c r="D486" s="203"/>
      <c r="E486" s="203"/>
      <c r="F486" s="20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03"/>
      <c r="D487" s="203"/>
      <c r="E487" s="203"/>
      <c r="F487" s="20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03"/>
      <c r="D488" s="203"/>
      <c r="E488" s="203"/>
      <c r="F488" s="20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03"/>
      <c r="D489" s="203"/>
      <c r="E489" s="203"/>
      <c r="F489" s="20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03"/>
      <c r="D490" s="203"/>
      <c r="E490" s="203"/>
      <c r="F490" s="20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03"/>
      <c r="D491" s="203"/>
      <c r="E491" s="203"/>
      <c r="F491" s="20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03"/>
      <c r="D492" s="203"/>
      <c r="E492" s="203"/>
      <c r="F492" s="20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03"/>
      <c r="D493" s="203"/>
      <c r="E493" s="203"/>
      <c r="F493" s="20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03"/>
      <c r="D494" s="203"/>
      <c r="E494" s="203"/>
      <c r="F494" s="20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03"/>
      <c r="D495" s="203"/>
      <c r="E495" s="203"/>
      <c r="F495" s="20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03"/>
      <c r="D496" s="203"/>
      <c r="E496" s="203"/>
      <c r="F496" s="20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03"/>
      <c r="D497" s="203"/>
      <c r="E497" s="203"/>
      <c r="F497" s="20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03"/>
      <c r="D498" s="203"/>
      <c r="E498" s="203"/>
      <c r="F498" s="20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03"/>
      <c r="D499" s="203"/>
      <c r="E499" s="203"/>
      <c r="F499" s="20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03"/>
      <c r="D500" s="203"/>
      <c r="E500" s="203"/>
      <c r="F500" s="20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03"/>
      <c r="D501" s="203"/>
      <c r="E501" s="203"/>
      <c r="F501" s="20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03"/>
      <c r="D502" s="203"/>
      <c r="E502" s="203"/>
      <c r="F502" s="20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03"/>
      <c r="D503" s="203"/>
      <c r="E503" s="203"/>
      <c r="F503" s="20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03"/>
      <c r="D504" s="203"/>
      <c r="E504" s="203"/>
      <c r="F504" s="20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03"/>
      <c r="D505" s="203"/>
      <c r="E505" s="203"/>
      <c r="F505" s="20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03"/>
      <c r="D506" s="203"/>
      <c r="E506" s="203"/>
      <c r="F506" s="20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03"/>
      <c r="D507" s="203"/>
      <c r="E507" s="203"/>
      <c r="F507" s="20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03"/>
      <c r="D508" s="203"/>
      <c r="E508" s="203"/>
      <c r="F508" s="20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03"/>
      <c r="D509" s="203"/>
      <c r="E509" s="203"/>
      <c r="F509" s="20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03"/>
      <c r="D510" s="203"/>
      <c r="E510" s="203"/>
      <c r="F510" s="20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03"/>
      <c r="D511" s="203"/>
      <c r="E511" s="203"/>
      <c r="F511" s="20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03"/>
      <c r="D512" s="203"/>
      <c r="E512" s="203"/>
      <c r="F512" s="20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03"/>
      <c r="D513" s="203"/>
      <c r="E513" s="203"/>
      <c r="F513" s="20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03"/>
      <c r="D514" s="203"/>
      <c r="E514" s="203"/>
      <c r="F514" s="20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03"/>
      <c r="D515" s="203"/>
      <c r="E515" s="203"/>
      <c r="F515" s="20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03"/>
      <c r="D516" s="203"/>
      <c r="E516" s="203"/>
      <c r="F516" s="20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03"/>
      <c r="D517" s="203"/>
      <c r="E517" s="203"/>
      <c r="F517" s="20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03"/>
      <c r="D518" s="203"/>
      <c r="E518" s="203"/>
      <c r="F518" s="20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03"/>
      <c r="D519" s="203"/>
      <c r="E519" s="203"/>
      <c r="F519" s="20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03"/>
      <c r="D520" s="203"/>
      <c r="E520" s="203"/>
      <c r="F520" s="20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03"/>
      <c r="D521" s="203"/>
      <c r="E521" s="203"/>
      <c r="F521" s="20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03"/>
      <c r="D522" s="203"/>
      <c r="E522" s="203"/>
      <c r="F522" s="20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03"/>
      <c r="D523" s="203"/>
      <c r="E523" s="203"/>
      <c r="F523" s="20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03"/>
      <c r="D524" s="203"/>
      <c r="E524" s="203"/>
      <c r="F524" s="20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03"/>
      <c r="D525" s="203"/>
      <c r="E525" s="203"/>
      <c r="F525" s="20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03"/>
      <c r="D526" s="203"/>
      <c r="E526" s="203"/>
      <c r="F526" s="20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03"/>
      <c r="D527" s="203"/>
      <c r="E527" s="203"/>
      <c r="F527" s="20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03"/>
      <c r="D528" s="203"/>
      <c r="E528" s="203"/>
      <c r="F528" s="20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03"/>
      <c r="D529" s="203"/>
      <c r="E529" s="203"/>
      <c r="F529" s="20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03"/>
      <c r="D530" s="203"/>
      <c r="E530" s="203"/>
      <c r="F530" s="20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03"/>
      <c r="D531" s="203"/>
      <c r="E531" s="203"/>
      <c r="F531" s="20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03"/>
      <c r="D532" s="203"/>
      <c r="E532" s="203"/>
      <c r="F532" s="20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03"/>
      <c r="D533" s="203"/>
      <c r="E533" s="203"/>
      <c r="F533" s="20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03"/>
      <c r="D534" s="203"/>
      <c r="E534" s="203"/>
      <c r="F534" s="20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03"/>
      <c r="D535" s="203"/>
      <c r="E535" s="203"/>
      <c r="F535" s="20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03"/>
      <c r="D536" s="203"/>
      <c r="E536" s="203"/>
      <c r="F536" s="20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03"/>
      <c r="D537" s="203"/>
      <c r="E537" s="203"/>
      <c r="F537" s="20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03"/>
      <c r="D538" s="203"/>
      <c r="E538" s="203"/>
      <c r="F538" s="20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03"/>
      <c r="D539" s="203"/>
      <c r="E539" s="203"/>
      <c r="F539" s="20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03"/>
      <c r="D540" s="203"/>
      <c r="E540" s="203"/>
      <c r="F540" s="20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03"/>
      <c r="D541" s="203"/>
      <c r="E541" s="203"/>
      <c r="F541" s="20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03"/>
      <c r="D542" s="203"/>
      <c r="E542" s="203"/>
      <c r="F542" s="20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03"/>
      <c r="D543" s="203"/>
      <c r="E543" s="203"/>
      <c r="F543" s="20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03"/>
      <c r="D544" s="203"/>
      <c r="E544" s="203"/>
      <c r="F544" s="20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03"/>
      <c r="D545" s="203"/>
      <c r="E545" s="203"/>
      <c r="F545" s="20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03"/>
      <c r="D546" s="203"/>
      <c r="E546" s="203"/>
      <c r="F546" s="20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03"/>
      <c r="D547" s="203"/>
      <c r="E547" s="203"/>
      <c r="F547" s="20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03"/>
      <c r="D548" s="203"/>
      <c r="E548" s="203"/>
      <c r="F548" s="20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03"/>
      <c r="D549" s="203"/>
      <c r="E549" s="203"/>
      <c r="F549" s="20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03"/>
      <c r="D550" s="203"/>
      <c r="E550" s="203"/>
      <c r="F550" s="20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03"/>
      <c r="D551" s="203"/>
      <c r="E551" s="203"/>
      <c r="F551" s="20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03"/>
      <c r="D552" s="203"/>
      <c r="E552" s="203"/>
      <c r="F552" s="20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03"/>
      <c r="D553" s="203"/>
      <c r="E553" s="203"/>
      <c r="F553" s="20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03"/>
      <c r="D554" s="203"/>
      <c r="E554" s="203"/>
      <c r="F554" s="20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03"/>
      <c r="D555" s="203"/>
      <c r="E555" s="203"/>
      <c r="F555" s="20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03"/>
      <c r="D556" s="203"/>
      <c r="E556" s="203"/>
      <c r="F556" s="20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03"/>
      <c r="D557" s="203"/>
      <c r="E557" s="203"/>
      <c r="F557" s="20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03"/>
      <c r="D558" s="203"/>
      <c r="E558" s="203"/>
      <c r="F558" s="20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03"/>
      <c r="D559" s="203"/>
      <c r="E559" s="203"/>
      <c r="F559" s="20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03"/>
      <c r="D560" s="203"/>
      <c r="E560" s="203"/>
      <c r="F560" s="20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03"/>
      <c r="D561" s="203"/>
      <c r="E561" s="203"/>
      <c r="F561" s="20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03"/>
      <c r="D562" s="203"/>
      <c r="E562" s="203"/>
      <c r="F562" s="20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03"/>
      <c r="D563" s="203"/>
      <c r="E563" s="203"/>
      <c r="F563" s="20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03"/>
      <c r="D564" s="203"/>
      <c r="E564" s="203"/>
      <c r="F564" s="20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03"/>
      <c r="D565" s="203"/>
      <c r="E565" s="203"/>
      <c r="F565" s="20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03"/>
      <c r="D566" s="203"/>
      <c r="E566" s="203"/>
      <c r="F566" s="20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03"/>
      <c r="D567" s="203"/>
      <c r="E567" s="203"/>
      <c r="F567" s="20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03"/>
      <c r="D568" s="203"/>
      <c r="E568" s="203"/>
      <c r="F568" s="20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03"/>
      <c r="D569" s="203"/>
      <c r="E569" s="203"/>
      <c r="F569" s="20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03"/>
      <c r="D570" s="203"/>
      <c r="E570" s="203"/>
      <c r="F570" s="20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03"/>
      <c r="D571" s="203"/>
      <c r="E571" s="203"/>
      <c r="F571" s="20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03"/>
      <c r="D572" s="203"/>
      <c r="E572" s="203"/>
      <c r="F572" s="20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03"/>
      <c r="D573" s="203"/>
      <c r="E573" s="203"/>
      <c r="F573" s="20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03"/>
      <c r="D574" s="203"/>
      <c r="E574" s="203"/>
      <c r="F574" s="20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03"/>
      <c r="D575" s="203"/>
      <c r="E575" s="203"/>
      <c r="F575" s="20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03"/>
      <c r="D576" s="203"/>
      <c r="E576" s="203"/>
      <c r="F576" s="20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03"/>
      <c r="D577" s="203"/>
      <c r="E577" s="203"/>
      <c r="F577" s="20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03"/>
      <c r="D578" s="203"/>
      <c r="E578" s="203"/>
      <c r="F578" s="20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03"/>
      <c r="D579" s="203"/>
      <c r="E579" s="203"/>
      <c r="F579" s="20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03"/>
      <c r="D580" s="203"/>
      <c r="E580" s="203"/>
      <c r="F580" s="20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03"/>
      <c r="D581" s="203"/>
      <c r="E581" s="203"/>
      <c r="F581" s="20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03"/>
      <c r="D582" s="203"/>
      <c r="E582" s="203"/>
      <c r="F582" s="20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03"/>
      <c r="D583" s="203"/>
      <c r="E583" s="203"/>
      <c r="F583" s="20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03"/>
      <c r="D584" s="203"/>
      <c r="E584" s="203"/>
      <c r="F584" s="20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03"/>
      <c r="D585" s="203"/>
      <c r="E585" s="203"/>
      <c r="F585" s="20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03"/>
      <c r="D586" s="203"/>
      <c r="E586" s="203"/>
      <c r="F586" s="20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03"/>
      <c r="D587" s="203"/>
      <c r="E587" s="203"/>
      <c r="F587" s="20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03"/>
      <c r="D588" s="203"/>
      <c r="E588" s="203"/>
      <c r="F588" s="20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03"/>
      <c r="D589" s="203"/>
      <c r="E589" s="203"/>
      <c r="F589" s="20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03"/>
      <c r="D590" s="203"/>
      <c r="E590" s="203"/>
      <c r="F590" s="20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03"/>
      <c r="D591" s="203"/>
      <c r="E591" s="203"/>
      <c r="F591" s="20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03"/>
      <c r="D592" s="203"/>
      <c r="E592" s="203"/>
      <c r="F592" s="20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03"/>
      <c r="D593" s="203"/>
      <c r="E593" s="203"/>
      <c r="F593" s="20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03"/>
      <c r="D594" s="203"/>
      <c r="E594" s="203"/>
      <c r="F594" s="20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03"/>
      <c r="D595" s="203"/>
      <c r="E595" s="203"/>
      <c r="F595" s="20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03"/>
      <c r="D596" s="203"/>
      <c r="E596" s="203"/>
      <c r="F596" s="20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03"/>
      <c r="D597" s="203"/>
      <c r="E597" s="203"/>
      <c r="F597" s="20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03"/>
      <c r="D598" s="203"/>
      <c r="E598" s="203"/>
      <c r="F598" s="20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03"/>
      <c r="D599" s="203"/>
      <c r="E599" s="203"/>
      <c r="F599" s="20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03"/>
      <c r="D600" s="203"/>
      <c r="E600" s="203"/>
      <c r="F600" s="20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03"/>
      <c r="D601" s="203"/>
      <c r="E601" s="203"/>
      <c r="F601" s="20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03"/>
      <c r="D602" s="203"/>
      <c r="E602" s="203"/>
      <c r="F602" s="20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03"/>
      <c r="D603" s="203"/>
      <c r="E603" s="203"/>
      <c r="F603" s="20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03"/>
      <c r="D604" s="203"/>
      <c r="E604" s="203"/>
      <c r="F604" s="20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03"/>
      <c r="D605" s="203"/>
      <c r="E605" s="203"/>
      <c r="F605" s="20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03"/>
      <c r="D606" s="203"/>
      <c r="E606" s="203"/>
      <c r="F606" s="20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03"/>
      <c r="D607" s="203"/>
      <c r="E607" s="203"/>
      <c r="F607" s="20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03"/>
      <c r="D608" s="203"/>
      <c r="E608" s="203"/>
      <c r="F608" s="20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03"/>
      <c r="D609" s="203"/>
      <c r="E609" s="203"/>
      <c r="F609" s="20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03"/>
      <c r="D610" s="203"/>
      <c r="E610" s="203"/>
      <c r="F610" s="20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03"/>
      <c r="D611" s="203"/>
      <c r="E611" s="203"/>
      <c r="F611" s="20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03"/>
      <c r="D612" s="203"/>
      <c r="E612" s="203"/>
      <c r="F612" s="20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03"/>
      <c r="D613" s="203"/>
      <c r="E613" s="203"/>
      <c r="F613" s="20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03"/>
      <c r="D614" s="203"/>
      <c r="E614" s="203"/>
      <c r="F614" s="20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03"/>
      <c r="D615" s="203"/>
      <c r="E615" s="203"/>
      <c r="F615" s="20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03"/>
      <c r="D616" s="203"/>
      <c r="E616" s="203"/>
      <c r="F616" s="20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03"/>
      <c r="D617" s="203"/>
      <c r="E617" s="203"/>
      <c r="F617" s="20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03"/>
      <c r="D618" s="203"/>
      <c r="E618" s="203"/>
      <c r="F618" s="20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03"/>
      <c r="D619" s="203"/>
      <c r="E619" s="203"/>
      <c r="F619" s="20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03"/>
      <c r="D620" s="203"/>
      <c r="E620" s="203"/>
      <c r="F620" s="20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03"/>
      <c r="D621" s="203"/>
      <c r="E621" s="203"/>
      <c r="F621" s="20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03"/>
      <c r="D622" s="203"/>
      <c r="E622" s="203"/>
      <c r="F622" s="20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03"/>
      <c r="D623" s="203"/>
      <c r="E623" s="203"/>
      <c r="F623" s="20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03"/>
      <c r="D624" s="203"/>
      <c r="E624" s="203"/>
      <c r="F624" s="20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03"/>
      <c r="D625" s="203"/>
      <c r="E625" s="203"/>
      <c r="F625" s="20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03"/>
      <c r="D626" s="203"/>
      <c r="E626" s="203"/>
      <c r="F626" s="20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03"/>
      <c r="D627" s="203"/>
      <c r="E627" s="203"/>
      <c r="F627" s="20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03"/>
      <c r="D628" s="203"/>
      <c r="E628" s="203"/>
      <c r="F628" s="20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03"/>
      <c r="D629" s="203"/>
      <c r="E629" s="203"/>
      <c r="F629" s="20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03"/>
      <c r="D630" s="203"/>
      <c r="E630" s="203"/>
      <c r="F630" s="20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03"/>
      <c r="D631" s="203"/>
      <c r="E631" s="203"/>
      <c r="F631" s="20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03"/>
      <c r="D632" s="203"/>
      <c r="E632" s="203"/>
      <c r="F632" s="20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03"/>
      <c r="D633" s="203"/>
      <c r="E633" s="203"/>
      <c r="F633" s="20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03"/>
      <c r="D634" s="203"/>
      <c r="E634" s="203"/>
      <c r="F634" s="20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03"/>
      <c r="D635" s="203"/>
      <c r="E635" s="203"/>
      <c r="F635" s="20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03"/>
      <c r="D636" s="203"/>
      <c r="E636" s="203"/>
      <c r="F636" s="20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03"/>
      <c r="D637" s="203"/>
      <c r="E637" s="203"/>
      <c r="F637" s="20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03"/>
      <c r="D638" s="203"/>
      <c r="E638" s="203"/>
      <c r="F638" s="20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03"/>
      <c r="D639" s="203"/>
      <c r="E639" s="203"/>
      <c r="F639" s="20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03"/>
      <c r="D640" s="203"/>
      <c r="E640" s="203"/>
      <c r="F640" s="20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03"/>
      <c r="D641" s="203"/>
      <c r="E641" s="203"/>
      <c r="F641" s="20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03"/>
      <c r="D642" s="203"/>
      <c r="E642" s="203"/>
      <c r="F642" s="20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03"/>
      <c r="D643" s="203"/>
      <c r="E643" s="203"/>
      <c r="F643" s="20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03"/>
      <c r="D644" s="203"/>
      <c r="E644" s="203"/>
      <c r="F644" s="20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03"/>
      <c r="D645" s="203"/>
      <c r="E645" s="203"/>
      <c r="F645" s="20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03"/>
      <c r="D646" s="203"/>
      <c r="E646" s="203"/>
      <c r="F646" s="20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03"/>
      <c r="D647" s="203"/>
      <c r="E647" s="203"/>
      <c r="F647" s="20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03"/>
      <c r="D648" s="203"/>
      <c r="E648" s="203"/>
      <c r="F648" s="20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03"/>
      <c r="D649" s="203"/>
      <c r="E649" s="203"/>
      <c r="F649" s="20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03"/>
      <c r="D650" s="203"/>
      <c r="E650" s="203"/>
      <c r="F650" s="20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03"/>
      <c r="D651" s="203"/>
      <c r="E651" s="203"/>
      <c r="F651" s="20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03"/>
      <c r="D652" s="203"/>
      <c r="E652" s="203"/>
      <c r="F652" s="20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03"/>
      <c r="D653" s="203"/>
      <c r="E653" s="203"/>
      <c r="F653" s="20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03"/>
      <c r="D654" s="203"/>
      <c r="E654" s="203"/>
      <c r="F654" s="20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03"/>
      <c r="D655" s="203"/>
      <c r="E655" s="203"/>
      <c r="F655" s="20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03"/>
      <c r="D656" s="203"/>
      <c r="E656" s="203"/>
      <c r="F656" s="20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03"/>
      <c r="D657" s="203"/>
      <c r="E657" s="203"/>
      <c r="F657" s="20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03"/>
      <c r="D658" s="203"/>
      <c r="E658" s="203"/>
      <c r="F658" s="20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03"/>
      <c r="D659" s="203"/>
      <c r="E659" s="203"/>
      <c r="F659" s="20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03"/>
      <c r="D660" s="203"/>
      <c r="E660" s="203"/>
      <c r="F660" s="20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03"/>
      <c r="D661" s="203"/>
      <c r="E661" s="203"/>
      <c r="F661" s="20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03"/>
      <c r="D662" s="203"/>
      <c r="E662" s="203"/>
      <c r="F662" s="20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03"/>
      <c r="D663" s="203"/>
      <c r="E663" s="203"/>
      <c r="F663" s="20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03"/>
      <c r="D664" s="203"/>
      <c r="E664" s="203"/>
      <c r="F664" s="20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03"/>
      <c r="D665" s="203"/>
      <c r="E665" s="203"/>
      <c r="F665" s="20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03"/>
      <c r="D666" s="203"/>
      <c r="E666" s="203"/>
      <c r="F666" s="20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03"/>
      <c r="D667" s="203"/>
      <c r="E667" s="203"/>
      <c r="F667" s="20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03"/>
      <c r="D668" s="203"/>
      <c r="E668" s="203"/>
      <c r="F668" s="20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03"/>
      <c r="D669" s="203"/>
      <c r="E669" s="203"/>
      <c r="F669" s="20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03"/>
      <c r="D670" s="203"/>
      <c r="E670" s="203"/>
      <c r="F670" s="20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03"/>
      <c r="D671" s="203"/>
      <c r="E671" s="203"/>
      <c r="F671" s="20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03"/>
      <c r="D672" s="203"/>
      <c r="E672" s="203"/>
      <c r="F672" s="20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03"/>
      <c r="D673" s="203"/>
      <c r="E673" s="203"/>
      <c r="F673" s="20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03"/>
      <c r="D674" s="203"/>
      <c r="E674" s="203"/>
      <c r="F674" s="20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03"/>
      <c r="D675" s="203"/>
      <c r="E675" s="203"/>
      <c r="F675" s="20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03"/>
      <c r="D676" s="203"/>
      <c r="E676" s="203"/>
      <c r="F676" s="20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03"/>
      <c r="D677" s="203"/>
      <c r="E677" s="203"/>
      <c r="F677" s="20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03"/>
      <c r="D678" s="203"/>
      <c r="E678" s="203"/>
      <c r="F678" s="20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03"/>
      <c r="D679" s="203"/>
      <c r="E679" s="203"/>
      <c r="F679" s="20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03"/>
      <c r="D680" s="203"/>
      <c r="E680" s="203"/>
      <c r="F680" s="20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03"/>
      <c r="D681" s="203"/>
      <c r="E681" s="203"/>
      <c r="F681" s="20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03"/>
      <c r="D682" s="203"/>
      <c r="E682" s="203"/>
      <c r="F682" s="20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03"/>
      <c r="D683" s="203"/>
      <c r="E683" s="203"/>
      <c r="F683" s="20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03"/>
      <c r="D684" s="203"/>
      <c r="E684" s="203"/>
      <c r="F684" s="20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03"/>
      <c r="D685" s="203"/>
      <c r="E685" s="203"/>
      <c r="F685" s="20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03"/>
      <c r="D686" s="203"/>
      <c r="E686" s="203"/>
      <c r="F686" s="20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03"/>
      <c r="D687" s="203"/>
      <c r="E687" s="203"/>
      <c r="F687" s="20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03"/>
      <c r="D688" s="203"/>
      <c r="E688" s="203"/>
      <c r="F688" s="20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03"/>
      <c r="D689" s="203"/>
      <c r="E689" s="203"/>
      <c r="F689" s="20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03"/>
      <c r="D690" s="203"/>
      <c r="E690" s="203"/>
      <c r="F690" s="20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03"/>
      <c r="D691" s="203"/>
      <c r="E691" s="203"/>
      <c r="F691" s="20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03"/>
      <c r="D692" s="203"/>
      <c r="E692" s="203"/>
      <c r="F692" s="20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03"/>
      <c r="D693" s="203"/>
      <c r="E693" s="203"/>
      <c r="F693" s="20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03"/>
      <c r="D694" s="203"/>
      <c r="E694" s="203"/>
      <c r="F694" s="20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03"/>
      <c r="D695" s="203"/>
      <c r="E695" s="203"/>
      <c r="F695" s="20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03"/>
      <c r="D696" s="203"/>
      <c r="E696" s="203"/>
      <c r="F696" s="20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03"/>
      <c r="D697" s="203"/>
      <c r="E697" s="203"/>
      <c r="F697" s="20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03"/>
      <c r="D698" s="203"/>
      <c r="E698" s="203"/>
      <c r="F698" s="20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03"/>
      <c r="D699" s="203"/>
      <c r="E699" s="203"/>
      <c r="F699" s="20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03"/>
      <c r="D700" s="203"/>
      <c r="E700" s="203"/>
      <c r="F700" s="20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03"/>
      <c r="D701" s="203"/>
      <c r="E701" s="203"/>
      <c r="F701" s="20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03"/>
      <c r="D702" s="203"/>
      <c r="E702" s="203"/>
      <c r="F702" s="20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03"/>
      <c r="D703" s="203"/>
      <c r="E703" s="203"/>
      <c r="F703" s="20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03"/>
      <c r="D704" s="203"/>
      <c r="E704" s="203"/>
      <c r="F704" s="20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03"/>
      <c r="D705" s="203"/>
      <c r="E705" s="203"/>
      <c r="F705" s="20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03"/>
      <c r="D706" s="203"/>
      <c r="E706" s="203"/>
      <c r="F706" s="20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03"/>
      <c r="D707" s="203"/>
      <c r="E707" s="203"/>
      <c r="F707" s="20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03"/>
      <c r="D708" s="203"/>
      <c r="E708" s="203"/>
      <c r="F708" s="20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03"/>
      <c r="D709" s="203"/>
      <c r="E709" s="203"/>
      <c r="F709" s="20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03"/>
      <c r="D710" s="203"/>
      <c r="E710" s="203"/>
      <c r="F710" s="20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03"/>
      <c r="D711" s="203"/>
      <c r="E711" s="203"/>
      <c r="F711" s="20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03"/>
      <c r="D712" s="203"/>
      <c r="E712" s="203"/>
      <c r="F712" s="20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03"/>
      <c r="D713" s="203"/>
      <c r="E713" s="203"/>
      <c r="F713" s="20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03"/>
      <c r="D714" s="203"/>
      <c r="E714" s="203"/>
      <c r="F714" s="20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03"/>
      <c r="D715" s="203"/>
      <c r="E715" s="203"/>
      <c r="F715" s="20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03"/>
      <c r="D716" s="203"/>
      <c r="E716" s="203"/>
      <c r="F716" s="20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03"/>
      <c r="D717" s="203"/>
      <c r="E717" s="203"/>
      <c r="F717" s="20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03"/>
      <c r="D718" s="203"/>
      <c r="E718" s="203"/>
      <c r="F718" s="20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03"/>
      <c r="D719" s="203"/>
      <c r="E719" s="203"/>
      <c r="F719" s="20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03"/>
      <c r="D720" s="203"/>
      <c r="E720" s="203"/>
      <c r="F720" s="20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03"/>
      <c r="D721" s="203"/>
      <c r="E721" s="203"/>
      <c r="F721" s="20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03"/>
      <c r="D722" s="203"/>
      <c r="E722" s="203"/>
      <c r="F722" s="20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03"/>
      <c r="D723" s="203"/>
      <c r="E723" s="203"/>
      <c r="F723" s="20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03"/>
      <c r="D724" s="203"/>
      <c r="E724" s="203"/>
      <c r="F724" s="20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03"/>
      <c r="D725" s="203"/>
      <c r="E725" s="203"/>
      <c r="F725" s="20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03"/>
      <c r="D726" s="203"/>
      <c r="E726" s="203"/>
      <c r="F726" s="20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03"/>
      <c r="D727" s="203"/>
      <c r="E727" s="203"/>
      <c r="F727" s="20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03"/>
      <c r="D728" s="203"/>
      <c r="E728" s="203"/>
      <c r="F728" s="20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03"/>
      <c r="D729" s="203"/>
      <c r="E729" s="203"/>
      <c r="F729" s="20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03"/>
      <c r="D730" s="203"/>
      <c r="E730" s="203"/>
      <c r="F730" s="20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03"/>
      <c r="D731" s="203"/>
      <c r="E731" s="203"/>
      <c r="F731" s="20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03"/>
      <c r="D732" s="203"/>
      <c r="E732" s="203"/>
      <c r="F732" s="20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03"/>
      <c r="D733" s="203"/>
      <c r="E733" s="203"/>
      <c r="F733" s="20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03"/>
      <c r="D734" s="203"/>
      <c r="E734" s="203"/>
      <c r="F734" s="20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03"/>
      <c r="D735" s="203"/>
      <c r="E735" s="203"/>
      <c r="F735" s="20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03"/>
      <c r="D736" s="203"/>
      <c r="E736" s="203"/>
      <c r="F736" s="20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03"/>
      <c r="D737" s="203"/>
      <c r="E737" s="203"/>
      <c r="F737" s="20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03"/>
      <c r="D738" s="203"/>
      <c r="E738" s="203"/>
      <c r="F738" s="20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03"/>
      <c r="D739" s="203"/>
      <c r="E739" s="203"/>
      <c r="F739" s="20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03"/>
      <c r="D740" s="203"/>
      <c r="E740" s="203"/>
      <c r="F740" s="20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03"/>
      <c r="D741" s="203"/>
      <c r="E741" s="203"/>
      <c r="F741" s="20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03"/>
      <c r="D742" s="203"/>
      <c r="E742" s="203"/>
      <c r="F742" s="20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03"/>
      <c r="D743" s="203"/>
      <c r="E743" s="203"/>
      <c r="F743" s="20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03"/>
      <c r="D744" s="203"/>
      <c r="E744" s="203"/>
      <c r="F744" s="20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03"/>
      <c r="D745" s="203"/>
      <c r="E745" s="203"/>
      <c r="F745" s="20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03"/>
      <c r="D746" s="203"/>
      <c r="E746" s="203"/>
      <c r="F746" s="20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03"/>
      <c r="D747" s="203"/>
      <c r="E747" s="203"/>
      <c r="F747" s="20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03"/>
      <c r="D748" s="203"/>
      <c r="E748" s="203"/>
      <c r="F748" s="20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03"/>
      <c r="D749" s="203"/>
      <c r="E749" s="203"/>
      <c r="F749" s="20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03"/>
      <c r="D750" s="203"/>
      <c r="E750" s="203"/>
      <c r="F750" s="20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03"/>
      <c r="D751" s="203"/>
      <c r="E751" s="203"/>
      <c r="F751" s="20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03"/>
      <c r="D752" s="203"/>
      <c r="E752" s="203"/>
      <c r="F752" s="20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03"/>
      <c r="D753" s="203"/>
      <c r="E753" s="203"/>
      <c r="F753" s="20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03"/>
      <c r="D754" s="203"/>
      <c r="E754" s="203"/>
      <c r="F754" s="20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03"/>
      <c r="D755" s="203"/>
      <c r="E755" s="203"/>
      <c r="F755" s="20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03"/>
      <c r="D756" s="203"/>
      <c r="E756" s="203"/>
      <c r="F756" s="20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03"/>
      <c r="D757" s="203"/>
      <c r="E757" s="203"/>
      <c r="F757" s="20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03"/>
      <c r="D758" s="203"/>
      <c r="E758" s="203"/>
      <c r="F758" s="20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03"/>
      <c r="D759" s="203"/>
      <c r="E759" s="203"/>
      <c r="F759" s="20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03"/>
      <c r="D760" s="203"/>
      <c r="E760" s="203"/>
      <c r="F760" s="20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03"/>
      <c r="D761" s="203"/>
      <c r="E761" s="203"/>
      <c r="F761" s="20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03"/>
      <c r="D762" s="203"/>
      <c r="E762" s="203"/>
      <c r="F762" s="20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03"/>
      <c r="D763" s="203"/>
      <c r="E763" s="203"/>
      <c r="F763" s="20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03"/>
      <c r="D764" s="203"/>
      <c r="E764" s="203"/>
      <c r="F764" s="20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03"/>
      <c r="D765" s="203"/>
      <c r="E765" s="203"/>
      <c r="F765" s="20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03"/>
      <c r="D766" s="203"/>
      <c r="E766" s="203"/>
      <c r="F766" s="20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03"/>
      <c r="D767" s="203"/>
      <c r="E767" s="203"/>
      <c r="F767" s="20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03"/>
      <c r="D768" s="203"/>
      <c r="E768" s="203"/>
      <c r="F768" s="20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03"/>
      <c r="D769" s="203"/>
      <c r="E769" s="203"/>
      <c r="F769" s="20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03"/>
      <c r="D770" s="203"/>
      <c r="E770" s="203"/>
      <c r="F770" s="20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03"/>
      <c r="D771" s="203"/>
      <c r="E771" s="203"/>
      <c r="F771" s="20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03"/>
      <c r="D772" s="203"/>
      <c r="E772" s="203"/>
      <c r="F772" s="20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03"/>
      <c r="D773" s="203"/>
      <c r="E773" s="203"/>
      <c r="F773" s="20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03"/>
      <c r="D774" s="203"/>
      <c r="E774" s="203"/>
      <c r="F774" s="20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03"/>
      <c r="D775" s="203"/>
      <c r="E775" s="203"/>
      <c r="F775" s="20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03"/>
      <c r="D776" s="203"/>
      <c r="E776" s="203"/>
      <c r="F776" s="20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03"/>
      <c r="D777" s="203"/>
      <c r="E777" s="203"/>
      <c r="F777" s="20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03"/>
      <c r="D778" s="203"/>
      <c r="E778" s="203"/>
      <c r="F778" s="20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03"/>
      <c r="D779" s="203"/>
      <c r="E779" s="203"/>
      <c r="F779" s="20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03"/>
      <c r="D780" s="203"/>
      <c r="E780" s="203"/>
      <c r="F780" s="20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03"/>
      <c r="D781" s="203"/>
      <c r="E781" s="203"/>
      <c r="F781" s="20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03"/>
      <c r="D782" s="203"/>
      <c r="E782" s="203"/>
      <c r="F782" s="20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03"/>
      <c r="D783" s="203"/>
      <c r="E783" s="203"/>
      <c r="F783" s="20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03"/>
      <c r="D784" s="203"/>
      <c r="E784" s="203"/>
      <c r="F784" s="20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03"/>
      <c r="D785" s="203"/>
      <c r="E785" s="203"/>
      <c r="F785" s="20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03"/>
      <c r="D786" s="203"/>
      <c r="E786" s="203"/>
      <c r="F786" s="20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03"/>
      <c r="D787" s="203"/>
      <c r="E787" s="203"/>
      <c r="F787" s="20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03"/>
      <c r="D788" s="203"/>
      <c r="E788" s="203"/>
      <c r="F788" s="20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03"/>
      <c r="D789" s="203"/>
      <c r="E789" s="203"/>
      <c r="F789" s="20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03"/>
      <c r="D790" s="203"/>
      <c r="E790" s="203"/>
      <c r="F790" s="20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03"/>
      <c r="D791" s="203"/>
      <c r="E791" s="203"/>
      <c r="F791" s="20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03"/>
      <c r="D792" s="203"/>
      <c r="E792" s="203"/>
      <c r="F792" s="20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03"/>
      <c r="D793" s="203"/>
      <c r="E793" s="203"/>
      <c r="F793" s="20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03"/>
      <c r="D794" s="203"/>
      <c r="E794" s="203"/>
      <c r="F794" s="20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03"/>
      <c r="D795" s="203"/>
      <c r="E795" s="203"/>
      <c r="F795" s="20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03"/>
      <c r="D796" s="203"/>
      <c r="E796" s="203"/>
      <c r="F796" s="20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03"/>
      <c r="D797" s="203"/>
      <c r="E797" s="203"/>
      <c r="F797" s="20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03"/>
      <c r="D798" s="203"/>
      <c r="E798" s="203"/>
      <c r="F798" s="20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03"/>
      <c r="D799" s="203"/>
      <c r="E799" s="203"/>
      <c r="F799" s="20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03"/>
      <c r="D800" s="203"/>
      <c r="E800" s="203"/>
      <c r="F800" s="20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03"/>
      <c r="D801" s="203"/>
      <c r="E801" s="203"/>
      <c r="F801" s="20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03"/>
      <c r="D802" s="203"/>
      <c r="E802" s="203"/>
      <c r="F802" s="20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03"/>
      <c r="D803" s="203"/>
      <c r="E803" s="203"/>
      <c r="F803" s="20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03"/>
      <c r="D804" s="203"/>
      <c r="E804" s="203"/>
      <c r="F804" s="20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03"/>
      <c r="D805" s="203"/>
      <c r="E805" s="203"/>
      <c r="F805" s="20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03"/>
      <c r="D806" s="203"/>
      <c r="E806" s="203"/>
      <c r="F806" s="20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03"/>
      <c r="D807" s="203"/>
      <c r="E807" s="203"/>
      <c r="F807" s="20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03"/>
      <c r="D808" s="203"/>
      <c r="E808" s="203"/>
      <c r="F808" s="20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03"/>
      <c r="D809" s="203"/>
      <c r="E809" s="203"/>
      <c r="F809" s="20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03"/>
      <c r="D810" s="203"/>
      <c r="E810" s="203"/>
      <c r="F810" s="20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03"/>
      <c r="D811" s="203"/>
      <c r="E811" s="203"/>
      <c r="F811" s="20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03"/>
      <c r="D812" s="203"/>
      <c r="E812" s="203"/>
      <c r="F812" s="20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03"/>
      <c r="D813" s="203"/>
      <c r="E813" s="203"/>
      <c r="F813" s="20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03"/>
      <c r="D814" s="203"/>
      <c r="E814" s="203"/>
      <c r="F814" s="20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03"/>
      <c r="D815" s="203"/>
      <c r="E815" s="203"/>
      <c r="F815" s="20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03"/>
      <c r="D816" s="203"/>
      <c r="E816" s="203"/>
      <c r="F816" s="20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03"/>
      <c r="D817" s="203"/>
      <c r="E817" s="203"/>
      <c r="F817" s="20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03"/>
      <c r="D818" s="203"/>
      <c r="E818" s="203"/>
      <c r="F818" s="20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03"/>
      <c r="D819" s="203"/>
      <c r="E819" s="203"/>
      <c r="F819" s="20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03"/>
      <c r="D820" s="203"/>
      <c r="E820" s="203"/>
      <c r="F820" s="20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03"/>
      <c r="D821" s="203"/>
      <c r="E821" s="203"/>
      <c r="F821" s="20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03"/>
      <c r="D822" s="203"/>
      <c r="E822" s="203"/>
      <c r="F822" s="20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03"/>
      <c r="D823" s="203"/>
      <c r="E823" s="203"/>
      <c r="F823" s="20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03"/>
      <c r="D824" s="203"/>
      <c r="E824" s="203"/>
      <c r="F824" s="20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03"/>
      <c r="D825" s="203"/>
      <c r="E825" s="203"/>
      <c r="F825" s="20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03"/>
      <c r="D826" s="203"/>
      <c r="E826" s="203"/>
      <c r="F826" s="20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03"/>
      <c r="D827" s="203"/>
      <c r="E827" s="203"/>
      <c r="F827" s="20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03"/>
      <c r="D828" s="203"/>
      <c r="E828" s="203"/>
      <c r="F828" s="20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03"/>
      <c r="D829" s="203"/>
      <c r="E829" s="203"/>
      <c r="F829" s="20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03"/>
      <c r="D830" s="203"/>
      <c r="E830" s="203"/>
      <c r="F830" s="20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03"/>
      <c r="D831" s="203"/>
      <c r="E831" s="203"/>
      <c r="F831" s="20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03"/>
      <c r="D832" s="203"/>
      <c r="E832" s="203"/>
      <c r="F832" s="20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03"/>
      <c r="D833" s="203"/>
      <c r="E833" s="203"/>
      <c r="F833" s="20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03"/>
      <c r="D834" s="203"/>
      <c r="E834" s="203"/>
      <c r="F834" s="20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03"/>
      <c r="D835" s="203"/>
      <c r="E835" s="203"/>
      <c r="F835" s="20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03"/>
      <c r="D836" s="203"/>
      <c r="E836" s="203"/>
      <c r="F836" s="20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03"/>
      <c r="D837" s="203"/>
      <c r="E837" s="203"/>
      <c r="F837" s="20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03"/>
      <c r="D838" s="203"/>
      <c r="E838" s="203"/>
      <c r="F838" s="20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03"/>
      <c r="D839" s="203"/>
      <c r="E839" s="203"/>
      <c r="F839" s="20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03"/>
      <c r="D840" s="203"/>
      <c r="E840" s="203"/>
      <c r="F840" s="20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03"/>
      <c r="D841" s="203"/>
      <c r="E841" s="203"/>
      <c r="F841" s="20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03"/>
      <c r="D842" s="203"/>
      <c r="E842" s="203"/>
      <c r="F842" s="20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03"/>
      <c r="D843" s="203"/>
      <c r="E843" s="203"/>
      <c r="F843" s="20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03"/>
      <c r="D844" s="203"/>
      <c r="E844" s="203"/>
      <c r="F844" s="20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03"/>
      <c r="D845" s="203"/>
      <c r="E845" s="203"/>
      <c r="F845" s="20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03"/>
      <c r="D846" s="203"/>
      <c r="E846" s="203"/>
      <c r="F846" s="20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03"/>
      <c r="D847" s="203"/>
      <c r="E847" s="203"/>
      <c r="F847" s="20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03"/>
      <c r="D848" s="203"/>
      <c r="E848" s="203"/>
      <c r="F848" s="20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03"/>
      <c r="D849" s="203"/>
      <c r="E849" s="203"/>
      <c r="F849" s="20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03"/>
      <c r="D850" s="203"/>
      <c r="E850" s="203"/>
      <c r="F850" s="20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03"/>
      <c r="D851" s="203"/>
      <c r="E851" s="203"/>
      <c r="F851" s="20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03"/>
      <c r="D852" s="203"/>
      <c r="E852" s="203"/>
      <c r="F852" s="20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03"/>
      <c r="D853" s="203"/>
      <c r="E853" s="203"/>
      <c r="F853" s="20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03"/>
      <c r="D854" s="203"/>
      <c r="E854" s="203"/>
      <c r="F854" s="20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03"/>
      <c r="D855" s="203"/>
      <c r="E855" s="203"/>
      <c r="F855" s="20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03"/>
      <c r="D856" s="203"/>
      <c r="E856" s="203"/>
      <c r="F856" s="20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03"/>
      <c r="D857" s="203"/>
      <c r="E857" s="203"/>
      <c r="F857" s="20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03"/>
      <c r="D858" s="203"/>
      <c r="E858" s="203"/>
      <c r="F858" s="20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03"/>
      <c r="D859" s="203"/>
      <c r="E859" s="203"/>
      <c r="F859" s="20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03"/>
      <c r="D860" s="203"/>
      <c r="E860" s="203"/>
      <c r="F860" s="20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03"/>
      <c r="D861" s="203"/>
      <c r="E861" s="203"/>
      <c r="F861" s="20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03"/>
      <c r="D862" s="203"/>
      <c r="E862" s="203"/>
      <c r="F862" s="20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03"/>
      <c r="D863" s="203"/>
      <c r="E863" s="203"/>
      <c r="F863" s="20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03"/>
      <c r="D864" s="203"/>
      <c r="E864" s="203"/>
      <c r="F864" s="20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03"/>
      <c r="D865" s="203"/>
      <c r="E865" s="203"/>
      <c r="F865" s="20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03"/>
      <c r="D866" s="203"/>
      <c r="E866" s="203"/>
      <c r="F866" s="20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03"/>
      <c r="D867" s="203"/>
      <c r="E867" s="203"/>
      <c r="F867" s="20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03"/>
      <c r="D868" s="203"/>
      <c r="E868" s="203"/>
      <c r="F868" s="20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03"/>
      <c r="D869" s="203"/>
      <c r="E869" s="203"/>
      <c r="F869" s="20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03"/>
      <c r="D870" s="203"/>
      <c r="E870" s="203"/>
      <c r="F870" s="20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03"/>
      <c r="D871" s="203"/>
      <c r="E871" s="203"/>
      <c r="F871" s="20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03"/>
      <c r="D872" s="203"/>
      <c r="E872" s="203"/>
      <c r="F872" s="20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03"/>
      <c r="D873" s="203"/>
      <c r="E873" s="203"/>
      <c r="F873" s="20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03"/>
      <c r="D874" s="203"/>
      <c r="E874" s="203"/>
      <c r="F874" s="20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03"/>
      <c r="D875" s="203"/>
      <c r="E875" s="203"/>
      <c r="F875" s="20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03"/>
      <c r="D876" s="203"/>
      <c r="E876" s="203"/>
      <c r="F876" s="20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03"/>
      <c r="D877" s="203"/>
      <c r="E877" s="203"/>
      <c r="F877" s="20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03"/>
      <c r="D878" s="203"/>
      <c r="E878" s="203"/>
      <c r="F878" s="20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03"/>
      <c r="D879" s="203"/>
      <c r="E879" s="203"/>
      <c r="F879" s="20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03"/>
      <c r="D880" s="203"/>
      <c r="E880" s="203"/>
      <c r="F880" s="20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03"/>
      <c r="D881" s="203"/>
      <c r="E881" s="203"/>
      <c r="F881" s="20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03"/>
      <c r="D882" s="203"/>
      <c r="E882" s="203"/>
      <c r="F882" s="20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03"/>
      <c r="D883" s="203"/>
      <c r="E883" s="203"/>
      <c r="F883" s="20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03"/>
      <c r="D884" s="203"/>
      <c r="E884" s="203"/>
      <c r="F884" s="20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03"/>
      <c r="D885" s="203"/>
      <c r="E885" s="203"/>
      <c r="F885" s="20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03"/>
      <c r="D886" s="203"/>
      <c r="E886" s="203"/>
      <c r="F886" s="20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03"/>
      <c r="D887" s="203"/>
      <c r="E887" s="203"/>
      <c r="F887" s="20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03"/>
      <c r="D888" s="203"/>
      <c r="E888" s="203"/>
      <c r="F888" s="20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03"/>
      <c r="D889" s="203"/>
      <c r="E889" s="203"/>
      <c r="F889" s="20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03"/>
      <c r="D890" s="203"/>
      <c r="E890" s="203"/>
      <c r="F890" s="20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03"/>
      <c r="D891" s="203"/>
      <c r="E891" s="203"/>
      <c r="F891" s="20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03"/>
      <c r="D892" s="203"/>
      <c r="E892" s="203"/>
      <c r="F892" s="20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03"/>
      <c r="D893" s="203"/>
      <c r="E893" s="203"/>
      <c r="F893" s="20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03"/>
      <c r="D894" s="203"/>
      <c r="E894" s="203"/>
      <c r="F894" s="20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03"/>
      <c r="D895" s="203"/>
      <c r="E895" s="203"/>
      <c r="F895" s="20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03"/>
      <c r="D896" s="203"/>
      <c r="E896" s="203"/>
      <c r="F896" s="20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03"/>
      <c r="D897" s="203"/>
      <c r="E897" s="203"/>
      <c r="F897" s="20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03"/>
      <c r="D898" s="203"/>
      <c r="E898" s="203"/>
      <c r="F898" s="20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03"/>
      <c r="D899" s="203"/>
      <c r="E899" s="203"/>
      <c r="F899" s="20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03"/>
      <c r="D900" s="203"/>
      <c r="E900" s="203"/>
      <c r="F900" s="20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03"/>
      <c r="D901" s="203"/>
      <c r="E901" s="203"/>
      <c r="F901" s="20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03"/>
      <c r="D902" s="203"/>
      <c r="E902" s="203"/>
      <c r="F902" s="20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03"/>
      <c r="D903" s="203"/>
      <c r="E903" s="203"/>
      <c r="F903" s="20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03"/>
      <c r="D904" s="203"/>
      <c r="E904" s="203"/>
      <c r="F904" s="20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03"/>
      <c r="D905" s="203"/>
      <c r="E905" s="203"/>
      <c r="F905" s="20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03"/>
      <c r="D906" s="203"/>
      <c r="E906" s="203"/>
      <c r="F906" s="20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03"/>
      <c r="D907" s="203"/>
      <c r="E907" s="203"/>
      <c r="F907" s="20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03"/>
      <c r="D908" s="203"/>
      <c r="E908" s="203"/>
      <c r="F908" s="20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03"/>
      <c r="D909" s="203"/>
      <c r="E909" s="203"/>
      <c r="F909" s="20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03"/>
      <c r="D910" s="203"/>
      <c r="E910" s="203"/>
      <c r="F910" s="20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03"/>
      <c r="D911" s="203"/>
      <c r="E911" s="203"/>
      <c r="F911" s="20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03"/>
      <c r="D912" s="203"/>
      <c r="E912" s="203"/>
      <c r="F912" s="20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03"/>
      <c r="D913" s="203"/>
      <c r="E913" s="203"/>
      <c r="F913" s="20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03"/>
      <c r="D914" s="203"/>
      <c r="E914" s="203"/>
      <c r="F914" s="20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03"/>
      <c r="D915" s="203"/>
      <c r="E915" s="203"/>
      <c r="F915" s="20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03"/>
      <c r="D916" s="203"/>
      <c r="E916" s="203"/>
      <c r="F916" s="20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03"/>
      <c r="D917" s="203"/>
      <c r="E917" s="203"/>
      <c r="F917" s="20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03"/>
      <c r="D918" s="203"/>
      <c r="E918" s="203"/>
      <c r="F918" s="20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03"/>
      <c r="D919" s="203"/>
      <c r="E919" s="203"/>
      <c r="F919" s="20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03"/>
      <c r="D920" s="203"/>
      <c r="E920" s="203"/>
      <c r="F920" s="20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03"/>
      <c r="D921" s="203"/>
      <c r="E921" s="203"/>
      <c r="F921" s="20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03"/>
      <c r="D922" s="203"/>
      <c r="E922" s="203"/>
      <c r="F922" s="20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03"/>
      <c r="D923" s="203"/>
      <c r="E923" s="203"/>
      <c r="F923" s="20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03"/>
      <c r="D924" s="203"/>
      <c r="E924" s="203"/>
      <c r="F924" s="20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03"/>
      <c r="D925" s="203"/>
      <c r="E925" s="203"/>
      <c r="F925" s="20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03"/>
      <c r="D926" s="203"/>
      <c r="E926" s="203"/>
      <c r="F926" s="20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03"/>
      <c r="D927" s="203"/>
      <c r="E927" s="203"/>
      <c r="F927" s="20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03"/>
      <c r="D928" s="203"/>
      <c r="E928" s="203"/>
      <c r="F928" s="20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03"/>
      <c r="D929" s="203"/>
      <c r="E929" s="203"/>
      <c r="F929" s="20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03"/>
      <c r="D930" s="203"/>
      <c r="E930" s="203"/>
      <c r="F930" s="20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03"/>
      <c r="D931" s="203"/>
      <c r="E931" s="203"/>
      <c r="F931" s="20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03"/>
      <c r="D932" s="203"/>
      <c r="E932" s="203"/>
      <c r="F932" s="20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03"/>
      <c r="D933" s="203"/>
      <c r="E933" s="203"/>
      <c r="F933" s="20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03"/>
      <c r="D934" s="203"/>
      <c r="E934" s="203"/>
      <c r="F934" s="20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03"/>
      <c r="D935" s="203"/>
      <c r="E935" s="203"/>
      <c r="F935" s="20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03"/>
      <c r="D936" s="203"/>
      <c r="E936" s="203"/>
      <c r="F936" s="20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03"/>
      <c r="D937" s="203"/>
      <c r="E937" s="203"/>
      <c r="F937" s="20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03"/>
      <c r="D938" s="203"/>
      <c r="E938" s="203"/>
      <c r="F938" s="20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03"/>
      <c r="D939" s="203"/>
      <c r="E939" s="203"/>
      <c r="F939" s="20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03"/>
      <c r="D940" s="203"/>
      <c r="E940" s="203"/>
      <c r="F940" s="20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03"/>
      <c r="D941" s="203"/>
      <c r="E941" s="203"/>
      <c r="F941" s="20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03"/>
      <c r="D942" s="203"/>
      <c r="E942" s="203"/>
      <c r="F942" s="20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03"/>
      <c r="D943" s="203"/>
      <c r="E943" s="203"/>
      <c r="F943" s="20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03"/>
      <c r="D944" s="203"/>
      <c r="E944" s="203"/>
      <c r="F944" s="20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03"/>
      <c r="D945" s="203"/>
      <c r="E945" s="203"/>
      <c r="F945" s="20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03"/>
      <c r="D946" s="203"/>
      <c r="E946" s="203"/>
      <c r="F946" s="20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03"/>
      <c r="D947" s="203"/>
      <c r="E947" s="203"/>
      <c r="F947" s="20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03"/>
      <c r="D948" s="203"/>
      <c r="E948" s="203"/>
      <c r="F948" s="20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03"/>
      <c r="D949" s="203"/>
      <c r="E949" s="203"/>
      <c r="F949" s="20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03"/>
      <c r="D950" s="203"/>
      <c r="E950" s="203"/>
      <c r="F950" s="20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03"/>
      <c r="D951" s="203"/>
      <c r="E951" s="203"/>
      <c r="F951" s="20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03"/>
      <c r="D952" s="203"/>
      <c r="E952" s="203"/>
      <c r="F952" s="20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03"/>
      <c r="D953" s="203"/>
      <c r="E953" s="203"/>
      <c r="F953" s="20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03"/>
      <c r="D954" s="203"/>
      <c r="E954" s="203"/>
      <c r="F954" s="20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03"/>
      <c r="D955" s="203"/>
      <c r="E955" s="203"/>
      <c r="F955" s="20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03"/>
      <c r="D956" s="203"/>
      <c r="E956" s="203"/>
      <c r="F956" s="20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03"/>
      <c r="D957" s="203"/>
      <c r="E957" s="203"/>
      <c r="F957" s="20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03"/>
      <c r="D958" s="203"/>
      <c r="E958" s="203"/>
      <c r="F958" s="20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03"/>
      <c r="D959" s="203"/>
      <c r="E959" s="203"/>
      <c r="F959" s="20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03"/>
      <c r="D960" s="203"/>
      <c r="E960" s="203"/>
      <c r="F960" s="20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03"/>
      <c r="D961" s="203"/>
      <c r="E961" s="203"/>
      <c r="F961" s="20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03"/>
      <c r="D962" s="203"/>
      <c r="E962" s="203"/>
      <c r="F962" s="20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03"/>
      <c r="D963" s="203"/>
      <c r="E963" s="203"/>
      <c r="F963" s="20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03"/>
      <c r="D964" s="203"/>
      <c r="E964" s="203"/>
      <c r="F964" s="20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03"/>
      <c r="D965" s="203"/>
      <c r="E965" s="203"/>
      <c r="F965" s="20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03"/>
      <c r="D966" s="203"/>
      <c r="E966" s="203"/>
      <c r="F966" s="20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03"/>
      <c r="D967" s="203"/>
      <c r="E967" s="203"/>
      <c r="F967" s="20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03"/>
      <c r="D968" s="203"/>
      <c r="E968" s="203"/>
      <c r="F968" s="20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03"/>
      <c r="D969" s="203"/>
      <c r="E969" s="203"/>
      <c r="F969" s="20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03"/>
      <c r="D970" s="203"/>
      <c r="E970" s="203"/>
      <c r="F970" s="20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03"/>
      <c r="D971" s="203"/>
      <c r="E971" s="203"/>
      <c r="F971" s="20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03"/>
      <c r="D972" s="203"/>
      <c r="E972" s="203"/>
      <c r="F972" s="20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03"/>
      <c r="D973" s="203"/>
      <c r="E973" s="203"/>
      <c r="F973" s="20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03"/>
      <c r="D974" s="203"/>
      <c r="E974" s="203"/>
      <c r="F974" s="20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03"/>
      <c r="D975" s="203"/>
      <c r="E975" s="203"/>
      <c r="F975" s="20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03"/>
      <c r="D976" s="203"/>
      <c r="E976" s="203"/>
      <c r="F976" s="20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03"/>
      <c r="D977" s="203"/>
      <c r="E977" s="203"/>
      <c r="F977" s="20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03"/>
      <c r="D978" s="203"/>
      <c r="E978" s="203"/>
      <c r="F978" s="20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03"/>
      <c r="D979" s="203"/>
      <c r="E979" s="203"/>
      <c r="F979" s="20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03"/>
      <c r="D980" s="203"/>
      <c r="E980" s="203"/>
      <c r="F980" s="20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03"/>
      <c r="D981" s="203"/>
      <c r="E981" s="203"/>
      <c r="F981" s="20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03"/>
      <c r="D982" s="203"/>
      <c r="E982" s="203"/>
      <c r="F982" s="20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03"/>
      <c r="D983" s="203"/>
      <c r="E983" s="203"/>
      <c r="F983" s="20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03"/>
      <c r="D984" s="203"/>
      <c r="E984" s="203"/>
      <c r="F984" s="20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03"/>
      <c r="D985" s="203"/>
      <c r="E985" s="203"/>
      <c r="F985" s="20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03"/>
      <c r="D986" s="203"/>
      <c r="E986" s="203"/>
      <c r="F986" s="20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03"/>
      <c r="D987" s="203"/>
      <c r="E987" s="203"/>
      <c r="F987" s="20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03"/>
      <c r="D988" s="203"/>
      <c r="E988" s="203"/>
      <c r="F988" s="20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conditionalFormatting sqref="F4:G6 F8:G16">
    <cfRule type="cellIs" dxfId="0" priority="1" stopIfTrue="1" operator="lessThan">
      <formula>0</formula>
    </cfRule>
  </conditionalFormatting>
  <conditionalFormatting sqref="F4:G6 F8:G16">
    <cfRule type="cellIs" dxfId="1" priority="2" stopIfTrue="1" operator="greaterThanOrEqual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43.57"/>
    <col customWidth="1" min="3" max="7" width="14.57"/>
    <col customWidth="1" min="8" max="8" width="2.86"/>
    <col customWidth="1" min="9" max="9" width="16.0"/>
    <col customWidth="1" min="10" max="10" width="22.43"/>
    <col customWidth="1" min="11" max="11" width="11.86"/>
    <col customWidth="1" min="12" max="13" width="12.14"/>
    <col customWidth="1" min="14" max="26" width="8.71"/>
  </cols>
  <sheetData>
    <row r="1" ht="10.5" customHeight="1">
      <c r="A1" s="1"/>
      <c r="B1" s="1"/>
      <c r="C1" s="947"/>
      <c r="D1" s="947"/>
      <c r="E1" s="947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48"/>
      <c r="B2" s="894" t="s">
        <v>364</v>
      </c>
      <c r="C2" s="896" t="s">
        <v>27</v>
      </c>
      <c r="D2" s="896" t="s">
        <v>30</v>
      </c>
      <c r="E2" s="896" t="s">
        <v>31</v>
      </c>
      <c r="F2" s="898" t="s">
        <v>258</v>
      </c>
      <c r="G2" s="899" t="s">
        <v>259</v>
      </c>
      <c r="H2" s="948"/>
      <c r="I2" s="948"/>
      <c r="J2" s="948"/>
      <c r="K2" s="948"/>
      <c r="L2" s="948"/>
      <c r="M2" s="948"/>
      <c r="N2" s="948"/>
      <c r="O2" s="948"/>
      <c r="P2" s="948"/>
      <c r="Q2" s="948"/>
      <c r="R2" s="948"/>
      <c r="S2" s="948"/>
      <c r="T2" s="948"/>
      <c r="U2" s="948"/>
      <c r="V2" s="948"/>
      <c r="W2" s="948"/>
      <c r="X2" s="948"/>
      <c r="Y2" s="948"/>
      <c r="Z2" s="948"/>
    </row>
    <row r="3" ht="21.0" customHeight="1">
      <c r="A3" s="949"/>
      <c r="B3" s="950" t="s">
        <v>365</v>
      </c>
      <c r="C3" s="951">
        <v>132545.91</v>
      </c>
      <c r="D3" s="951">
        <v>49875.53</v>
      </c>
      <c r="E3" s="951">
        <v>71491.25</v>
      </c>
      <c r="F3" s="952">
        <f t="shared" ref="F3:F16" si="1">E3-D3</f>
        <v>21615.72</v>
      </c>
      <c r="G3" s="953">
        <f t="shared" ref="G3:G9" si="2">E3/D3-1</f>
        <v>0.4333932893</v>
      </c>
      <c r="H3" s="949"/>
      <c r="I3" s="949"/>
      <c r="J3" s="954"/>
      <c r="K3" s="954"/>
      <c r="L3" s="954"/>
      <c r="M3" s="954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949"/>
    </row>
    <row r="4" ht="19.5" customHeight="1">
      <c r="A4" s="949"/>
      <c r="B4" s="955" t="s">
        <v>366</v>
      </c>
      <c r="C4" s="956">
        <v>28999.5</v>
      </c>
      <c r="D4" s="956">
        <v>1200</v>
      </c>
      <c r="E4" s="957">
        <v>14649</v>
      </c>
      <c r="F4" s="952">
        <f t="shared" si="1"/>
        <v>13449</v>
      </c>
      <c r="G4" s="953">
        <f t="shared" si="2"/>
        <v>11.2075</v>
      </c>
      <c r="H4" s="949"/>
      <c r="I4" s="958"/>
      <c r="J4" s="954"/>
      <c r="K4" s="954"/>
      <c r="L4" s="959"/>
      <c r="M4" s="959"/>
      <c r="N4" s="960"/>
      <c r="O4" s="960"/>
      <c r="P4" s="960"/>
      <c r="Q4" s="949"/>
      <c r="R4" s="949"/>
      <c r="S4" s="949"/>
      <c r="T4" s="949"/>
      <c r="U4" s="949"/>
      <c r="V4" s="949"/>
      <c r="W4" s="949"/>
      <c r="X4" s="949"/>
      <c r="Y4" s="949"/>
      <c r="Z4" s="949"/>
    </row>
    <row r="5" ht="19.5" customHeight="1">
      <c r="A5" s="949"/>
      <c r="B5" s="950" t="s">
        <v>367</v>
      </c>
      <c r="C5" s="961">
        <v>32441.04</v>
      </c>
      <c r="D5" s="951">
        <v>71323.99</v>
      </c>
      <c r="E5" s="957">
        <v>84492.43</v>
      </c>
      <c r="F5" s="952">
        <f t="shared" si="1"/>
        <v>13168.44</v>
      </c>
      <c r="G5" s="953">
        <f t="shared" si="2"/>
        <v>0.1846284819</v>
      </c>
      <c r="H5" s="949"/>
      <c r="I5" s="958"/>
      <c r="J5" s="954"/>
      <c r="K5" s="954"/>
      <c r="L5" s="959"/>
      <c r="M5" s="959"/>
      <c r="N5" s="960"/>
      <c r="O5" s="960"/>
      <c r="P5" s="960"/>
      <c r="Q5" s="949"/>
      <c r="R5" s="949"/>
      <c r="S5" s="949"/>
      <c r="T5" s="949"/>
      <c r="U5" s="949"/>
      <c r="V5" s="949"/>
      <c r="W5" s="949"/>
      <c r="X5" s="949"/>
      <c r="Y5" s="949"/>
      <c r="Z5" s="949"/>
    </row>
    <row r="6" ht="19.5" customHeight="1">
      <c r="A6" s="949"/>
      <c r="B6" s="950" t="s">
        <v>368</v>
      </c>
      <c r="C6" s="962">
        <v>-1214.95</v>
      </c>
      <c r="D6" s="962">
        <v>-9514.88</v>
      </c>
      <c r="E6" s="962">
        <v>-1858.99</v>
      </c>
      <c r="F6" s="952">
        <f t="shared" si="1"/>
        <v>7655.89</v>
      </c>
      <c r="G6" s="953">
        <f t="shared" si="2"/>
        <v>-0.8046228644</v>
      </c>
      <c r="H6" s="949"/>
      <c r="I6" s="958"/>
      <c r="J6" s="954"/>
      <c r="K6" s="954"/>
      <c r="L6" s="963"/>
      <c r="M6" s="959"/>
      <c r="N6" s="960"/>
      <c r="O6" s="960"/>
      <c r="P6" s="960"/>
      <c r="Q6" s="949"/>
      <c r="R6" s="949"/>
      <c r="S6" s="949"/>
      <c r="T6" s="949"/>
      <c r="U6" s="949"/>
      <c r="V6" s="949"/>
      <c r="W6" s="949"/>
      <c r="X6" s="949"/>
      <c r="Y6" s="949"/>
      <c r="Z6" s="949"/>
    </row>
    <row r="7" ht="19.5" customHeight="1">
      <c r="A7" s="949"/>
      <c r="B7" s="950" t="s">
        <v>369</v>
      </c>
      <c r="C7" s="951">
        <v>20005</v>
      </c>
      <c r="D7" s="951">
        <v>7458.33</v>
      </c>
      <c r="E7" s="951">
        <v>14184.67</v>
      </c>
      <c r="F7" s="952">
        <f t="shared" si="1"/>
        <v>6726.34</v>
      </c>
      <c r="G7" s="953">
        <f t="shared" si="2"/>
        <v>0.9018560455</v>
      </c>
      <c r="H7" s="949"/>
      <c r="I7" s="958"/>
      <c r="J7" s="954"/>
      <c r="K7" s="954"/>
      <c r="L7" s="954"/>
      <c r="M7" s="954"/>
      <c r="N7" s="949"/>
      <c r="O7" s="949"/>
      <c r="P7" s="949"/>
      <c r="Q7" s="949"/>
      <c r="R7" s="949"/>
      <c r="S7" s="949"/>
      <c r="T7" s="949"/>
      <c r="U7" s="949"/>
      <c r="V7" s="949"/>
      <c r="W7" s="949"/>
      <c r="X7" s="949"/>
      <c r="Y7" s="949"/>
      <c r="Z7" s="949"/>
    </row>
    <row r="8" ht="19.5" customHeight="1">
      <c r="A8" s="949"/>
      <c r="B8" s="964" t="s">
        <v>370</v>
      </c>
      <c r="C8" s="951">
        <v>9784.01</v>
      </c>
      <c r="D8" s="951">
        <v>4932.09</v>
      </c>
      <c r="E8" s="957">
        <v>6414.36</v>
      </c>
      <c r="F8" s="952">
        <f t="shared" si="1"/>
        <v>1482.27</v>
      </c>
      <c r="G8" s="953">
        <f t="shared" si="2"/>
        <v>0.3005358783</v>
      </c>
      <c r="H8" s="949"/>
      <c r="I8" s="958"/>
      <c r="J8" s="954"/>
      <c r="K8" s="954"/>
      <c r="L8" s="954"/>
      <c r="M8" s="954"/>
      <c r="N8" s="949"/>
      <c r="O8" s="949"/>
      <c r="P8" s="949"/>
      <c r="Q8" s="949"/>
      <c r="R8" s="949"/>
      <c r="S8" s="949"/>
      <c r="T8" s="949"/>
      <c r="U8" s="949"/>
      <c r="V8" s="949"/>
      <c r="W8" s="949"/>
      <c r="X8" s="949"/>
      <c r="Y8" s="949"/>
      <c r="Z8" s="949"/>
    </row>
    <row r="9" ht="19.5" customHeight="1">
      <c r="A9" s="949"/>
      <c r="B9" s="950" t="s">
        <v>371</v>
      </c>
      <c r="C9" s="951">
        <v>3343.81</v>
      </c>
      <c r="D9" s="951">
        <v>2000</v>
      </c>
      <c r="E9" s="951">
        <v>2862.99</v>
      </c>
      <c r="F9" s="952">
        <f t="shared" si="1"/>
        <v>862.99</v>
      </c>
      <c r="G9" s="953">
        <f t="shared" si="2"/>
        <v>0.431495</v>
      </c>
      <c r="H9" s="949"/>
      <c r="I9" s="958"/>
      <c r="J9" s="954"/>
      <c r="K9" s="954"/>
      <c r="L9" s="954"/>
      <c r="M9" s="954"/>
      <c r="N9" s="949"/>
      <c r="O9" s="949"/>
      <c r="P9" s="949"/>
      <c r="Q9" s="949"/>
      <c r="R9" s="949"/>
      <c r="S9" s="949"/>
      <c r="T9" s="949"/>
      <c r="U9" s="949"/>
      <c r="V9" s="949"/>
      <c r="W9" s="949"/>
      <c r="X9" s="949"/>
      <c r="Y9" s="949"/>
      <c r="Z9" s="949"/>
    </row>
    <row r="10" ht="19.5" customHeight="1">
      <c r="A10" s="949"/>
      <c r="B10" s="955" t="s">
        <v>372</v>
      </c>
      <c r="C10" s="951">
        <v>38.45</v>
      </c>
      <c r="D10" s="912">
        <v>0.0</v>
      </c>
      <c r="E10" s="951">
        <v>847.27</v>
      </c>
      <c r="F10" s="952">
        <f t="shared" si="1"/>
        <v>847.27</v>
      </c>
      <c r="G10" s="965">
        <v>1.0</v>
      </c>
      <c r="H10" s="949"/>
      <c r="I10" s="958"/>
      <c r="J10" s="954"/>
      <c r="K10" s="954"/>
      <c r="L10" s="963"/>
      <c r="M10" s="959"/>
      <c r="N10" s="960"/>
      <c r="O10" s="960"/>
      <c r="P10" s="960"/>
      <c r="Q10" s="949"/>
      <c r="R10" s="949"/>
      <c r="S10" s="949"/>
      <c r="T10" s="949"/>
      <c r="U10" s="949"/>
      <c r="V10" s="949"/>
      <c r="W10" s="949"/>
      <c r="X10" s="949"/>
      <c r="Y10" s="949"/>
      <c r="Z10" s="949"/>
    </row>
    <row r="11" ht="21.0" customHeight="1">
      <c r="A11" s="949"/>
      <c r="B11" s="955" t="s">
        <v>278</v>
      </c>
      <c r="C11" s="951">
        <v>238.47</v>
      </c>
      <c r="D11" s="912">
        <v>0.0</v>
      </c>
      <c r="E11" s="966">
        <v>422.47</v>
      </c>
      <c r="F11" s="952">
        <f t="shared" si="1"/>
        <v>422.47</v>
      </c>
      <c r="G11" s="965">
        <v>1.0</v>
      </c>
      <c r="H11" s="949"/>
      <c r="I11" s="958"/>
      <c r="J11" s="954"/>
      <c r="K11" s="954"/>
      <c r="L11" s="963"/>
      <c r="M11" s="959"/>
      <c r="N11" s="960"/>
      <c r="O11" s="960"/>
      <c r="P11" s="960"/>
      <c r="Q11" s="949"/>
      <c r="R11" s="949"/>
      <c r="S11" s="949"/>
      <c r="T11" s="949"/>
      <c r="U11" s="949"/>
      <c r="V11" s="949"/>
      <c r="W11" s="949"/>
      <c r="X11" s="949"/>
      <c r="Y11" s="949"/>
      <c r="Z11" s="949"/>
    </row>
    <row r="12" ht="19.5" customHeight="1">
      <c r="A12" s="949"/>
      <c r="B12" s="950" t="s">
        <v>373</v>
      </c>
      <c r="C12" s="951">
        <v>5706.67</v>
      </c>
      <c r="D12" s="951">
        <v>5050</v>
      </c>
      <c r="E12" s="951">
        <v>5289.12</v>
      </c>
      <c r="F12" s="952">
        <f t="shared" si="1"/>
        <v>239.12</v>
      </c>
      <c r="G12" s="953">
        <f t="shared" ref="G12:G15" si="3">E12/D12-1</f>
        <v>0.04735049505</v>
      </c>
      <c r="H12" s="949"/>
      <c r="I12" s="949"/>
      <c r="J12" s="954"/>
      <c r="K12" s="954"/>
      <c r="L12" s="954"/>
      <c r="M12" s="954"/>
      <c r="N12" s="949"/>
      <c r="O12" s="949"/>
      <c r="P12" s="949"/>
      <c r="Q12" s="949"/>
      <c r="R12" s="949"/>
      <c r="S12" s="949"/>
      <c r="T12" s="949"/>
      <c r="U12" s="949"/>
      <c r="V12" s="949"/>
      <c r="W12" s="949"/>
      <c r="X12" s="949"/>
      <c r="Y12" s="949"/>
      <c r="Z12" s="949"/>
    </row>
    <row r="13" ht="19.5" customHeight="1">
      <c r="A13" s="949"/>
      <c r="B13" s="967" t="s">
        <v>374</v>
      </c>
      <c r="C13" s="951">
        <v>5200</v>
      </c>
      <c r="D13" s="951">
        <v>5486</v>
      </c>
      <c r="E13" s="951">
        <v>5667.74</v>
      </c>
      <c r="F13" s="952">
        <f t="shared" si="1"/>
        <v>181.74</v>
      </c>
      <c r="G13" s="953">
        <f t="shared" si="3"/>
        <v>0.03312796209</v>
      </c>
      <c r="H13" s="949"/>
      <c r="I13" s="949"/>
      <c r="J13" s="954"/>
      <c r="K13" s="954"/>
      <c r="L13" s="963"/>
      <c r="M13" s="959"/>
      <c r="N13" s="960"/>
      <c r="O13" s="960"/>
      <c r="P13" s="960"/>
      <c r="Q13" s="949"/>
      <c r="R13" s="949"/>
      <c r="S13" s="949"/>
      <c r="T13" s="949"/>
      <c r="U13" s="949"/>
      <c r="V13" s="949"/>
      <c r="W13" s="949"/>
      <c r="X13" s="949"/>
      <c r="Y13" s="949"/>
      <c r="Z13" s="949"/>
    </row>
    <row r="14" ht="19.5" customHeight="1">
      <c r="A14" s="949"/>
      <c r="B14" s="950" t="s">
        <v>375</v>
      </c>
      <c r="C14" s="951">
        <v>3089.87</v>
      </c>
      <c r="D14" s="951">
        <v>2709.29</v>
      </c>
      <c r="E14" s="951">
        <v>2780.88</v>
      </c>
      <c r="F14" s="952">
        <f t="shared" si="1"/>
        <v>71.59</v>
      </c>
      <c r="G14" s="953">
        <f t="shared" si="3"/>
        <v>0.02642389704</v>
      </c>
      <c r="H14" s="949"/>
      <c r="I14" s="949"/>
      <c r="J14" s="954"/>
      <c r="K14" s="954"/>
      <c r="L14" s="963"/>
      <c r="M14" s="959"/>
      <c r="N14" s="960"/>
      <c r="O14" s="960"/>
      <c r="P14" s="960"/>
      <c r="Q14" s="949"/>
      <c r="R14" s="949"/>
      <c r="S14" s="949"/>
      <c r="T14" s="949"/>
      <c r="U14" s="949"/>
      <c r="V14" s="949"/>
      <c r="W14" s="949"/>
      <c r="X14" s="949"/>
      <c r="Y14" s="949"/>
      <c r="Z14" s="949"/>
    </row>
    <row r="15" ht="21.0" customHeight="1">
      <c r="A15" s="949"/>
      <c r="B15" s="950" t="s">
        <v>376</v>
      </c>
      <c r="C15" s="968">
        <v>876.39</v>
      </c>
      <c r="D15" s="968">
        <v>384.43</v>
      </c>
      <c r="E15" s="957">
        <v>389.03</v>
      </c>
      <c r="F15" s="952">
        <f t="shared" si="1"/>
        <v>4.6</v>
      </c>
      <c r="G15" s="953">
        <f t="shared" si="3"/>
        <v>0.0119657675</v>
      </c>
      <c r="H15" s="949"/>
      <c r="I15" s="958"/>
      <c r="J15" s="954"/>
      <c r="K15" s="954"/>
      <c r="L15" s="959"/>
      <c r="M15" s="959"/>
      <c r="N15" s="960"/>
      <c r="O15" s="960"/>
      <c r="P15" s="960"/>
      <c r="Q15" s="949"/>
      <c r="R15" s="949"/>
      <c r="S15" s="949"/>
      <c r="T15" s="949"/>
      <c r="U15" s="949"/>
      <c r="V15" s="949"/>
      <c r="W15" s="949"/>
      <c r="X15" s="949"/>
      <c r="Y15" s="949"/>
      <c r="Z15" s="949"/>
    </row>
    <row r="16" ht="19.5" customHeight="1">
      <c r="A16" s="42"/>
      <c r="B16" s="969" t="s">
        <v>70</v>
      </c>
      <c r="C16" s="768">
        <f t="shared" ref="C16:E16" si="4">SUM(C3:C15)</f>
        <v>241054.17</v>
      </c>
      <c r="D16" s="768">
        <f t="shared" si="4"/>
        <v>140904.78</v>
      </c>
      <c r="E16" s="768">
        <f t="shared" si="4"/>
        <v>207632.22</v>
      </c>
      <c r="F16" s="768">
        <f t="shared" si="1"/>
        <v>66727.44</v>
      </c>
      <c r="G16" s="770">
        <f>(E16/D16-1)</f>
        <v>0.4735640622</v>
      </c>
      <c r="H16" s="42"/>
      <c r="I16" s="871"/>
      <c r="J16" s="871"/>
      <c r="K16" s="871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9.5" customHeight="1">
      <c r="A17" s="42"/>
      <c r="B17" s="894" t="s">
        <v>270</v>
      </c>
      <c r="C17" s="896" t="s">
        <v>27</v>
      </c>
      <c r="D17" s="896" t="s">
        <v>30</v>
      </c>
      <c r="E17" s="896" t="s">
        <v>31</v>
      </c>
      <c r="F17" s="898" t="s">
        <v>258</v>
      </c>
      <c r="G17" s="899" t="s">
        <v>259</v>
      </c>
      <c r="H17" s="42"/>
      <c r="I17" s="871"/>
      <c r="J17" s="871"/>
      <c r="K17" s="871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9.5" customHeight="1">
      <c r="A18" s="949"/>
      <c r="B18" s="970" t="s">
        <v>377</v>
      </c>
      <c r="C18" s="951">
        <v>37745.82</v>
      </c>
      <c r="D18" s="951">
        <v>86575.64</v>
      </c>
      <c r="E18" s="971">
        <v>49500.8</v>
      </c>
      <c r="F18" s="952">
        <f t="shared" ref="F18:F36" si="5">E18-D18</f>
        <v>-37074.84</v>
      </c>
      <c r="G18" s="972">
        <f t="shared" ref="G18:G34" si="6">(E18/D18-1)</f>
        <v>-0.4282363954</v>
      </c>
      <c r="H18" s="949"/>
      <c r="I18" s="958"/>
      <c r="J18" s="954"/>
      <c r="K18" s="954"/>
      <c r="L18" s="963"/>
      <c r="M18" s="959"/>
      <c r="N18" s="960"/>
      <c r="O18" s="960"/>
      <c r="P18" s="960"/>
      <c r="Q18" s="949"/>
      <c r="R18" s="949"/>
      <c r="S18" s="949"/>
      <c r="T18" s="949"/>
      <c r="U18" s="949"/>
      <c r="V18" s="949"/>
      <c r="W18" s="949"/>
      <c r="X18" s="949"/>
      <c r="Y18" s="949"/>
      <c r="Z18" s="949"/>
    </row>
    <row r="19" ht="19.5" customHeight="1">
      <c r="A19" s="949"/>
      <c r="B19" s="950" t="s">
        <v>378</v>
      </c>
      <c r="C19" s="951">
        <v>60546.5</v>
      </c>
      <c r="D19" s="951">
        <v>34500</v>
      </c>
      <c r="E19" s="951">
        <v>18174.38</v>
      </c>
      <c r="F19" s="952">
        <f t="shared" si="5"/>
        <v>-16325.62</v>
      </c>
      <c r="G19" s="972">
        <f t="shared" si="6"/>
        <v>-0.4732063768</v>
      </c>
      <c r="H19" s="949"/>
      <c r="I19" s="958"/>
      <c r="J19" s="954"/>
      <c r="K19" s="954"/>
      <c r="L19" s="963"/>
      <c r="M19" s="959"/>
      <c r="N19" s="960"/>
      <c r="O19" s="960"/>
      <c r="P19" s="960"/>
      <c r="Q19" s="949"/>
      <c r="R19" s="949"/>
      <c r="S19" s="949"/>
      <c r="T19" s="949"/>
      <c r="U19" s="949"/>
      <c r="V19" s="949"/>
      <c r="W19" s="949"/>
      <c r="X19" s="949"/>
      <c r="Y19" s="949"/>
      <c r="Z19" s="949"/>
    </row>
    <row r="20" ht="19.5" customHeight="1">
      <c r="A20" s="973"/>
      <c r="B20" s="950" t="s">
        <v>379</v>
      </c>
      <c r="C20" s="951">
        <v>27072.83</v>
      </c>
      <c r="D20" s="951">
        <v>35833.72</v>
      </c>
      <c r="E20" s="951">
        <v>23090.86</v>
      </c>
      <c r="F20" s="952">
        <f t="shared" si="5"/>
        <v>-12742.86</v>
      </c>
      <c r="G20" s="972">
        <f t="shared" si="6"/>
        <v>-0.3556108604</v>
      </c>
      <c r="H20" s="973"/>
      <c r="I20" s="974"/>
      <c r="J20" s="973"/>
      <c r="K20" s="973"/>
      <c r="L20" s="975"/>
      <c r="M20" s="975"/>
      <c r="N20" s="975"/>
      <c r="O20" s="975"/>
      <c r="P20" s="975"/>
      <c r="Q20" s="973"/>
      <c r="R20" s="973"/>
      <c r="S20" s="973"/>
      <c r="T20" s="973"/>
      <c r="U20" s="973"/>
      <c r="V20" s="973"/>
      <c r="W20" s="973"/>
      <c r="X20" s="973"/>
      <c r="Y20" s="973"/>
      <c r="Z20" s="973"/>
    </row>
    <row r="21" ht="19.5" customHeight="1">
      <c r="A21" s="949"/>
      <c r="B21" s="964" t="s">
        <v>380</v>
      </c>
      <c r="C21" s="976">
        <v>737093.46</v>
      </c>
      <c r="D21" s="976">
        <v>868355.91</v>
      </c>
      <c r="E21" s="957">
        <v>856798.47</v>
      </c>
      <c r="F21" s="952">
        <f t="shared" si="5"/>
        <v>-11557.44</v>
      </c>
      <c r="G21" s="972">
        <f t="shared" si="6"/>
        <v>-0.01330956566</v>
      </c>
      <c r="H21" s="949"/>
      <c r="I21" s="958"/>
      <c r="J21" s="954"/>
      <c r="K21" s="954"/>
      <c r="L21" s="954"/>
      <c r="M21" s="954"/>
      <c r="N21" s="949"/>
      <c r="O21" s="949"/>
      <c r="P21" s="949"/>
      <c r="Q21" s="949"/>
      <c r="R21" s="949"/>
      <c r="S21" s="949"/>
      <c r="T21" s="949"/>
      <c r="U21" s="949"/>
      <c r="V21" s="949"/>
      <c r="W21" s="949"/>
      <c r="X21" s="949"/>
      <c r="Y21" s="949"/>
      <c r="Z21" s="949"/>
    </row>
    <row r="22" ht="19.5" customHeight="1">
      <c r="A22" s="949"/>
      <c r="B22" s="950" t="s">
        <v>273</v>
      </c>
      <c r="C22" s="962">
        <v>-263766.67</v>
      </c>
      <c r="D22" s="977">
        <v>-330708.33</v>
      </c>
      <c r="E22" s="977">
        <v>-335878.91</v>
      </c>
      <c r="F22" s="952">
        <f t="shared" si="5"/>
        <v>-5170.58</v>
      </c>
      <c r="G22" s="972">
        <f t="shared" si="6"/>
        <v>0.01563486472</v>
      </c>
      <c r="H22" s="949"/>
      <c r="I22" s="949"/>
      <c r="J22" s="954"/>
      <c r="K22" s="954"/>
      <c r="L22" s="963"/>
      <c r="M22" s="959"/>
      <c r="N22" s="960"/>
      <c r="O22" s="960"/>
      <c r="P22" s="960"/>
      <c r="Q22" s="949"/>
      <c r="R22" s="949"/>
      <c r="S22" s="949"/>
      <c r="T22" s="949"/>
      <c r="U22" s="949"/>
      <c r="V22" s="949"/>
      <c r="W22" s="949"/>
      <c r="X22" s="949"/>
      <c r="Y22" s="949"/>
      <c r="Z22" s="949"/>
    </row>
    <row r="23" ht="19.5" customHeight="1">
      <c r="A23" s="949"/>
      <c r="B23" s="950" t="s">
        <v>381</v>
      </c>
      <c r="C23" s="951">
        <v>13935.37</v>
      </c>
      <c r="D23" s="951">
        <v>15461</v>
      </c>
      <c r="E23" s="978">
        <v>11858.27</v>
      </c>
      <c r="F23" s="952">
        <f t="shared" si="5"/>
        <v>-3602.73</v>
      </c>
      <c r="G23" s="972">
        <f t="shared" si="6"/>
        <v>-0.2330205032</v>
      </c>
      <c r="H23" s="949"/>
      <c r="I23" s="958"/>
      <c r="J23" s="954"/>
      <c r="K23" s="954"/>
      <c r="L23" s="954"/>
      <c r="M23" s="954"/>
      <c r="N23" s="949"/>
      <c r="O23" s="949"/>
      <c r="P23" s="949"/>
      <c r="Q23" s="949"/>
      <c r="R23" s="949"/>
      <c r="S23" s="949"/>
      <c r="T23" s="949"/>
      <c r="U23" s="949"/>
      <c r="V23" s="949"/>
      <c r="W23" s="949"/>
      <c r="X23" s="949"/>
      <c r="Y23" s="949"/>
      <c r="Z23" s="949"/>
    </row>
    <row r="24" ht="19.5" customHeight="1">
      <c r="A24" s="949"/>
      <c r="B24" s="950" t="s">
        <v>384</v>
      </c>
      <c r="C24" s="951">
        <v>4917.08</v>
      </c>
      <c r="D24" s="951">
        <v>5560</v>
      </c>
      <c r="E24" s="957">
        <v>3170.65</v>
      </c>
      <c r="F24" s="952">
        <f t="shared" si="5"/>
        <v>-2389.35</v>
      </c>
      <c r="G24" s="972">
        <f t="shared" si="6"/>
        <v>-0.4297392086</v>
      </c>
      <c r="H24" s="949"/>
      <c r="I24" s="958"/>
      <c r="J24" s="954"/>
      <c r="K24" s="954"/>
      <c r="L24" s="959"/>
      <c r="M24" s="959"/>
      <c r="N24" s="960"/>
      <c r="O24" s="960"/>
      <c r="P24" s="960"/>
      <c r="Q24" s="949"/>
      <c r="R24" s="949"/>
      <c r="S24" s="949"/>
      <c r="T24" s="949"/>
      <c r="U24" s="949"/>
      <c r="V24" s="949"/>
      <c r="W24" s="949"/>
      <c r="X24" s="949"/>
      <c r="Y24" s="949"/>
      <c r="Z24" s="949"/>
    </row>
    <row r="25" ht="19.5" customHeight="1">
      <c r="A25" s="973"/>
      <c r="B25" s="950" t="s">
        <v>391</v>
      </c>
      <c r="C25" s="951">
        <v>7317.87</v>
      </c>
      <c r="D25" s="951">
        <v>5830</v>
      </c>
      <c r="E25" s="951">
        <v>3662.4</v>
      </c>
      <c r="F25" s="952">
        <f t="shared" si="5"/>
        <v>-2167.6</v>
      </c>
      <c r="G25" s="972">
        <f t="shared" si="6"/>
        <v>-0.3718010292</v>
      </c>
      <c r="H25" s="973"/>
      <c r="I25" s="974"/>
      <c r="J25" s="973"/>
      <c r="K25" s="973"/>
      <c r="L25" s="986"/>
      <c r="M25" s="973"/>
      <c r="N25" s="973"/>
      <c r="O25" s="973"/>
      <c r="P25" s="973"/>
      <c r="Q25" s="973"/>
      <c r="R25" s="973"/>
      <c r="S25" s="973"/>
      <c r="T25" s="973"/>
      <c r="U25" s="973"/>
      <c r="V25" s="973"/>
      <c r="W25" s="973"/>
      <c r="X25" s="973"/>
      <c r="Y25" s="973"/>
      <c r="Z25" s="973"/>
    </row>
    <row r="26" ht="19.5" customHeight="1">
      <c r="A26" s="949"/>
      <c r="B26" s="950" t="s">
        <v>393</v>
      </c>
      <c r="C26" s="951">
        <v>56472.42</v>
      </c>
      <c r="D26" s="951">
        <v>64555.67</v>
      </c>
      <c r="E26" s="957">
        <v>63104.24</v>
      </c>
      <c r="F26" s="952">
        <f t="shared" si="5"/>
        <v>-1451.43</v>
      </c>
      <c r="G26" s="972">
        <f t="shared" si="6"/>
        <v>-0.02248338527</v>
      </c>
      <c r="H26" s="949"/>
      <c r="I26" s="958"/>
      <c r="J26" s="954"/>
      <c r="K26" s="954"/>
      <c r="L26" s="963"/>
      <c r="M26" s="959"/>
      <c r="N26" s="960"/>
      <c r="O26" s="960"/>
      <c r="P26" s="960"/>
      <c r="Q26" s="949"/>
      <c r="R26" s="949"/>
      <c r="S26" s="949"/>
      <c r="T26" s="949"/>
      <c r="U26" s="949"/>
      <c r="V26" s="949"/>
      <c r="W26" s="949"/>
      <c r="X26" s="949"/>
      <c r="Y26" s="949"/>
      <c r="Z26" s="949"/>
    </row>
    <row r="27" ht="19.5" customHeight="1">
      <c r="A27" s="949"/>
      <c r="B27" s="950" t="s">
        <v>396</v>
      </c>
      <c r="C27" s="961">
        <v>12137.43</v>
      </c>
      <c r="D27" s="957">
        <v>15000</v>
      </c>
      <c r="E27" s="957">
        <v>13824.3</v>
      </c>
      <c r="F27" s="952">
        <f t="shared" si="5"/>
        <v>-1175.7</v>
      </c>
      <c r="G27" s="972">
        <f t="shared" si="6"/>
        <v>-0.07838</v>
      </c>
      <c r="H27" s="949"/>
      <c r="I27" s="958"/>
      <c r="J27" s="954"/>
      <c r="K27" s="954"/>
      <c r="L27" s="954"/>
      <c r="M27" s="954"/>
      <c r="N27" s="949"/>
      <c r="O27" s="949"/>
      <c r="P27" s="949"/>
      <c r="Q27" s="949"/>
      <c r="R27" s="949"/>
      <c r="S27" s="949"/>
      <c r="T27" s="949"/>
      <c r="U27" s="949"/>
      <c r="V27" s="949"/>
      <c r="W27" s="949"/>
      <c r="X27" s="949"/>
      <c r="Y27" s="949"/>
      <c r="Z27" s="949"/>
    </row>
    <row r="28" ht="19.5" customHeight="1">
      <c r="A28" s="949"/>
      <c r="B28" s="950" t="s">
        <v>399</v>
      </c>
      <c r="C28" s="951">
        <v>2197.91</v>
      </c>
      <c r="D28" s="951">
        <v>2270</v>
      </c>
      <c r="E28" s="951">
        <v>1226.24</v>
      </c>
      <c r="F28" s="952">
        <f t="shared" si="5"/>
        <v>-1043.76</v>
      </c>
      <c r="G28" s="972">
        <f t="shared" si="6"/>
        <v>-0.4598061674</v>
      </c>
      <c r="H28" s="949"/>
      <c r="I28" s="949"/>
      <c r="J28" s="954"/>
      <c r="K28" s="954"/>
      <c r="L28" s="963"/>
      <c r="M28" s="959"/>
      <c r="N28" s="960"/>
      <c r="O28" s="960"/>
      <c r="P28" s="960"/>
      <c r="Q28" s="949"/>
      <c r="R28" s="949"/>
      <c r="S28" s="949"/>
      <c r="T28" s="949"/>
      <c r="U28" s="949"/>
      <c r="V28" s="949"/>
      <c r="W28" s="949"/>
      <c r="X28" s="949"/>
      <c r="Y28" s="949"/>
      <c r="Z28" s="949"/>
    </row>
    <row r="29" ht="19.5" customHeight="1">
      <c r="A29" s="949"/>
      <c r="B29" s="950" t="s">
        <v>402</v>
      </c>
      <c r="C29" s="951">
        <v>10356.66</v>
      </c>
      <c r="D29" s="968">
        <v>11200</v>
      </c>
      <c r="E29" s="957">
        <v>10245.08</v>
      </c>
      <c r="F29" s="952">
        <f t="shared" si="5"/>
        <v>-954.92</v>
      </c>
      <c r="G29" s="972">
        <f t="shared" si="6"/>
        <v>-0.08526071429</v>
      </c>
      <c r="H29" s="949"/>
      <c r="I29" s="949"/>
      <c r="J29" s="954"/>
      <c r="K29" s="954"/>
      <c r="L29" s="963"/>
      <c r="M29" s="959"/>
      <c r="N29" s="960"/>
      <c r="O29" s="960"/>
      <c r="P29" s="960"/>
      <c r="Q29" s="949"/>
      <c r="R29" s="949"/>
      <c r="S29" s="949"/>
      <c r="T29" s="949"/>
      <c r="U29" s="949"/>
      <c r="V29" s="949"/>
      <c r="W29" s="949"/>
      <c r="X29" s="949"/>
      <c r="Y29" s="949"/>
      <c r="Z29" s="949"/>
    </row>
    <row r="30" ht="19.5" customHeight="1">
      <c r="A30" s="949"/>
      <c r="B30" s="950" t="s">
        <v>404</v>
      </c>
      <c r="C30" s="951">
        <v>389.6</v>
      </c>
      <c r="D30" s="951">
        <v>1400</v>
      </c>
      <c r="E30" s="961">
        <v>545.16</v>
      </c>
      <c r="F30" s="952">
        <f t="shared" si="5"/>
        <v>-854.84</v>
      </c>
      <c r="G30" s="972">
        <f t="shared" si="6"/>
        <v>-0.6106</v>
      </c>
      <c r="H30" s="949"/>
      <c r="I30" s="958"/>
      <c r="J30" s="954"/>
      <c r="K30" s="954"/>
      <c r="L30" s="963"/>
      <c r="M30" s="959"/>
      <c r="N30" s="960"/>
      <c r="O30" s="960"/>
      <c r="P30" s="960"/>
      <c r="Q30" s="949"/>
      <c r="R30" s="949"/>
      <c r="S30" s="949"/>
      <c r="T30" s="949"/>
      <c r="U30" s="949"/>
      <c r="V30" s="949"/>
      <c r="W30" s="949"/>
      <c r="X30" s="949"/>
      <c r="Y30" s="949"/>
      <c r="Z30" s="949"/>
    </row>
    <row r="31" ht="19.5" customHeight="1">
      <c r="A31" s="949"/>
      <c r="B31" s="950" t="s">
        <v>406</v>
      </c>
      <c r="C31" s="956">
        <v>418.04</v>
      </c>
      <c r="D31" s="956">
        <v>1612</v>
      </c>
      <c r="E31" s="951">
        <v>948.25</v>
      </c>
      <c r="F31" s="952">
        <f t="shared" si="5"/>
        <v>-663.75</v>
      </c>
      <c r="G31" s="972">
        <f t="shared" si="6"/>
        <v>-0.4117555831</v>
      </c>
      <c r="H31" s="949"/>
      <c r="I31" s="958"/>
      <c r="J31" s="954"/>
      <c r="K31" s="954"/>
      <c r="L31" s="963"/>
      <c r="M31" s="959"/>
      <c r="N31" s="960"/>
      <c r="O31" s="960"/>
      <c r="P31" s="960"/>
      <c r="Q31" s="949"/>
      <c r="R31" s="949"/>
      <c r="S31" s="949"/>
      <c r="T31" s="949"/>
      <c r="U31" s="949"/>
      <c r="V31" s="949"/>
      <c r="W31" s="949"/>
      <c r="X31" s="949"/>
      <c r="Y31" s="949"/>
      <c r="Z31" s="949"/>
    </row>
    <row r="32" ht="21.0" customHeight="1">
      <c r="A32" s="949"/>
      <c r="B32" s="950" t="s">
        <v>408</v>
      </c>
      <c r="C32" s="951">
        <v>2254.69</v>
      </c>
      <c r="D32" s="951">
        <v>2729</v>
      </c>
      <c r="E32" s="957">
        <v>2216.18</v>
      </c>
      <c r="F32" s="952">
        <f t="shared" si="5"/>
        <v>-512.82</v>
      </c>
      <c r="G32" s="972">
        <f t="shared" si="6"/>
        <v>-0.1879149872</v>
      </c>
      <c r="H32" s="949"/>
      <c r="I32" s="958"/>
      <c r="J32" s="954"/>
      <c r="K32" s="954"/>
      <c r="L32" s="959"/>
      <c r="M32" s="959"/>
      <c r="N32" s="960"/>
      <c r="O32" s="960"/>
      <c r="P32" s="960"/>
      <c r="Q32" s="949"/>
      <c r="R32" s="949"/>
      <c r="S32" s="949"/>
      <c r="T32" s="949"/>
      <c r="U32" s="949"/>
      <c r="V32" s="949"/>
      <c r="W32" s="949"/>
      <c r="X32" s="949"/>
      <c r="Y32" s="949"/>
      <c r="Z32" s="949"/>
    </row>
    <row r="33" ht="21.0" customHeight="1">
      <c r="A33" s="949"/>
      <c r="B33" s="967" t="s">
        <v>409</v>
      </c>
      <c r="C33" s="991">
        <v>2495.7</v>
      </c>
      <c r="D33" s="951">
        <v>2151.26</v>
      </c>
      <c r="E33" s="991">
        <v>1697.36</v>
      </c>
      <c r="F33" s="952">
        <f t="shared" si="5"/>
        <v>-453.9</v>
      </c>
      <c r="G33" s="972">
        <f t="shared" si="6"/>
        <v>-0.2109926276</v>
      </c>
      <c r="H33" s="949"/>
      <c r="I33" s="958"/>
      <c r="J33" s="954"/>
      <c r="K33" s="954"/>
      <c r="L33" s="959"/>
      <c r="M33" s="959"/>
      <c r="N33" s="960"/>
      <c r="O33" s="960"/>
      <c r="P33" s="960"/>
      <c r="Q33" s="949"/>
      <c r="R33" s="949"/>
      <c r="S33" s="949"/>
      <c r="T33" s="949"/>
      <c r="U33" s="949"/>
      <c r="V33" s="949"/>
      <c r="W33" s="949"/>
      <c r="X33" s="949"/>
      <c r="Y33" s="949"/>
      <c r="Z33" s="949"/>
    </row>
    <row r="34" ht="19.5" customHeight="1">
      <c r="A34" s="949"/>
      <c r="B34" s="950" t="s">
        <v>271</v>
      </c>
      <c r="C34" s="951">
        <v>2586.61</v>
      </c>
      <c r="D34" s="951">
        <v>2771.53</v>
      </c>
      <c r="E34" s="951">
        <v>2620.17</v>
      </c>
      <c r="F34" s="952">
        <f t="shared" si="5"/>
        <v>-151.36</v>
      </c>
      <c r="G34" s="972">
        <f t="shared" si="6"/>
        <v>-0.05461243429</v>
      </c>
      <c r="H34" s="949"/>
      <c r="I34" s="994"/>
      <c r="J34" s="995"/>
      <c r="K34" s="996"/>
      <c r="L34" s="997"/>
      <c r="M34" s="954"/>
      <c r="N34" s="949"/>
      <c r="O34" s="949"/>
      <c r="P34" s="949"/>
      <c r="Q34" s="949"/>
      <c r="R34" s="949"/>
      <c r="S34" s="949"/>
      <c r="T34" s="949"/>
      <c r="U34" s="949"/>
      <c r="V34" s="949"/>
      <c r="W34" s="949"/>
      <c r="X34" s="949"/>
      <c r="Y34" s="949"/>
      <c r="Z34" s="949"/>
    </row>
    <row r="35" ht="20.25" customHeight="1">
      <c r="A35" s="42"/>
      <c r="B35" s="998" t="s">
        <v>70</v>
      </c>
      <c r="C35" s="999">
        <f t="shared" ref="C35:E35" si="7">SUM(C18:C34)</f>
        <v>714171.32</v>
      </c>
      <c r="D35" s="999">
        <f t="shared" si="7"/>
        <v>825097.4</v>
      </c>
      <c r="E35" s="999">
        <f t="shared" si="7"/>
        <v>726803.9</v>
      </c>
      <c r="F35" s="1000">
        <f t="shared" si="5"/>
        <v>-98293.5</v>
      </c>
      <c r="G35" s="1001">
        <f>E35/D35-1</f>
        <v>-0.1191295719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20.25" customHeight="1">
      <c r="A36" s="42"/>
      <c r="B36" s="998" t="s">
        <v>281</v>
      </c>
      <c r="C36" s="999">
        <f t="shared" ref="C36:E36" si="8">C35+C16</f>
        <v>955225.49</v>
      </c>
      <c r="D36" s="1002">
        <f t="shared" si="8"/>
        <v>966002.18</v>
      </c>
      <c r="E36" s="999">
        <f t="shared" si="8"/>
        <v>934436.12</v>
      </c>
      <c r="F36" s="1003">
        <f t="shared" si="5"/>
        <v>-31566.06</v>
      </c>
      <c r="G36" s="1004">
        <f>E36/D36- 1</f>
        <v>-0.032677007</v>
      </c>
      <c r="H36" s="42"/>
      <c r="I36" s="42"/>
      <c r="J36" s="1006">
        <f>E35-E37</f>
        <v>-201409.41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20.25" customHeight="1">
      <c r="A37" s="1"/>
      <c r="B37" s="1"/>
      <c r="C37" s="1008">
        <f>-'Matriz senha_capital OK'!B109</f>
        <v>1147166.72</v>
      </c>
      <c r="D37" s="1008">
        <f>-'Matriz senha_capital OK'!C109</f>
        <v>1033654.95</v>
      </c>
      <c r="E37" s="1008">
        <f>-'Matriz senha_capital OK'!D109</f>
        <v>928213.31</v>
      </c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010">
        <f t="shared" ref="C38:E38" si="9">C37-C36</f>
        <v>191941.23</v>
      </c>
      <c r="D38" s="1010">
        <f t="shared" si="9"/>
        <v>67652.77</v>
      </c>
      <c r="E38" s="1010">
        <f t="shared" si="9"/>
        <v>-6222.81</v>
      </c>
      <c r="F38" s="1"/>
      <c r="G38" s="3"/>
      <c r="H38" s="1"/>
      <c r="I38" s="1"/>
      <c r="J38" s="1"/>
      <c r="K38" s="1"/>
      <c r="L38" s="1"/>
      <c r="M38" s="1"/>
      <c r="N38" s="1"/>
      <c r="O38" s="1"/>
      <c r="P38" s="995">
        <f>595686.61+288387.03-5595.39</f>
        <v>878478.25</v>
      </c>
      <c r="Q38" s="996">
        <f>589738.48+298639.1-7529.37</f>
        <v>880848.21</v>
      </c>
      <c r="R38" s="997">
        <f>637097.13+310197.79-8597.3</f>
        <v>938697.62</v>
      </c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926"/>
      <c r="D39" s="926"/>
      <c r="E39" s="926"/>
      <c r="F39" s="1"/>
      <c r="G39" s="3"/>
      <c r="H39" s="1"/>
      <c r="I39" s="1"/>
      <c r="J39" s="1013" t="s">
        <v>412</v>
      </c>
      <c r="K39" s="205"/>
      <c r="L39" s="205"/>
      <c r="M39" s="20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014"/>
      <c r="D40" s="1014"/>
      <c r="E40" s="1014"/>
      <c r="F40" s="1"/>
      <c r="G40" s="3"/>
      <c r="H40" s="1"/>
      <c r="I40" s="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947"/>
      <c r="D41" s="947"/>
      <c r="E41" s="947"/>
      <c r="F41" s="1"/>
      <c r="G41" s="3"/>
      <c r="H41" s="1"/>
      <c r="I41" s="7"/>
      <c r="J41" s="1015"/>
      <c r="K41" s="1016" t="s">
        <v>153</v>
      </c>
      <c r="L41" s="1017" t="s">
        <v>154</v>
      </c>
      <c r="M41" s="1017" t="s">
        <v>149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947"/>
      <c r="D42" s="947"/>
      <c r="E42" s="947"/>
      <c r="F42" s="1"/>
      <c r="G42" s="3"/>
      <c r="H42" s="1"/>
      <c r="I42" s="1018" t="s">
        <v>413</v>
      </c>
      <c r="J42" s="1019" t="s">
        <v>414</v>
      </c>
      <c r="K42" s="1020">
        <v>-246799.05</v>
      </c>
      <c r="L42" s="1020">
        <v>-277489.69</v>
      </c>
      <c r="M42" s="1020">
        <v>-274297.57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947"/>
      <c r="D43" s="947"/>
      <c r="E43" s="947"/>
      <c r="F43" s="1"/>
      <c r="G43" s="3"/>
      <c r="H43" s="1"/>
      <c r="I43" s="1018" t="s">
        <v>415</v>
      </c>
      <c r="J43" s="1021" t="s">
        <v>416</v>
      </c>
      <c r="K43" s="1020">
        <v>-18239.16</v>
      </c>
      <c r="L43" s="1020">
        <v>-26842.22</v>
      </c>
      <c r="M43" s="1020">
        <v>-18689.02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947"/>
      <c r="D44" s="947"/>
      <c r="E44" s="947"/>
      <c r="F44" s="1"/>
      <c r="G44" s="3"/>
      <c r="H44" s="1"/>
      <c r="I44" s="1018" t="s">
        <v>275</v>
      </c>
      <c r="J44" s="1021" t="s">
        <v>417</v>
      </c>
      <c r="K44" s="1020">
        <v>-674.02</v>
      </c>
      <c r="L44" s="1020">
        <v>-840.41</v>
      </c>
      <c r="M44" s="1020">
        <v>-863.16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947"/>
      <c r="D45" s="947"/>
      <c r="E45" s="947"/>
      <c r="F45" s="1"/>
      <c r="G45" s="3"/>
      <c r="H45" s="1"/>
      <c r="I45" s="1018" t="s">
        <v>274</v>
      </c>
      <c r="J45" s="1021" t="s">
        <v>418</v>
      </c>
      <c r="K45" s="1020">
        <v>-25008.47</v>
      </c>
      <c r="L45" s="1020">
        <v>-25877.31</v>
      </c>
      <c r="M45" s="1020">
        <v>-25482.96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947"/>
      <c r="D46" s="947"/>
      <c r="E46" s="947"/>
      <c r="F46" s="1"/>
      <c r="G46" s="3"/>
      <c r="H46" s="1"/>
      <c r="I46" s="7"/>
      <c r="J46" s="1022" t="s">
        <v>419</v>
      </c>
      <c r="K46" s="1023">
        <f t="shared" ref="K46:M46" si="10">SUM(K42:K45)</f>
        <v>-290720.7</v>
      </c>
      <c r="L46" s="1023">
        <f t="shared" si="10"/>
        <v>-331049.63</v>
      </c>
      <c r="M46" s="1023">
        <f t="shared" si="10"/>
        <v>-319332.71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.0" customHeight="1">
      <c r="A47" s="1"/>
      <c r="B47" s="1"/>
      <c r="C47" s="947"/>
      <c r="D47" s="947"/>
      <c r="E47" s="947"/>
      <c r="F47" s="1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947"/>
      <c r="D48" s="947"/>
      <c r="E48" s="947"/>
      <c r="F48" s="1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947"/>
      <c r="D49" s="947"/>
      <c r="E49" s="947"/>
      <c r="F49" s="1"/>
      <c r="G49" s="3"/>
      <c r="H49" s="1"/>
      <c r="I49" s="1018" t="s">
        <v>413</v>
      </c>
      <c r="J49" s="1019" t="s">
        <v>414</v>
      </c>
      <c r="K49" s="1024">
        <f>514785.74-K42</f>
        <v>761584.79</v>
      </c>
      <c r="L49" s="1024">
        <f>559211.89-L42</f>
        <v>836701.58</v>
      </c>
      <c r="M49" s="1024">
        <f>536708.21-M42</f>
        <v>811005.78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03"/>
      <c r="D50" s="203"/>
      <c r="E50" s="203"/>
      <c r="F50" s="1"/>
      <c r="G50" s="1"/>
      <c r="H50" s="1"/>
      <c r="I50" s="1018" t="s">
        <v>415</v>
      </c>
      <c r="J50" s="1021" t="s">
        <v>416</v>
      </c>
      <c r="K50" s="1024">
        <f>(12334.18+K43)</f>
        <v>-5904.98</v>
      </c>
      <c r="L50" s="1024">
        <f>(20503.72+L43)</f>
        <v>-6338.5</v>
      </c>
      <c r="M50" s="1024">
        <f>(12620.58+M43)</f>
        <v>-6068.44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03"/>
      <c r="D51" s="203"/>
      <c r="E51" s="203"/>
      <c r="F51" s="1"/>
      <c r="G51" s="1"/>
      <c r="H51" s="1"/>
      <c r="I51" s="1018" t="s">
        <v>275</v>
      </c>
      <c r="J51" s="1021" t="s">
        <v>417</v>
      </c>
      <c r="K51" s="1024">
        <f>415.98-K44</f>
        <v>1090</v>
      </c>
      <c r="L51" s="1025">
        <f> 2835.59-L44</f>
        <v>3676</v>
      </c>
      <c r="M51" s="1024">
        <f>280.84-M44</f>
        <v>1144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03"/>
      <c r="D52" s="203"/>
      <c r="E52" s="203"/>
      <c r="F52" s="1"/>
      <c r="G52" s="1"/>
      <c r="H52" s="1"/>
      <c r="I52" s="1018" t="s">
        <v>274</v>
      </c>
      <c r="J52" s="1021" t="s">
        <v>418</v>
      </c>
      <c r="K52" s="1024">
        <f>(20800.42+K45)</f>
        <v>-4208.05</v>
      </c>
      <c r="L52" s="1024">
        <f>(15293.94+L45)</f>
        <v>-10583.37</v>
      </c>
      <c r="M52" s="1024">
        <f>(26634.38-M45)</f>
        <v>52117.34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03"/>
      <c r="D53" s="203"/>
      <c r="E53" s="20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03"/>
      <c r="D54" s="203"/>
      <c r="E54" s="20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03"/>
      <c r="D55" s="203"/>
      <c r="E55" s="203"/>
      <c r="F55" s="1"/>
      <c r="G55" s="1"/>
      <c r="H55" s="1"/>
      <c r="I55" s="1"/>
      <c r="J55" s="1"/>
      <c r="K55" s="1026">
        <f>552847.62-K42</f>
        <v>799646.67</v>
      </c>
      <c r="L55" s="1026">
        <f>592080.26-L42</f>
        <v>869569.95</v>
      </c>
      <c r="M55" s="1026">
        <f>553176.73-M42</f>
        <v>827474.3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03"/>
      <c r="D56" s="203"/>
      <c r="E56" s="203"/>
      <c r="F56" s="1"/>
      <c r="G56" s="1"/>
      <c r="H56" s="1"/>
      <c r="I56" s="1"/>
      <c r="J56" s="1"/>
      <c r="K56" s="1026"/>
      <c r="L56" s="1026"/>
      <c r="M56" s="102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203"/>
      <c r="D57" s="203"/>
      <c r="E57" s="20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03"/>
      <c r="D58" s="203"/>
      <c r="E58" s="20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6.0" customHeight="1">
      <c r="A59" s="1"/>
      <c r="B59" s="1"/>
      <c r="C59" s="203"/>
      <c r="D59" s="203"/>
      <c r="E59" s="20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947"/>
      <c r="D60" s="947"/>
      <c r="E60" s="947"/>
      <c r="F60" s="1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947"/>
      <c r="D61" s="947"/>
      <c r="E61" s="947"/>
      <c r="F61" s="1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947"/>
      <c r="D62" s="947"/>
      <c r="E62" s="947"/>
      <c r="F62" s="1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947"/>
      <c r="D63" s="947"/>
      <c r="E63" s="947"/>
      <c r="F63" s="1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947"/>
      <c r="D64" s="947"/>
      <c r="E64" s="947"/>
      <c r="F64" s="1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947"/>
      <c r="D65" s="947"/>
      <c r="E65" s="947"/>
      <c r="F65" s="1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947"/>
      <c r="D66" s="947"/>
      <c r="E66" s="947"/>
      <c r="F66" s="1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947"/>
      <c r="D67" s="947"/>
      <c r="E67" s="947"/>
      <c r="F67" s="1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947"/>
      <c r="D68" s="947"/>
      <c r="E68" s="947"/>
      <c r="F68" s="1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947"/>
      <c r="D69" s="947"/>
      <c r="E69" s="947"/>
      <c r="F69" s="1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947"/>
      <c r="D70" s="947"/>
      <c r="E70" s="947"/>
      <c r="F70" s="1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947"/>
      <c r="D71" s="947"/>
      <c r="E71" s="947"/>
      <c r="F71" s="1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947"/>
      <c r="D72" s="947"/>
      <c r="E72" s="947"/>
      <c r="F72" s="1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947"/>
      <c r="D73" s="947"/>
      <c r="E73" s="947"/>
      <c r="F73" s="1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947"/>
      <c r="D74" s="947"/>
      <c r="E74" s="947"/>
      <c r="F74" s="1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947"/>
      <c r="D75" s="947"/>
      <c r="E75" s="947"/>
      <c r="F75" s="1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947"/>
      <c r="D76" s="947"/>
      <c r="E76" s="947"/>
      <c r="F76" s="1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947"/>
      <c r="D77" s="947"/>
      <c r="E77" s="947"/>
      <c r="F77" s="1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947"/>
      <c r="D78" s="947"/>
      <c r="E78" s="947"/>
      <c r="F78" s="1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947"/>
      <c r="D79" s="947"/>
      <c r="E79" s="947"/>
      <c r="F79" s="1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947"/>
      <c r="D80" s="947"/>
      <c r="E80" s="947"/>
      <c r="F80" s="1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947"/>
      <c r="D81" s="947"/>
      <c r="E81" s="947"/>
      <c r="F81" s="1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947"/>
      <c r="D82" s="947"/>
      <c r="E82" s="947"/>
      <c r="F82" s="1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947"/>
      <c r="D83" s="947"/>
      <c r="E83" s="947"/>
      <c r="F83" s="1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947"/>
      <c r="D84" s="947"/>
      <c r="E84" s="947"/>
      <c r="F84" s="1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947"/>
      <c r="D85" s="947"/>
      <c r="E85" s="947"/>
      <c r="F85" s="1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947"/>
      <c r="D86" s="947"/>
      <c r="E86" s="947"/>
      <c r="F86" s="1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947"/>
      <c r="D87" s="947"/>
      <c r="E87" s="947"/>
      <c r="F87" s="1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947"/>
      <c r="D88" s="947"/>
      <c r="E88" s="947"/>
      <c r="F88" s="1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947"/>
      <c r="D89" s="947"/>
      <c r="E89" s="947"/>
      <c r="F89" s="1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947"/>
      <c r="D90" s="947"/>
      <c r="E90" s="947"/>
      <c r="F90" s="1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947"/>
      <c r="D91" s="947"/>
      <c r="E91" s="947"/>
      <c r="F91" s="1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947"/>
      <c r="D92" s="947"/>
      <c r="E92" s="947"/>
      <c r="F92" s="1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947"/>
      <c r="D93" s="947"/>
      <c r="E93" s="947"/>
      <c r="F93" s="1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947"/>
      <c r="D94" s="947"/>
      <c r="E94" s="947"/>
      <c r="F94" s="1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947"/>
      <c r="D95" s="947"/>
      <c r="E95" s="947"/>
      <c r="F95" s="1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947"/>
      <c r="D96" s="947"/>
      <c r="E96" s="947"/>
      <c r="F96" s="1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947"/>
      <c r="D97" s="947"/>
      <c r="E97" s="947"/>
      <c r="F97" s="1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947"/>
      <c r="D98" s="947"/>
      <c r="E98" s="947"/>
      <c r="F98" s="1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947"/>
      <c r="D99" s="947"/>
      <c r="E99" s="947"/>
      <c r="F99" s="1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947"/>
      <c r="D100" s="947"/>
      <c r="E100" s="947"/>
      <c r="F100" s="1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947"/>
      <c r="D101" s="947"/>
      <c r="E101" s="947"/>
      <c r="F101" s="1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947"/>
      <c r="D102" s="947"/>
      <c r="E102" s="947"/>
      <c r="F102" s="1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947"/>
      <c r="D103" s="947"/>
      <c r="E103" s="947"/>
      <c r="F103" s="1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947"/>
      <c r="D104" s="947"/>
      <c r="E104" s="947"/>
      <c r="F104" s="1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947"/>
      <c r="D105" s="947"/>
      <c r="E105" s="947"/>
      <c r="F105" s="1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947"/>
      <c r="D106" s="947"/>
      <c r="E106" s="947"/>
      <c r="F106" s="1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947"/>
      <c r="D107" s="947"/>
      <c r="E107" s="947"/>
      <c r="F107" s="1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947"/>
      <c r="D108" s="947"/>
      <c r="E108" s="947"/>
      <c r="F108" s="1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947"/>
      <c r="D109" s="947"/>
      <c r="E109" s="947"/>
      <c r="F109" s="1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947"/>
      <c r="D110" s="947"/>
      <c r="E110" s="947"/>
      <c r="F110" s="1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947"/>
      <c r="D111" s="947"/>
      <c r="E111" s="947"/>
      <c r="F111" s="1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947"/>
      <c r="D112" s="947"/>
      <c r="E112" s="947"/>
      <c r="F112" s="1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947"/>
      <c r="D113" s="947"/>
      <c r="E113" s="947"/>
      <c r="F113" s="1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947"/>
      <c r="D114" s="947"/>
      <c r="E114" s="947"/>
      <c r="F114" s="1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947"/>
      <c r="D115" s="947"/>
      <c r="E115" s="947"/>
      <c r="F115" s="1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947"/>
      <c r="D116" s="947"/>
      <c r="E116" s="947"/>
      <c r="F116" s="1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947"/>
      <c r="D117" s="947"/>
      <c r="E117" s="947"/>
      <c r="F117" s="1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947"/>
      <c r="D118" s="947"/>
      <c r="E118" s="947"/>
      <c r="F118" s="1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947"/>
      <c r="D119" s="947"/>
      <c r="E119" s="947"/>
      <c r="F119" s="1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947"/>
      <c r="D120" s="947"/>
      <c r="E120" s="947"/>
      <c r="F120" s="1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947"/>
      <c r="D121" s="947"/>
      <c r="E121" s="947"/>
      <c r="F121" s="1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947"/>
      <c r="D122" s="947"/>
      <c r="E122" s="947"/>
      <c r="F122" s="1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947"/>
      <c r="D123" s="947"/>
      <c r="E123" s="947"/>
      <c r="F123" s="1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947"/>
      <c r="D124" s="947"/>
      <c r="E124" s="947"/>
      <c r="F124" s="1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947"/>
      <c r="D125" s="947"/>
      <c r="E125" s="947"/>
      <c r="F125" s="1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947"/>
      <c r="D126" s="947"/>
      <c r="E126" s="947"/>
      <c r="F126" s="1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947"/>
      <c r="D127" s="947"/>
      <c r="E127" s="947"/>
      <c r="F127" s="1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947"/>
      <c r="D128" s="947"/>
      <c r="E128" s="947"/>
      <c r="F128" s="1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947"/>
      <c r="D129" s="947"/>
      <c r="E129" s="947"/>
      <c r="F129" s="1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947"/>
      <c r="D130" s="947"/>
      <c r="E130" s="947"/>
      <c r="F130" s="1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947"/>
      <c r="D131" s="947"/>
      <c r="E131" s="947"/>
      <c r="F131" s="1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947"/>
      <c r="D132" s="947"/>
      <c r="E132" s="947"/>
      <c r="F132" s="1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947"/>
      <c r="D133" s="947"/>
      <c r="E133" s="947"/>
      <c r="F133" s="1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947"/>
      <c r="D134" s="947"/>
      <c r="E134" s="947"/>
      <c r="F134" s="1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947"/>
      <c r="D135" s="947"/>
      <c r="E135" s="947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947"/>
      <c r="D136" s="947"/>
      <c r="E136" s="947"/>
      <c r="F136" s="1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947"/>
      <c r="D137" s="947"/>
      <c r="E137" s="947"/>
      <c r="F137" s="1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947"/>
      <c r="D138" s="947"/>
      <c r="E138" s="947"/>
      <c r="F138" s="1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947"/>
      <c r="D139" s="947"/>
      <c r="E139" s="947"/>
      <c r="F139" s="1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947"/>
      <c r="D140" s="947"/>
      <c r="E140" s="947"/>
      <c r="F140" s="1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947"/>
      <c r="D141" s="947"/>
      <c r="E141" s="947"/>
      <c r="F141" s="1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947"/>
      <c r="D142" s="947"/>
      <c r="E142" s="947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947"/>
      <c r="D143" s="947"/>
      <c r="E143" s="947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947"/>
      <c r="D144" s="947"/>
      <c r="E144" s="947"/>
      <c r="F144" s="1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947"/>
      <c r="D145" s="947"/>
      <c r="E145" s="947"/>
      <c r="F145" s="1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947"/>
      <c r="D146" s="947"/>
      <c r="E146" s="947"/>
      <c r="F146" s="1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947"/>
      <c r="D147" s="947"/>
      <c r="E147" s="947"/>
      <c r="F147" s="1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947"/>
      <c r="D148" s="947"/>
      <c r="E148" s="947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947"/>
      <c r="D149" s="947"/>
      <c r="E149" s="947"/>
      <c r="F149" s="1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947"/>
      <c r="D150" s="947"/>
      <c r="E150" s="947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947"/>
      <c r="D151" s="947"/>
      <c r="E151" s="947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947"/>
      <c r="D152" s="947"/>
      <c r="E152" s="947"/>
      <c r="F152" s="1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947"/>
      <c r="D153" s="947"/>
      <c r="E153" s="947"/>
      <c r="F153" s="1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947"/>
      <c r="D154" s="947"/>
      <c r="E154" s="947"/>
      <c r="F154" s="1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947"/>
      <c r="D155" s="947"/>
      <c r="E155" s="947"/>
      <c r="F155" s="1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947"/>
      <c r="D156" s="947"/>
      <c r="E156" s="947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947"/>
      <c r="D157" s="947"/>
      <c r="E157" s="947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947"/>
      <c r="D158" s="947"/>
      <c r="E158" s="947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947"/>
      <c r="D159" s="947"/>
      <c r="E159" s="947"/>
      <c r="F159" s="1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947"/>
      <c r="D160" s="947"/>
      <c r="E160" s="947"/>
      <c r="F160" s="1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947"/>
      <c r="D161" s="947"/>
      <c r="E161" s="947"/>
      <c r="F161" s="1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947"/>
      <c r="D162" s="947"/>
      <c r="E162" s="947"/>
      <c r="F162" s="1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947"/>
      <c r="D163" s="947"/>
      <c r="E163" s="947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947"/>
      <c r="D164" s="947"/>
      <c r="E164" s="947"/>
      <c r="F164" s="1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947"/>
      <c r="D165" s="947"/>
      <c r="E165" s="947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947"/>
      <c r="D166" s="947"/>
      <c r="E166" s="947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947"/>
      <c r="D167" s="947"/>
      <c r="E167" s="947"/>
      <c r="F167" s="1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947"/>
      <c r="D168" s="947"/>
      <c r="E168" s="947"/>
      <c r="F168" s="1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947"/>
      <c r="D169" s="947"/>
      <c r="E169" s="947"/>
      <c r="F169" s="1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947"/>
      <c r="D170" s="947"/>
      <c r="E170" s="947"/>
      <c r="F170" s="1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947"/>
      <c r="D171" s="947"/>
      <c r="E171" s="947"/>
      <c r="F171" s="1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947"/>
      <c r="D172" s="947"/>
      <c r="E172" s="947"/>
      <c r="F172" s="1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947"/>
      <c r="D173" s="947"/>
      <c r="E173" s="947"/>
      <c r="F173" s="1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947"/>
      <c r="D174" s="947"/>
      <c r="E174" s="947"/>
      <c r="F174" s="1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947"/>
      <c r="D175" s="947"/>
      <c r="E175" s="947"/>
      <c r="F175" s="1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947"/>
      <c r="D176" s="947"/>
      <c r="E176" s="947"/>
      <c r="F176" s="1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947"/>
      <c r="D177" s="947"/>
      <c r="E177" s="947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947"/>
      <c r="D178" s="947"/>
      <c r="E178" s="947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947"/>
      <c r="D179" s="947"/>
      <c r="E179" s="947"/>
      <c r="F179" s="1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947"/>
      <c r="D180" s="947"/>
      <c r="E180" s="947"/>
      <c r="F180" s="1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947"/>
      <c r="D181" s="947"/>
      <c r="E181" s="947"/>
      <c r="F181" s="1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947"/>
      <c r="D182" s="947"/>
      <c r="E182" s="947"/>
      <c r="F182" s="1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947"/>
      <c r="D183" s="947"/>
      <c r="E183" s="947"/>
      <c r="F183" s="1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947"/>
      <c r="D184" s="947"/>
      <c r="E184" s="947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947"/>
      <c r="D185" s="947"/>
      <c r="E185" s="947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947"/>
      <c r="D186" s="947"/>
      <c r="E186" s="947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947"/>
      <c r="D187" s="947"/>
      <c r="E187" s="947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947"/>
      <c r="D188" s="947"/>
      <c r="E188" s="947"/>
      <c r="F188" s="1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947"/>
      <c r="D189" s="947"/>
      <c r="E189" s="947"/>
      <c r="F189" s="1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947"/>
      <c r="D190" s="947"/>
      <c r="E190" s="947"/>
      <c r="F190" s="1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947"/>
      <c r="D191" s="947"/>
      <c r="E191" s="947"/>
      <c r="F191" s="1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947"/>
      <c r="D192" s="947"/>
      <c r="E192" s="947"/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947"/>
      <c r="D193" s="947"/>
      <c r="E193" s="947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947"/>
      <c r="D194" s="947"/>
      <c r="E194" s="947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947"/>
      <c r="D195" s="947"/>
      <c r="E195" s="947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947"/>
      <c r="D196" s="947"/>
      <c r="E196" s="947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947"/>
      <c r="D197" s="947"/>
      <c r="E197" s="947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947"/>
      <c r="D198" s="947"/>
      <c r="E198" s="947"/>
      <c r="F198" s="1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947"/>
      <c r="D199" s="947"/>
      <c r="E199" s="947"/>
      <c r="F199" s="1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947"/>
      <c r="D200" s="947"/>
      <c r="E200" s="947"/>
      <c r="F200" s="1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947"/>
      <c r="D201" s="947"/>
      <c r="E201" s="947"/>
      <c r="F201" s="1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947"/>
      <c r="D202" s="947"/>
      <c r="E202" s="947"/>
      <c r="F202" s="1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947"/>
      <c r="D203" s="947"/>
      <c r="E203" s="947"/>
      <c r="F203" s="1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947"/>
      <c r="D204" s="947"/>
      <c r="E204" s="947"/>
      <c r="F204" s="1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947"/>
      <c r="D205" s="947"/>
      <c r="E205" s="947"/>
      <c r="F205" s="1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947"/>
      <c r="D206" s="947"/>
      <c r="E206" s="947"/>
      <c r="F206" s="1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947"/>
      <c r="D207" s="947"/>
      <c r="E207" s="947"/>
      <c r="F207" s="1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947"/>
      <c r="D208" s="947"/>
      <c r="E208" s="947"/>
      <c r="F208" s="1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947"/>
      <c r="D209" s="947"/>
      <c r="E209" s="947"/>
      <c r="F209" s="1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947"/>
      <c r="D210" s="947"/>
      <c r="E210" s="947"/>
      <c r="F210" s="1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947"/>
      <c r="D211" s="947"/>
      <c r="E211" s="947"/>
      <c r="F211" s="1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947"/>
      <c r="D212" s="947"/>
      <c r="E212" s="947"/>
      <c r="F212" s="1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947"/>
      <c r="D213" s="947"/>
      <c r="E213" s="947"/>
      <c r="F213" s="1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947"/>
      <c r="D214" s="947"/>
      <c r="E214" s="947"/>
      <c r="F214" s="1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947"/>
      <c r="D215" s="947"/>
      <c r="E215" s="947"/>
      <c r="F215" s="1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947"/>
      <c r="D216" s="947"/>
      <c r="E216" s="947"/>
      <c r="F216" s="1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947"/>
      <c r="D217" s="947"/>
      <c r="E217" s="947"/>
      <c r="F217" s="1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947"/>
      <c r="D218" s="947"/>
      <c r="E218" s="947"/>
      <c r="F218" s="1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947"/>
      <c r="D219" s="947"/>
      <c r="E219" s="947"/>
      <c r="F219" s="1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947"/>
      <c r="D220" s="947"/>
      <c r="E220" s="947"/>
      <c r="F220" s="1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947"/>
      <c r="D221" s="947"/>
      <c r="E221" s="947"/>
      <c r="F221" s="1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947"/>
      <c r="D222" s="947"/>
      <c r="E222" s="947"/>
      <c r="F222" s="1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947"/>
      <c r="D223" s="947"/>
      <c r="E223" s="947"/>
      <c r="F223" s="1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947"/>
      <c r="D224" s="947"/>
      <c r="E224" s="947"/>
      <c r="F224" s="1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947"/>
      <c r="D225" s="947"/>
      <c r="E225" s="947"/>
      <c r="F225" s="1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947"/>
      <c r="D226" s="947"/>
      <c r="E226" s="947"/>
      <c r="F226" s="1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947"/>
      <c r="D227" s="947"/>
      <c r="E227" s="947"/>
      <c r="F227" s="1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947"/>
      <c r="D228" s="947"/>
      <c r="E228" s="947"/>
      <c r="F228" s="1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947"/>
      <c r="D229" s="947"/>
      <c r="E229" s="947"/>
      <c r="F229" s="1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947"/>
      <c r="D230" s="947"/>
      <c r="E230" s="947"/>
      <c r="F230" s="1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947"/>
      <c r="D231" s="947"/>
      <c r="E231" s="947"/>
      <c r="F231" s="1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947"/>
      <c r="D232" s="947"/>
      <c r="E232" s="947"/>
      <c r="F232" s="1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947"/>
      <c r="D233" s="947"/>
      <c r="E233" s="947"/>
      <c r="F233" s="1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947"/>
      <c r="D234" s="947"/>
      <c r="E234" s="947"/>
      <c r="F234" s="1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947"/>
      <c r="D235" s="947"/>
      <c r="E235" s="947"/>
      <c r="F235" s="1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947"/>
      <c r="D236" s="947"/>
      <c r="E236" s="947"/>
      <c r="F236" s="1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947"/>
      <c r="D237" s="947"/>
      <c r="E237" s="947"/>
      <c r="F237" s="1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947"/>
      <c r="D238" s="947"/>
      <c r="E238" s="947"/>
      <c r="F238" s="1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947"/>
      <c r="D239" s="947"/>
      <c r="E239" s="947"/>
      <c r="F239" s="1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947"/>
      <c r="D240" s="947"/>
      <c r="E240" s="947"/>
      <c r="F240" s="1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947"/>
      <c r="D241" s="947"/>
      <c r="E241" s="947"/>
      <c r="F241" s="1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947"/>
      <c r="D242" s="947"/>
      <c r="E242" s="947"/>
      <c r="F242" s="1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947"/>
      <c r="D243" s="947"/>
      <c r="E243" s="947"/>
      <c r="F243" s="1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947"/>
      <c r="D244" s="947"/>
      <c r="E244" s="947"/>
      <c r="F244" s="1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947"/>
      <c r="D245" s="947"/>
      <c r="E245" s="947"/>
      <c r="F245" s="1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947"/>
      <c r="D246" s="947"/>
      <c r="E246" s="947"/>
      <c r="F246" s="1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947"/>
      <c r="D247" s="947"/>
      <c r="E247" s="947"/>
      <c r="F247" s="1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947"/>
      <c r="D248" s="947"/>
      <c r="E248" s="947"/>
      <c r="F248" s="1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947"/>
      <c r="D249" s="947"/>
      <c r="E249" s="947"/>
      <c r="F249" s="1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947"/>
      <c r="D250" s="947"/>
      <c r="E250" s="947"/>
      <c r="F250" s="1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947"/>
      <c r="D251" s="947"/>
      <c r="E251" s="947"/>
      <c r="F251" s="1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947"/>
      <c r="D252" s="947"/>
      <c r="E252" s="947"/>
      <c r="F252" s="1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947"/>
      <c r="D253" s="947"/>
      <c r="E253" s="947"/>
      <c r="F253" s="1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947"/>
      <c r="D254" s="947"/>
      <c r="E254" s="947"/>
      <c r="F254" s="1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947"/>
      <c r="D255" s="947"/>
      <c r="E255" s="947"/>
      <c r="F255" s="1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947"/>
      <c r="D256" s="947"/>
      <c r="E256" s="947"/>
      <c r="F256" s="1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947"/>
      <c r="D257" s="947"/>
      <c r="E257" s="947"/>
      <c r="F257" s="1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947"/>
      <c r="D258" s="947"/>
      <c r="E258" s="947"/>
      <c r="F258" s="1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947"/>
      <c r="D259" s="947"/>
      <c r="E259" s="947"/>
      <c r="F259" s="1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947"/>
      <c r="D260" s="947"/>
      <c r="E260" s="947"/>
      <c r="F260" s="1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947"/>
      <c r="D261" s="947"/>
      <c r="E261" s="947"/>
      <c r="F261" s="1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947"/>
      <c r="D262" s="947"/>
      <c r="E262" s="947"/>
      <c r="F262" s="1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947"/>
      <c r="D263" s="947"/>
      <c r="E263" s="947"/>
      <c r="F263" s="1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947"/>
      <c r="D264" s="947"/>
      <c r="E264" s="947"/>
      <c r="F264" s="1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947"/>
      <c r="D265" s="947"/>
      <c r="E265" s="947"/>
      <c r="F265" s="1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947"/>
      <c r="D266" s="947"/>
      <c r="E266" s="947"/>
      <c r="F266" s="1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947"/>
      <c r="D267" s="947"/>
      <c r="E267" s="947"/>
      <c r="F267" s="1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947"/>
      <c r="D268" s="947"/>
      <c r="E268" s="947"/>
      <c r="F268" s="1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947"/>
      <c r="D269" s="947"/>
      <c r="E269" s="947"/>
      <c r="F269" s="1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947"/>
      <c r="D270" s="947"/>
      <c r="E270" s="947"/>
      <c r="F270" s="1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947"/>
      <c r="D271" s="947"/>
      <c r="E271" s="947"/>
      <c r="F271" s="1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947"/>
      <c r="D272" s="947"/>
      <c r="E272" s="947"/>
      <c r="F272" s="1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947"/>
      <c r="D273" s="947"/>
      <c r="E273" s="947"/>
      <c r="F273" s="1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947"/>
      <c r="D274" s="947"/>
      <c r="E274" s="947"/>
      <c r="F274" s="1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947"/>
      <c r="D275" s="947"/>
      <c r="E275" s="947"/>
      <c r="F275" s="1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947"/>
      <c r="D276" s="947"/>
      <c r="E276" s="947"/>
      <c r="F276" s="1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947"/>
      <c r="D277" s="947"/>
      <c r="E277" s="947"/>
      <c r="F277" s="1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947"/>
      <c r="D278" s="947"/>
      <c r="E278" s="947"/>
      <c r="F278" s="1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947"/>
      <c r="D279" s="947"/>
      <c r="E279" s="947"/>
      <c r="F279" s="1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947"/>
      <c r="D280" s="947"/>
      <c r="E280" s="947"/>
      <c r="F280" s="1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947"/>
      <c r="D281" s="947"/>
      <c r="E281" s="947"/>
      <c r="F281" s="1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947"/>
      <c r="D282" s="947"/>
      <c r="E282" s="947"/>
      <c r="F282" s="1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947"/>
      <c r="D283" s="947"/>
      <c r="E283" s="947"/>
      <c r="F283" s="1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947"/>
      <c r="D284" s="947"/>
      <c r="E284" s="947"/>
      <c r="F284" s="1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947"/>
      <c r="D285" s="947"/>
      <c r="E285" s="947"/>
      <c r="F285" s="1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947"/>
      <c r="D286" s="947"/>
      <c r="E286" s="947"/>
      <c r="F286" s="1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947"/>
      <c r="D287" s="947"/>
      <c r="E287" s="947"/>
      <c r="F287" s="1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947"/>
      <c r="D288" s="947"/>
      <c r="E288" s="947"/>
      <c r="F288" s="1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947"/>
      <c r="D289" s="947"/>
      <c r="E289" s="947"/>
      <c r="F289" s="1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947"/>
      <c r="D290" s="947"/>
      <c r="E290" s="947"/>
      <c r="F290" s="1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947"/>
      <c r="D291" s="947"/>
      <c r="E291" s="947"/>
      <c r="F291" s="1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947"/>
      <c r="D292" s="947"/>
      <c r="E292" s="947"/>
      <c r="F292" s="1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947"/>
      <c r="D293" s="947"/>
      <c r="E293" s="947"/>
      <c r="F293" s="1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947"/>
      <c r="D294" s="947"/>
      <c r="E294" s="947"/>
      <c r="F294" s="1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947"/>
      <c r="D295" s="947"/>
      <c r="E295" s="947"/>
      <c r="F295" s="1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947"/>
      <c r="D296" s="947"/>
      <c r="E296" s="947"/>
      <c r="F296" s="1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947"/>
      <c r="D297" s="947"/>
      <c r="E297" s="947"/>
      <c r="F297" s="1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947"/>
      <c r="D298" s="947"/>
      <c r="E298" s="947"/>
      <c r="F298" s="1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947"/>
      <c r="D299" s="947"/>
      <c r="E299" s="947"/>
      <c r="F299" s="1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947"/>
      <c r="D300" s="947"/>
      <c r="E300" s="947"/>
      <c r="F300" s="1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947"/>
      <c r="D301" s="947"/>
      <c r="E301" s="947"/>
      <c r="F301" s="1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947"/>
      <c r="D302" s="947"/>
      <c r="E302" s="947"/>
      <c r="F302" s="1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947"/>
      <c r="D303" s="947"/>
      <c r="E303" s="947"/>
      <c r="F303" s="1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947"/>
      <c r="D304" s="947"/>
      <c r="E304" s="947"/>
      <c r="F304" s="1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947"/>
      <c r="D305" s="947"/>
      <c r="E305" s="947"/>
      <c r="F305" s="1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947"/>
      <c r="D306" s="947"/>
      <c r="E306" s="947"/>
      <c r="F306" s="1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947"/>
      <c r="D307" s="947"/>
      <c r="E307" s="947"/>
      <c r="F307" s="1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947"/>
      <c r="D308" s="947"/>
      <c r="E308" s="947"/>
      <c r="F308" s="1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947"/>
      <c r="D309" s="947"/>
      <c r="E309" s="947"/>
      <c r="F309" s="1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947"/>
      <c r="D310" s="947"/>
      <c r="E310" s="947"/>
      <c r="F310" s="1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947"/>
      <c r="D311" s="947"/>
      <c r="E311" s="947"/>
      <c r="F311" s="1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947"/>
      <c r="D312" s="947"/>
      <c r="E312" s="947"/>
      <c r="F312" s="1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947"/>
      <c r="D313" s="947"/>
      <c r="E313" s="947"/>
      <c r="F313" s="1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947"/>
      <c r="D314" s="947"/>
      <c r="E314" s="947"/>
      <c r="F314" s="1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947"/>
      <c r="D315" s="947"/>
      <c r="E315" s="947"/>
      <c r="F315" s="1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947"/>
      <c r="D316" s="947"/>
      <c r="E316" s="947"/>
      <c r="F316" s="1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947"/>
      <c r="D317" s="947"/>
      <c r="E317" s="947"/>
      <c r="F317" s="1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947"/>
      <c r="D318" s="947"/>
      <c r="E318" s="947"/>
      <c r="F318" s="1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947"/>
      <c r="D319" s="947"/>
      <c r="E319" s="947"/>
      <c r="F319" s="1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947"/>
      <c r="D320" s="947"/>
      <c r="E320" s="947"/>
      <c r="F320" s="1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947"/>
      <c r="D321" s="947"/>
      <c r="E321" s="947"/>
      <c r="F321" s="1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947"/>
      <c r="D322" s="947"/>
      <c r="E322" s="947"/>
      <c r="F322" s="1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947"/>
      <c r="D323" s="947"/>
      <c r="E323" s="947"/>
      <c r="F323" s="1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947"/>
      <c r="D324" s="947"/>
      <c r="E324" s="947"/>
      <c r="F324" s="1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947"/>
      <c r="D325" s="947"/>
      <c r="E325" s="947"/>
      <c r="F325" s="1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947"/>
      <c r="D326" s="947"/>
      <c r="E326" s="947"/>
      <c r="F326" s="1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947"/>
      <c r="D327" s="947"/>
      <c r="E327" s="947"/>
      <c r="F327" s="1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947"/>
      <c r="D328" s="947"/>
      <c r="E328" s="947"/>
      <c r="F328" s="1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947"/>
      <c r="D329" s="947"/>
      <c r="E329" s="947"/>
      <c r="F329" s="1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947"/>
      <c r="D330" s="947"/>
      <c r="E330" s="947"/>
      <c r="F330" s="1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947"/>
      <c r="D331" s="947"/>
      <c r="E331" s="947"/>
      <c r="F331" s="1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947"/>
      <c r="D332" s="947"/>
      <c r="E332" s="947"/>
      <c r="F332" s="1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947"/>
      <c r="D333" s="947"/>
      <c r="E333" s="947"/>
      <c r="F333" s="1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947"/>
      <c r="D334" s="947"/>
      <c r="E334" s="947"/>
      <c r="F334" s="1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947"/>
      <c r="D335" s="947"/>
      <c r="E335" s="947"/>
      <c r="F335" s="1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947"/>
      <c r="D336" s="947"/>
      <c r="E336" s="947"/>
      <c r="F336" s="1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947"/>
      <c r="D337" s="947"/>
      <c r="E337" s="947"/>
      <c r="F337" s="1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947"/>
      <c r="D338" s="947"/>
      <c r="E338" s="947"/>
      <c r="F338" s="1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947"/>
      <c r="D339" s="947"/>
      <c r="E339" s="947"/>
      <c r="F339" s="1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947"/>
      <c r="D340" s="947"/>
      <c r="E340" s="947"/>
      <c r="F340" s="1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947"/>
      <c r="D341" s="947"/>
      <c r="E341" s="947"/>
      <c r="F341" s="1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947"/>
      <c r="D342" s="947"/>
      <c r="E342" s="947"/>
      <c r="F342" s="1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947"/>
      <c r="D343" s="947"/>
      <c r="E343" s="947"/>
      <c r="F343" s="1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947"/>
      <c r="D344" s="947"/>
      <c r="E344" s="947"/>
      <c r="F344" s="1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947"/>
      <c r="D345" s="947"/>
      <c r="E345" s="947"/>
      <c r="F345" s="1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947"/>
      <c r="D346" s="947"/>
      <c r="E346" s="947"/>
      <c r="F346" s="1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947"/>
      <c r="D347" s="947"/>
      <c r="E347" s="947"/>
      <c r="F347" s="1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947"/>
      <c r="D348" s="947"/>
      <c r="E348" s="947"/>
      <c r="F348" s="1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947"/>
      <c r="D349" s="947"/>
      <c r="E349" s="947"/>
      <c r="F349" s="1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947"/>
      <c r="D350" s="947"/>
      <c r="E350" s="947"/>
      <c r="F350" s="1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947"/>
      <c r="D351" s="947"/>
      <c r="E351" s="947"/>
      <c r="F351" s="1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947"/>
      <c r="D352" s="947"/>
      <c r="E352" s="947"/>
      <c r="F352" s="1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947"/>
      <c r="D353" s="947"/>
      <c r="E353" s="947"/>
      <c r="F353" s="1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947"/>
      <c r="D354" s="947"/>
      <c r="E354" s="947"/>
      <c r="F354" s="1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947"/>
      <c r="D355" s="947"/>
      <c r="E355" s="947"/>
      <c r="F355" s="1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947"/>
      <c r="D356" s="947"/>
      <c r="E356" s="947"/>
      <c r="F356" s="1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947"/>
      <c r="D357" s="947"/>
      <c r="E357" s="947"/>
      <c r="F357" s="1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947"/>
      <c r="D358" s="947"/>
      <c r="E358" s="947"/>
      <c r="F358" s="1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947"/>
      <c r="D359" s="947"/>
      <c r="E359" s="947"/>
      <c r="F359" s="1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947"/>
      <c r="D360" s="947"/>
      <c r="E360" s="947"/>
      <c r="F360" s="1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947"/>
      <c r="D361" s="947"/>
      <c r="E361" s="947"/>
      <c r="F361" s="1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947"/>
      <c r="D362" s="947"/>
      <c r="E362" s="947"/>
      <c r="F362" s="1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947"/>
      <c r="D363" s="947"/>
      <c r="E363" s="947"/>
      <c r="F363" s="1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947"/>
      <c r="D364" s="947"/>
      <c r="E364" s="947"/>
      <c r="F364" s="1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947"/>
      <c r="D365" s="947"/>
      <c r="E365" s="947"/>
      <c r="F365" s="1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947"/>
      <c r="D366" s="947"/>
      <c r="E366" s="947"/>
      <c r="F366" s="1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947"/>
      <c r="D367" s="947"/>
      <c r="E367" s="947"/>
      <c r="F367" s="1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947"/>
      <c r="D368" s="947"/>
      <c r="E368" s="947"/>
      <c r="F368" s="1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947"/>
      <c r="D369" s="947"/>
      <c r="E369" s="947"/>
      <c r="F369" s="1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947"/>
      <c r="D370" s="947"/>
      <c r="E370" s="947"/>
      <c r="F370" s="1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947"/>
      <c r="D371" s="947"/>
      <c r="E371" s="947"/>
      <c r="F371" s="1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947"/>
      <c r="D372" s="947"/>
      <c r="E372" s="947"/>
      <c r="F372" s="1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947"/>
      <c r="D373" s="947"/>
      <c r="E373" s="947"/>
      <c r="F373" s="1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947"/>
      <c r="D374" s="947"/>
      <c r="E374" s="947"/>
      <c r="F374" s="1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947"/>
      <c r="D375" s="947"/>
      <c r="E375" s="947"/>
      <c r="F375" s="1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947"/>
      <c r="D376" s="947"/>
      <c r="E376" s="947"/>
      <c r="F376" s="1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947"/>
      <c r="D377" s="947"/>
      <c r="E377" s="947"/>
      <c r="F377" s="1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947"/>
      <c r="D378" s="947"/>
      <c r="E378" s="947"/>
      <c r="F378" s="1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947"/>
      <c r="D379" s="947"/>
      <c r="E379" s="947"/>
      <c r="F379" s="1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947"/>
      <c r="D380" s="947"/>
      <c r="E380" s="947"/>
      <c r="F380" s="1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947"/>
      <c r="D381" s="947"/>
      <c r="E381" s="947"/>
      <c r="F381" s="1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947"/>
      <c r="D382" s="947"/>
      <c r="E382" s="947"/>
      <c r="F382" s="1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947"/>
      <c r="D383" s="947"/>
      <c r="E383" s="947"/>
      <c r="F383" s="1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947"/>
      <c r="D384" s="947"/>
      <c r="E384" s="947"/>
      <c r="F384" s="1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947"/>
      <c r="D385" s="947"/>
      <c r="E385" s="947"/>
      <c r="F385" s="1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947"/>
      <c r="D386" s="947"/>
      <c r="E386" s="947"/>
      <c r="F386" s="1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947"/>
      <c r="D387" s="947"/>
      <c r="E387" s="947"/>
      <c r="F387" s="1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947"/>
      <c r="D388" s="947"/>
      <c r="E388" s="947"/>
      <c r="F388" s="1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947"/>
      <c r="D389" s="947"/>
      <c r="E389" s="947"/>
      <c r="F389" s="1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947"/>
      <c r="D390" s="947"/>
      <c r="E390" s="947"/>
      <c r="F390" s="1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947"/>
      <c r="D391" s="947"/>
      <c r="E391" s="947"/>
      <c r="F391" s="1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947"/>
      <c r="D392" s="947"/>
      <c r="E392" s="947"/>
      <c r="F392" s="1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947"/>
      <c r="D393" s="947"/>
      <c r="E393" s="947"/>
      <c r="F393" s="1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947"/>
      <c r="D394" s="947"/>
      <c r="E394" s="947"/>
      <c r="F394" s="1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947"/>
      <c r="D395" s="947"/>
      <c r="E395" s="947"/>
      <c r="F395" s="1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947"/>
      <c r="D396" s="947"/>
      <c r="E396" s="947"/>
      <c r="F396" s="1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947"/>
      <c r="D397" s="947"/>
      <c r="E397" s="947"/>
      <c r="F397" s="1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947"/>
      <c r="D398" s="947"/>
      <c r="E398" s="947"/>
      <c r="F398" s="1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947"/>
      <c r="D399" s="947"/>
      <c r="E399" s="947"/>
      <c r="F399" s="1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947"/>
      <c r="D400" s="947"/>
      <c r="E400" s="947"/>
      <c r="F400" s="1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947"/>
      <c r="D401" s="947"/>
      <c r="E401" s="947"/>
      <c r="F401" s="1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947"/>
      <c r="D402" s="947"/>
      <c r="E402" s="947"/>
      <c r="F402" s="1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947"/>
      <c r="D403" s="947"/>
      <c r="E403" s="947"/>
      <c r="F403" s="1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947"/>
      <c r="D404" s="947"/>
      <c r="E404" s="947"/>
      <c r="F404" s="1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947"/>
      <c r="D405" s="947"/>
      <c r="E405" s="947"/>
      <c r="F405" s="1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947"/>
      <c r="D406" s="947"/>
      <c r="E406" s="947"/>
      <c r="F406" s="1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947"/>
      <c r="D407" s="947"/>
      <c r="E407" s="947"/>
      <c r="F407" s="1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947"/>
      <c r="D408" s="947"/>
      <c r="E408" s="947"/>
      <c r="F408" s="1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947"/>
      <c r="D409" s="947"/>
      <c r="E409" s="947"/>
      <c r="F409" s="1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947"/>
      <c r="D410" s="947"/>
      <c r="E410" s="947"/>
      <c r="F410" s="1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947"/>
      <c r="D411" s="947"/>
      <c r="E411" s="947"/>
      <c r="F411" s="1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947"/>
      <c r="D412" s="947"/>
      <c r="E412" s="947"/>
      <c r="F412" s="1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947"/>
      <c r="D413" s="947"/>
      <c r="E413" s="947"/>
      <c r="F413" s="1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947"/>
      <c r="D414" s="947"/>
      <c r="E414" s="947"/>
      <c r="F414" s="1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947"/>
      <c r="D415" s="947"/>
      <c r="E415" s="947"/>
      <c r="F415" s="1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947"/>
      <c r="D416" s="947"/>
      <c r="E416" s="947"/>
      <c r="F416" s="1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947"/>
      <c r="D417" s="947"/>
      <c r="E417" s="947"/>
      <c r="F417" s="1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947"/>
      <c r="D418" s="947"/>
      <c r="E418" s="947"/>
      <c r="F418" s="1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947"/>
      <c r="D419" s="947"/>
      <c r="E419" s="947"/>
      <c r="F419" s="1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947"/>
      <c r="D420" s="947"/>
      <c r="E420" s="947"/>
      <c r="F420" s="1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947"/>
      <c r="D421" s="947"/>
      <c r="E421" s="947"/>
      <c r="F421" s="1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947"/>
      <c r="D422" s="947"/>
      <c r="E422" s="947"/>
      <c r="F422" s="1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947"/>
      <c r="D423" s="947"/>
      <c r="E423" s="947"/>
      <c r="F423" s="1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947"/>
      <c r="D424" s="947"/>
      <c r="E424" s="947"/>
      <c r="F424" s="1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947"/>
      <c r="D425" s="947"/>
      <c r="E425" s="947"/>
      <c r="F425" s="1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947"/>
      <c r="D426" s="947"/>
      <c r="E426" s="947"/>
      <c r="F426" s="1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947"/>
      <c r="D427" s="947"/>
      <c r="E427" s="947"/>
      <c r="F427" s="1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947"/>
      <c r="D428" s="947"/>
      <c r="E428" s="947"/>
      <c r="F428" s="1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947"/>
      <c r="D429" s="947"/>
      <c r="E429" s="947"/>
      <c r="F429" s="1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947"/>
      <c r="D430" s="947"/>
      <c r="E430" s="947"/>
      <c r="F430" s="1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947"/>
      <c r="D431" s="947"/>
      <c r="E431" s="947"/>
      <c r="F431" s="1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947"/>
      <c r="D432" s="947"/>
      <c r="E432" s="947"/>
      <c r="F432" s="1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947"/>
      <c r="D433" s="947"/>
      <c r="E433" s="947"/>
      <c r="F433" s="1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947"/>
      <c r="D434" s="947"/>
      <c r="E434" s="947"/>
      <c r="F434" s="1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947"/>
      <c r="D435" s="947"/>
      <c r="E435" s="947"/>
      <c r="F435" s="1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947"/>
      <c r="D436" s="947"/>
      <c r="E436" s="947"/>
      <c r="F436" s="1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947"/>
      <c r="D437" s="947"/>
      <c r="E437" s="947"/>
      <c r="F437" s="1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947"/>
      <c r="D438" s="947"/>
      <c r="E438" s="947"/>
      <c r="F438" s="1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947"/>
      <c r="D439" s="947"/>
      <c r="E439" s="947"/>
      <c r="F439" s="1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947"/>
      <c r="D440" s="947"/>
      <c r="E440" s="947"/>
      <c r="F440" s="1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947"/>
      <c r="D441" s="947"/>
      <c r="E441" s="947"/>
      <c r="F441" s="1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947"/>
      <c r="D442" s="947"/>
      <c r="E442" s="947"/>
      <c r="F442" s="1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947"/>
      <c r="D443" s="947"/>
      <c r="E443" s="947"/>
      <c r="F443" s="1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947"/>
      <c r="D444" s="947"/>
      <c r="E444" s="947"/>
      <c r="F444" s="1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947"/>
      <c r="D445" s="947"/>
      <c r="E445" s="947"/>
      <c r="F445" s="1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947"/>
      <c r="D446" s="947"/>
      <c r="E446" s="947"/>
      <c r="F446" s="1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947"/>
      <c r="D447" s="947"/>
      <c r="E447" s="947"/>
      <c r="F447" s="1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947"/>
      <c r="D448" s="947"/>
      <c r="E448" s="947"/>
      <c r="F448" s="1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947"/>
      <c r="D449" s="947"/>
      <c r="E449" s="947"/>
      <c r="F449" s="1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947"/>
      <c r="D450" s="947"/>
      <c r="E450" s="947"/>
      <c r="F450" s="1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947"/>
      <c r="D451" s="947"/>
      <c r="E451" s="947"/>
      <c r="F451" s="1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947"/>
      <c r="D452" s="947"/>
      <c r="E452" s="947"/>
      <c r="F452" s="1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947"/>
      <c r="D453" s="947"/>
      <c r="E453" s="947"/>
      <c r="F453" s="1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947"/>
      <c r="D454" s="947"/>
      <c r="E454" s="947"/>
      <c r="F454" s="1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947"/>
      <c r="D455" s="947"/>
      <c r="E455" s="947"/>
      <c r="F455" s="1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947"/>
      <c r="D456" s="947"/>
      <c r="E456" s="947"/>
      <c r="F456" s="1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947"/>
      <c r="D457" s="947"/>
      <c r="E457" s="947"/>
      <c r="F457" s="1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947"/>
      <c r="D458" s="947"/>
      <c r="E458" s="947"/>
      <c r="F458" s="1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947"/>
      <c r="D459" s="947"/>
      <c r="E459" s="947"/>
      <c r="F459" s="1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947"/>
      <c r="D460" s="947"/>
      <c r="E460" s="947"/>
      <c r="F460" s="1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947"/>
      <c r="D461" s="947"/>
      <c r="E461" s="947"/>
      <c r="F461" s="1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947"/>
      <c r="D462" s="947"/>
      <c r="E462" s="947"/>
      <c r="F462" s="1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947"/>
      <c r="D463" s="947"/>
      <c r="E463" s="947"/>
      <c r="F463" s="1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947"/>
      <c r="D464" s="947"/>
      <c r="E464" s="947"/>
      <c r="F464" s="1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947"/>
      <c r="D465" s="947"/>
      <c r="E465" s="947"/>
      <c r="F465" s="1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947"/>
      <c r="D466" s="947"/>
      <c r="E466" s="947"/>
      <c r="F466" s="1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947"/>
      <c r="D467" s="947"/>
      <c r="E467" s="947"/>
      <c r="F467" s="1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947"/>
      <c r="D468" s="947"/>
      <c r="E468" s="947"/>
      <c r="F468" s="1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947"/>
      <c r="D469" s="947"/>
      <c r="E469" s="947"/>
      <c r="F469" s="1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947"/>
      <c r="D470" s="947"/>
      <c r="E470" s="947"/>
      <c r="F470" s="1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947"/>
      <c r="D471" s="947"/>
      <c r="E471" s="947"/>
      <c r="F471" s="1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947"/>
      <c r="D472" s="947"/>
      <c r="E472" s="947"/>
      <c r="F472" s="1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947"/>
      <c r="D473" s="947"/>
      <c r="E473" s="947"/>
      <c r="F473" s="1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947"/>
      <c r="D474" s="947"/>
      <c r="E474" s="947"/>
      <c r="F474" s="1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947"/>
      <c r="D475" s="947"/>
      <c r="E475" s="947"/>
      <c r="F475" s="1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947"/>
      <c r="D476" s="947"/>
      <c r="E476" s="947"/>
      <c r="F476" s="1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947"/>
      <c r="D477" s="947"/>
      <c r="E477" s="947"/>
      <c r="F477" s="1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947"/>
      <c r="D478" s="947"/>
      <c r="E478" s="947"/>
      <c r="F478" s="1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947"/>
      <c r="D479" s="947"/>
      <c r="E479" s="947"/>
      <c r="F479" s="1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947"/>
      <c r="D480" s="947"/>
      <c r="E480" s="947"/>
      <c r="F480" s="1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947"/>
      <c r="D481" s="947"/>
      <c r="E481" s="947"/>
      <c r="F481" s="1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947"/>
      <c r="D482" s="947"/>
      <c r="E482" s="947"/>
      <c r="F482" s="1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947"/>
      <c r="D483" s="947"/>
      <c r="E483" s="947"/>
      <c r="F483" s="1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947"/>
      <c r="D484" s="947"/>
      <c r="E484" s="947"/>
      <c r="F484" s="1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947"/>
      <c r="D485" s="947"/>
      <c r="E485" s="947"/>
      <c r="F485" s="1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947"/>
      <c r="D486" s="947"/>
      <c r="E486" s="947"/>
      <c r="F486" s="1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947"/>
      <c r="D487" s="947"/>
      <c r="E487" s="947"/>
      <c r="F487" s="1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947"/>
      <c r="D488" s="947"/>
      <c r="E488" s="947"/>
      <c r="F488" s="1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947"/>
      <c r="D489" s="947"/>
      <c r="E489" s="947"/>
      <c r="F489" s="1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947"/>
      <c r="D490" s="947"/>
      <c r="E490" s="947"/>
      <c r="F490" s="1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947"/>
      <c r="D491" s="947"/>
      <c r="E491" s="947"/>
      <c r="F491" s="1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947"/>
      <c r="D492" s="947"/>
      <c r="E492" s="947"/>
      <c r="F492" s="1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947"/>
      <c r="D493" s="947"/>
      <c r="E493" s="947"/>
      <c r="F493" s="1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947"/>
      <c r="D494" s="947"/>
      <c r="E494" s="947"/>
      <c r="F494" s="1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947"/>
      <c r="D495" s="947"/>
      <c r="E495" s="947"/>
      <c r="F495" s="1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947"/>
      <c r="D496" s="947"/>
      <c r="E496" s="947"/>
      <c r="F496" s="1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947"/>
      <c r="D497" s="947"/>
      <c r="E497" s="947"/>
      <c r="F497" s="1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947"/>
      <c r="D498" s="947"/>
      <c r="E498" s="947"/>
      <c r="F498" s="1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947"/>
      <c r="D499" s="947"/>
      <c r="E499" s="947"/>
      <c r="F499" s="1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947"/>
      <c r="D500" s="947"/>
      <c r="E500" s="947"/>
      <c r="F500" s="1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947"/>
      <c r="D501" s="947"/>
      <c r="E501" s="947"/>
      <c r="F501" s="1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947"/>
      <c r="D502" s="947"/>
      <c r="E502" s="947"/>
      <c r="F502" s="1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947"/>
      <c r="D503" s="947"/>
      <c r="E503" s="947"/>
      <c r="F503" s="1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947"/>
      <c r="D504" s="947"/>
      <c r="E504" s="947"/>
      <c r="F504" s="1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947"/>
      <c r="D505" s="947"/>
      <c r="E505" s="947"/>
      <c r="F505" s="1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947"/>
      <c r="D506" s="947"/>
      <c r="E506" s="947"/>
      <c r="F506" s="1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947"/>
      <c r="D507" s="947"/>
      <c r="E507" s="947"/>
      <c r="F507" s="1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947"/>
      <c r="D508" s="947"/>
      <c r="E508" s="947"/>
      <c r="F508" s="1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947"/>
      <c r="D509" s="947"/>
      <c r="E509" s="947"/>
      <c r="F509" s="1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947"/>
      <c r="D510" s="947"/>
      <c r="E510" s="947"/>
      <c r="F510" s="1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947"/>
      <c r="D511" s="947"/>
      <c r="E511" s="947"/>
      <c r="F511" s="1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947"/>
      <c r="D512" s="947"/>
      <c r="E512" s="947"/>
      <c r="F512" s="1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947"/>
      <c r="D513" s="947"/>
      <c r="E513" s="947"/>
      <c r="F513" s="1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947"/>
      <c r="D514" s="947"/>
      <c r="E514" s="947"/>
      <c r="F514" s="1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947"/>
      <c r="D515" s="947"/>
      <c r="E515" s="947"/>
      <c r="F515" s="1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947"/>
      <c r="D516" s="947"/>
      <c r="E516" s="947"/>
      <c r="F516" s="1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947"/>
      <c r="D517" s="947"/>
      <c r="E517" s="947"/>
      <c r="F517" s="1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947"/>
      <c r="D518" s="947"/>
      <c r="E518" s="947"/>
      <c r="F518" s="1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947"/>
      <c r="D519" s="947"/>
      <c r="E519" s="947"/>
      <c r="F519" s="1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947"/>
      <c r="D520" s="947"/>
      <c r="E520" s="947"/>
      <c r="F520" s="1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947"/>
      <c r="D521" s="947"/>
      <c r="E521" s="947"/>
      <c r="F521" s="1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947"/>
      <c r="D522" s="947"/>
      <c r="E522" s="947"/>
      <c r="F522" s="1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947"/>
      <c r="D523" s="947"/>
      <c r="E523" s="947"/>
      <c r="F523" s="1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947"/>
      <c r="D524" s="947"/>
      <c r="E524" s="947"/>
      <c r="F524" s="1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947"/>
      <c r="D525" s="947"/>
      <c r="E525" s="947"/>
      <c r="F525" s="1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947"/>
      <c r="D526" s="947"/>
      <c r="E526" s="947"/>
      <c r="F526" s="1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947"/>
      <c r="D527" s="947"/>
      <c r="E527" s="947"/>
      <c r="F527" s="1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947"/>
      <c r="D528" s="947"/>
      <c r="E528" s="947"/>
      <c r="F528" s="1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947"/>
      <c r="D529" s="947"/>
      <c r="E529" s="947"/>
      <c r="F529" s="1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947"/>
      <c r="D530" s="947"/>
      <c r="E530" s="947"/>
      <c r="F530" s="1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947"/>
      <c r="D531" s="947"/>
      <c r="E531" s="947"/>
      <c r="F531" s="1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947"/>
      <c r="D532" s="947"/>
      <c r="E532" s="947"/>
      <c r="F532" s="1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947"/>
      <c r="D533" s="947"/>
      <c r="E533" s="947"/>
      <c r="F533" s="1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947"/>
      <c r="D534" s="947"/>
      <c r="E534" s="947"/>
      <c r="F534" s="1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947"/>
      <c r="D535" s="947"/>
      <c r="E535" s="947"/>
      <c r="F535" s="1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947"/>
      <c r="D536" s="947"/>
      <c r="E536" s="947"/>
      <c r="F536" s="1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947"/>
      <c r="D537" s="947"/>
      <c r="E537" s="947"/>
      <c r="F537" s="1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947"/>
      <c r="D538" s="947"/>
      <c r="E538" s="947"/>
      <c r="F538" s="1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947"/>
      <c r="D539" s="947"/>
      <c r="E539" s="947"/>
      <c r="F539" s="1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947"/>
      <c r="D540" s="947"/>
      <c r="E540" s="947"/>
      <c r="F540" s="1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947"/>
      <c r="D541" s="947"/>
      <c r="E541" s="947"/>
      <c r="F541" s="1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947"/>
      <c r="D542" s="947"/>
      <c r="E542" s="947"/>
      <c r="F542" s="1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947"/>
      <c r="D543" s="947"/>
      <c r="E543" s="947"/>
      <c r="F543" s="1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947"/>
      <c r="D544" s="947"/>
      <c r="E544" s="947"/>
      <c r="F544" s="1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947"/>
      <c r="D545" s="947"/>
      <c r="E545" s="947"/>
      <c r="F545" s="1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947"/>
      <c r="D546" s="947"/>
      <c r="E546" s="947"/>
      <c r="F546" s="1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947"/>
      <c r="D547" s="947"/>
      <c r="E547" s="947"/>
      <c r="F547" s="1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947"/>
      <c r="D548" s="947"/>
      <c r="E548" s="947"/>
      <c r="F548" s="1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947"/>
      <c r="D549" s="947"/>
      <c r="E549" s="947"/>
      <c r="F549" s="1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947"/>
      <c r="D550" s="947"/>
      <c r="E550" s="947"/>
      <c r="F550" s="1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947"/>
      <c r="D551" s="947"/>
      <c r="E551" s="947"/>
      <c r="F551" s="1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947"/>
      <c r="D552" s="947"/>
      <c r="E552" s="947"/>
      <c r="F552" s="1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947"/>
      <c r="D553" s="947"/>
      <c r="E553" s="947"/>
      <c r="F553" s="1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947"/>
      <c r="D554" s="947"/>
      <c r="E554" s="947"/>
      <c r="F554" s="1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947"/>
      <c r="D555" s="947"/>
      <c r="E555" s="947"/>
      <c r="F555" s="1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947"/>
      <c r="D556" s="947"/>
      <c r="E556" s="947"/>
      <c r="F556" s="1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947"/>
      <c r="D557" s="947"/>
      <c r="E557" s="947"/>
      <c r="F557" s="1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947"/>
      <c r="D558" s="947"/>
      <c r="E558" s="947"/>
      <c r="F558" s="1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947"/>
      <c r="D559" s="947"/>
      <c r="E559" s="947"/>
      <c r="F559" s="1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947"/>
      <c r="D560" s="947"/>
      <c r="E560" s="947"/>
      <c r="F560" s="1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947"/>
      <c r="D561" s="947"/>
      <c r="E561" s="947"/>
      <c r="F561" s="1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947"/>
      <c r="D562" s="947"/>
      <c r="E562" s="947"/>
      <c r="F562" s="1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947"/>
      <c r="D563" s="947"/>
      <c r="E563" s="947"/>
      <c r="F563" s="1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947"/>
      <c r="D564" s="947"/>
      <c r="E564" s="947"/>
      <c r="F564" s="1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947"/>
      <c r="D565" s="947"/>
      <c r="E565" s="947"/>
      <c r="F565" s="1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947"/>
      <c r="D566" s="947"/>
      <c r="E566" s="947"/>
      <c r="F566" s="1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947"/>
      <c r="D567" s="947"/>
      <c r="E567" s="947"/>
      <c r="F567" s="1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947"/>
      <c r="D568" s="947"/>
      <c r="E568" s="947"/>
      <c r="F568" s="1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947"/>
      <c r="D569" s="947"/>
      <c r="E569" s="947"/>
      <c r="F569" s="1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947"/>
      <c r="D570" s="947"/>
      <c r="E570" s="947"/>
      <c r="F570" s="1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947"/>
      <c r="D571" s="947"/>
      <c r="E571" s="947"/>
      <c r="F571" s="1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947"/>
      <c r="D572" s="947"/>
      <c r="E572" s="947"/>
      <c r="F572" s="1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947"/>
      <c r="D573" s="947"/>
      <c r="E573" s="947"/>
      <c r="F573" s="1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947"/>
      <c r="D574" s="947"/>
      <c r="E574" s="947"/>
      <c r="F574" s="1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947"/>
      <c r="D575" s="947"/>
      <c r="E575" s="947"/>
      <c r="F575" s="1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947"/>
      <c r="D576" s="947"/>
      <c r="E576" s="947"/>
      <c r="F576" s="1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947"/>
      <c r="D577" s="947"/>
      <c r="E577" s="947"/>
      <c r="F577" s="1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947"/>
      <c r="D578" s="947"/>
      <c r="E578" s="947"/>
      <c r="F578" s="1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947"/>
      <c r="D579" s="947"/>
      <c r="E579" s="947"/>
      <c r="F579" s="1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947"/>
      <c r="D580" s="947"/>
      <c r="E580" s="947"/>
      <c r="F580" s="1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947"/>
      <c r="D581" s="947"/>
      <c r="E581" s="947"/>
      <c r="F581" s="1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947"/>
      <c r="D582" s="947"/>
      <c r="E582" s="947"/>
      <c r="F582" s="1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947"/>
      <c r="D583" s="947"/>
      <c r="E583" s="947"/>
      <c r="F583" s="1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947"/>
      <c r="D584" s="947"/>
      <c r="E584" s="947"/>
      <c r="F584" s="1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947"/>
      <c r="D585" s="947"/>
      <c r="E585" s="947"/>
      <c r="F585" s="1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947"/>
      <c r="D586" s="947"/>
      <c r="E586" s="947"/>
      <c r="F586" s="1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947"/>
      <c r="D587" s="947"/>
      <c r="E587" s="947"/>
      <c r="F587" s="1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947"/>
      <c r="D588" s="947"/>
      <c r="E588" s="947"/>
      <c r="F588" s="1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947"/>
      <c r="D589" s="947"/>
      <c r="E589" s="947"/>
      <c r="F589" s="1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947"/>
      <c r="D590" s="947"/>
      <c r="E590" s="947"/>
      <c r="F590" s="1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947"/>
      <c r="D591" s="947"/>
      <c r="E591" s="947"/>
      <c r="F591" s="1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947"/>
      <c r="D592" s="947"/>
      <c r="E592" s="947"/>
      <c r="F592" s="1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947"/>
      <c r="D593" s="947"/>
      <c r="E593" s="947"/>
      <c r="F593" s="1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947"/>
      <c r="D594" s="947"/>
      <c r="E594" s="947"/>
      <c r="F594" s="1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947"/>
      <c r="D595" s="947"/>
      <c r="E595" s="947"/>
      <c r="F595" s="1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947"/>
      <c r="D596" s="947"/>
      <c r="E596" s="947"/>
      <c r="F596" s="1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947"/>
      <c r="D597" s="947"/>
      <c r="E597" s="947"/>
      <c r="F597" s="1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947"/>
      <c r="D598" s="947"/>
      <c r="E598" s="947"/>
      <c r="F598" s="1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947"/>
      <c r="D599" s="947"/>
      <c r="E599" s="947"/>
      <c r="F599" s="1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947"/>
      <c r="D600" s="947"/>
      <c r="E600" s="947"/>
      <c r="F600" s="1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947"/>
      <c r="D601" s="947"/>
      <c r="E601" s="947"/>
      <c r="F601" s="1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947"/>
      <c r="D602" s="947"/>
      <c r="E602" s="947"/>
      <c r="F602" s="1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947"/>
      <c r="D603" s="947"/>
      <c r="E603" s="947"/>
      <c r="F603" s="1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947"/>
      <c r="D604" s="947"/>
      <c r="E604" s="947"/>
      <c r="F604" s="1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947"/>
      <c r="D605" s="947"/>
      <c r="E605" s="947"/>
      <c r="F605" s="1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947"/>
      <c r="D606" s="947"/>
      <c r="E606" s="947"/>
      <c r="F606" s="1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947"/>
      <c r="D607" s="947"/>
      <c r="E607" s="947"/>
      <c r="F607" s="1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947"/>
      <c r="D608" s="947"/>
      <c r="E608" s="947"/>
      <c r="F608" s="1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947"/>
      <c r="D609" s="947"/>
      <c r="E609" s="947"/>
      <c r="F609" s="1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947"/>
      <c r="D610" s="947"/>
      <c r="E610" s="947"/>
      <c r="F610" s="1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947"/>
      <c r="D611" s="947"/>
      <c r="E611" s="947"/>
      <c r="F611" s="1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947"/>
      <c r="D612" s="947"/>
      <c r="E612" s="947"/>
      <c r="F612" s="1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947"/>
      <c r="D613" s="947"/>
      <c r="E613" s="947"/>
      <c r="F613" s="1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947"/>
      <c r="D614" s="947"/>
      <c r="E614" s="947"/>
      <c r="F614" s="1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947"/>
      <c r="D615" s="947"/>
      <c r="E615" s="947"/>
      <c r="F615" s="1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947"/>
      <c r="D616" s="947"/>
      <c r="E616" s="947"/>
      <c r="F616" s="1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947"/>
      <c r="D617" s="947"/>
      <c r="E617" s="947"/>
      <c r="F617" s="1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947"/>
      <c r="D618" s="947"/>
      <c r="E618" s="947"/>
      <c r="F618" s="1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947"/>
      <c r="D619" s="947"/>
      <c r="E619" s="947"/>
      <c r="F619" s="1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947"/>
      <c r="D620" s="947"/>
      <c r="E620" s="947"/>
      <c r="F620" s="1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947"/>
      <c r="D621" s="947"/>
      <c r="E621" s="947"/>
      <c r="F621" s="1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947"/>
      <c r="D622" s="947"/>
      <c r="E622" s="947"/>
      <c r="F622" s="1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947"/>
      <c r="D623" s="947"/>
      <c r="E623" s="947"/>
      <c r="F623" s="1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947"/>
      <c r="D624" s="947"/>
      <c r="E624" s="947"/>
      <c r="F624" s="1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947"/>
      <c r="D625" s="947"/>
      <c r="E625" s="947"/>
      <c r="F625" s="1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947"/>
      <c r="D626" s="947"/>
      <c r="E626" s="947"/>
      <c r="F626" s="1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947"/>
      <c r="D627" s="947"/>
      <c r="E627" s="947"/>
      <c r="F627" s="1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947"/>
      <c r="D628" s="947"/>
      <c r="E628" s="947"/>
      <c r="F628" s="1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947"/>
      <c r="D629" s="947"/>
      <c r="E629" s="947"/>
      <c r="F629" s="1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947"/>
      <c r="D630" s="947"/>
      <c r="E630" s="947"/>
      <c r="F630" s="1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947"/>
      <c r="D631" s="947"/>
      <c r="E631" s="947"/>
      <c r="F631" s="1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947"/>
      <c r="D632" s="947"/>
      <c r="E632" s="947"/>
      <c r="F632" s="1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947"/>
      <c r="D633" s="947"/>
      <c r="E633" s="947"/>
      <c r="F633" s="1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947"/>
      <c r="D634" s="947"/>
      <c r="E634" s="947"/>
      <c r="F634" s="1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947"/>
      <c r="D635" s="947"/>
      <c r="E635" s="947"/>
      <c r="F635" s="1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947"/>
      <c r="D636" s="947"/>
      <c r="E636" s="947"/>
      <c r="F636" s="1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947"/>
      <c r="D637" s="947"/>
      <c r="E637" s="947"/>
      <c r="F637" s="1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947"/>
      <c r="D638" s="947"/>
      <c r="E638" s="947"/>
      <c r="F638" s="1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947"/>
      <c r="D639" s="947"/>
      <c r="E639" s="947"/>
      <c r="F639" s="1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947"/>
      <c r="D640" s="947"/>
      <c r="E640" s="947"/>
      <c r="F640" s="1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947"/>
      <c r="D641" s="947"/>
      <c r="E641" s="947"/>
      <c r="F641" s="1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947"/>
      <c r="D642" s="947"/>
      <c r="E642" s="947"/>
      <c r="F642" s="1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947"/>
      <c r="D643" s="947"/>
      <c r="E643" s="947"/>
      <c r="F643" s="1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947"/>
      <c r="D644" s="947"/>
      <c r="E644" s="947"/>
      <c r="F644" s="1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947"/>
      <c r="D645" s="947"/>
      <c r="E645" s="947"/>
      <c r="F645" s="1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947"/>
      <c r="D646" s="947"/>
      <c r="E646" s="947"/>
      <c r="F646" s="1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947"/>
      <c r="D647" s="947"/>
      <c r="E647" s="947"/>
      <c r="F647" s="1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947"/>
      <c r="D648" s="947"/>
      <c r="E648" s="947"/>
      <c r="F648" s="1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947"/>
      <c r="D649" s="947"/>
      <c r="E649" s="947"/>
      <c r="F649" s="1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947"/>
      <c r="D650" s="947"/>
      <c r="E650" s="947"/>
      <c r="F650" s="1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947"/>
      <c r="D651" s="947"/>
      <c r="E651" s="947"/>
      <c r="F651" s="1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947"/>
      <c r="D652" s="947"/>
      <c r="E652" s="947"/>
      <c r="F652" s="1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947"/>
      <c r="D653" s="947"/>
      <c r="E653" s="947"/>
      <c r="F653" s="1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947"/>
      <c r="D654" s="947"/>
      <c r="E654" s="947"/>
      <c r="F654" s="1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947"/>
      <c r="D655" s="947"/>
      <c r="E655" s="947"/>
      <c r="F655" s="1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947"/>
      <c r="D656" s="947"/>
      <c r="E656" s="947"/>
      <c r="F656" s="1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947"/>
      <c r="D657" s="947"/>
      <c r="E657" s="947"/>
      <c r="F657" s="1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947"/>
      <c r="D658" s="947"/>
      <c r="E658" s="947"/>
      <c r="F658" s="1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947"/>
      <c r="D659" s="947"/>
      <c r="E659" s="947"/>
      <c r="F659" s="1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947"/>
      <c r="D660" s="947"/>
      <c r="E660" s="947"/>
      <c r="F660" s="1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947"/>
      <c r="D661" s="947"/>
      <c r="E661" s="947"/>
      <c r="F661" s="1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947"/>
      <c r="D662" s="947"/>
      <c r="E662" s="947"/>
      <c r="F662" s="1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947"/>
      <c r="D663" s="947"/>
      <c r="E663" s="947"/>
      <c r="F663" s="1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947"/>
      <c r="D664" s="947"/>
      <c r="E664" s="947"/>
      <c r="F664" s="1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947"/>
      <c r="D665" s="947"/>
      <c r="E665" s="947"/>
      <c r="F665" s="1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947"/>
      <c r="D666" s="947"/>
      <c r="E666" s="947"/>
      <c r="F666" s="1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947"/>
      <c r="D667" s="947"/>
      <c r="E667" s="947"/>
      <c r="F667" s="1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947"/>
      <c r="D668" s="947"/>
      <c r="E668" s="947"/>
      <c r="F668" s="1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947"/>
      <c r="D669" s="947"/>
      <c r="E669" s="947"/>
      <c r="F669" s="1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947"/>
      <c r="D670" s="947"/>
      <c r="E670" s="947"/>
      <c r="F670" s="1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947"/>
      <c r="D671" s="947"/>
      <c r="E671" s="947"/>
      <c r="F671" s="1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947"/>
      <c r="D672" s="947"/>
      <c r="E672" s="947"/>
      <c r="F672" s="1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947"/>
      <c r="D673" s="947"/>
      <c r="E673" s="947"/>
      <c r="F673" s="1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947"/>
      <c r="D674" s="947"/>
      <c r="E674" s="947"/>
      <c r="F674" s="1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947"/>
      <c r="D675" s="947"/>
      <c r="E675" s="947"/>
      <c r="F675" s="1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947"/>
      <c r="D676" s="947"/>
      <c r="E676" s="947"/>
      <c r="F676" s="1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947"/>
      <c r="D677" s="947"/>
      <c r="E677" s="947"/>
      <c r="F677" s="1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947"/>
      <c r="D678" s="947"/>
      <c r="E678" s="947"/>
      <c r="F678" s="1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947"/>
      <c r="D679" s="947"/>
      <c r="E679" s="947"/>
      <c r="F679" s="1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947"/>
      <c r="D680" s="947"/>
      <c r="E680" s="947"/>
      <c r="F680" s="1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947"/>
      <c r="D681" s="947"/>
      <c r="E681" s="947"/>
      <c r="F681" s="1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947"/>
      <c r="D682" s="947"/>
      <c r="E682" s="947"/>
      <c r="F682" s="1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947"/>
      <c r="D683" s="947"/>
      <c r="E683" s="947"/>
      <c r="F683" s="1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947"/>
      <c r="D684" s="947"/>
      <c r="E684" s="947"/>
      <c r="F684" s="1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947"/>
      <c r="D685" s="947"/>
      <c r="E685" s="947"/>
      <c r="F685" s="1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947"/>
      <c r="D686" s="947"/>
      <c r="E686" s="947"/>
      <c r="F686" s="1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947"/>
      <c r="D687" s="947"/>
      <c r="E687" s="947"/>
      <c r="F687" s="1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947"/>
      <c r="D688" s="947"/>
      <c r="E688" s="947"/>
      <c r="F688" s="1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947"/>
      <c r="D689" s="947"/>
      <c r="E689" s="947"/>
      <c r="F689" s="1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947"/>
      <c r="D690" s="947"/>
      <c r="E690" s="947"/>
      <c r="F690" s="1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947"/>
      <c r="D691" s="947"/>
      <c r="E691" s="947"/>
      <c r="F691" s="1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947"/>
      <c r="D692" s="947"/>
      <c r="E692" s="947"/>
      <c r="F692" s="1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947"/>
      <c r="D693" s="947"/>
      <c r="E693" s="947"/>
      <c r="F693" s="1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947"/>
      <c r="D694" s="947"/>
      <c r="E694" s="947"/>
      <c r="F694" s="1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947"/>
      <c r="D695" s="947"/>
      <c r="E695" s="947"/>
      <c r="F695" s="1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947"/>
      <c r="D696" s="947"/>
      <c r="E696" s="947"/>
      <c r="F696" s="1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947"/>
      <c r="D697" s="947"/>
      <c r="E697" s="947"/>
      <c r="F697" s="1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947"/>
      <c r="D698" s="947"/>
      <c r="E698" s="947"/>
      <c r="F698" s="1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947"/>
      <c r="D699" s="947"/>
      <c r="E699" s="947"/>
      <c r="F699" s="1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947"/>
      <c r="D700" s="947"/>
      <c r="E700" s="947"/>
      <c r="F700" s="1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947"/>
      <c r="D701" s="947"/>
      <c r="E701" s="947"/>
      <c r="F701" s="1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947"/>
      <c r="D702" s="947"/>
      <c r="E702" s="947"/>
      <c r="F702" s="1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947"/>
      <c r="D703" s="947"/>
      <c r="E703" s="947"/>
      <c r="F703" s="1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947"/>
      <c r="D704" s="947"/>
      <c r="E704" s="947"/>
      <c r="F704" s="1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947"/>
      <c r="D705" s="947"/>
      <c r="E705" s="947"/>
      <c r="F705" s="1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947"/>
      <c r="D706" s="947"/>
      <c r="E706" s="947"/>
      <c r="F706" s="1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947"/>
      <c r="D707" s="947"/>
      <c r="E707" s="947"/>
      <c r="F707" s="1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947"/>
      <c r="D708" s="947"/>
      <c r="E708" s="947"/>
      <c r="F708" s="1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947"/>
      <c r="D709" s="947"/>
      <c r="E709" s="947"/>
      <c r="F709" s="1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947"/>
      <c r="D710" s="947"/>
      <c r="E710" s="947"/>
      <c r="F710" s="1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947"/>
      <c r="D711" s="947"/>
      <c r="E711" s="947"/>
      <c r="F711" s="1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947"/>
      <c r="D712" s="947"/>
      <c r="E712" s="947"/>
      <c r="F712" s="1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947"/>
      <c r="D713" s="947"/>
      <c r="E713" s="947"/>
      <c r="F713" s="1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947"/>
      <c r="D714" s="947"/>
      <c r="E714" s="947"/>
      <c r="F714" s="1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947"/>
      <c r="D715" s="947"/>
      <c r="E715" s="947"/>
      <c r="F715" s="1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947"/>
      <c r="D716" s="947"/>
      <c r="E716" s="947"/>
      <c r="F716" s="1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947"/>
      <c r="D717" s="947"/>
      <c r="E717" s="947"/>
      <c r="F717" s="1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947"/>
      <c r="D718" s="947"/>
      <c r="E718" s="947"/>
      <c r="F718" s="1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947"/>
      <c r="D719" s="947"/>
      <c r="E719" s="947"/>
      <c r="F719" s="1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947"/>
      <c r="D720" s="947"/>
      <c r="E720" s="947"/>
      <c r="F720" s="1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947"/>
      <c r="D721" s="947"/>
      <c r="E721" s="947"/>
      <c r="F721" s="1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947"/>
      <c r="D722" s="947"/>
      <c r="E722" s="947"/>
      <c r="F722" s="1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947"/>
      <c r="D723" s="947"/>
      <c r="E723" s="947"/>
      <c r="F723" s="1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947"/>
      <c r="D724" s="947"/>
      <c r="E724" s="947"/>
      <c r="F724" s="1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947"/>
      <c r="D725" s="947"/>
      <c r="E725" s="947"/>
      <c r="F725" s="1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947"/>
      <c r="D726" s="947"/>
      <c r="E726" s="947"/>
      <c r="F726" s="1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947"/>
      <c r="D727" s="947"/>
      <c r="E727" s="947"/>
      <c r="F727" s="1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947"/>
      <c r="D728" s="947"/>
      <c r="E728" s="947"/>
      <c r="F728" s="1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947"/>
      <c r="D729" s="947"/>
      <c r="E729" s="947"/>
      <c r="F729" s="1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947"/>
      <c r="D730" s="947"/>
      <c r="E730" s="947"/>
      <c r="F730" s="1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947"/>
      <c r="D731" s="947"/>
      <c r="E731" s="947"/>
      <c r="F731" s="1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947"/>
      <c r="D732" s="947"/>
      <c r="E732" s="947"/>
      <c r="F732" s="1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947"/>
      <c r="D733" s="947"/>
      <c r="E733" s="947"/>
      <c r="F733" s="1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947"/>
      <c r="D734" s="947"/>
      <c r="E734" s="947"/>
      <c r="F734" s="1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947"/>
      <c r="D735" s="947"/>
      <c r="E735" s="947"/>
      <c r="F735" s="1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947"/>
      <c r="D736" s="947"/>
      <c r="E736" s="947"/>
      <c r="F736" s="1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947"/>
      <c r="D737" s="947"/>
      <c r="E737" s="947"/>
      <c r="F737" s="1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947"/>
      <c r="D738" s="947"/>
      <c r="E738" s="947"/>
      <c r="F738" s="1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947"/>
      <c r="D739" s="947"/>
      <c r="E739" s="947"/>
      <c r="F739" s="1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947"/>
      <c r="D740" s="947"/>
      <c r="E740" s="947"/>
      <c r="F740" s="1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947"/>
      <c r="D741" s="947"/>
      <c r="E741" s="947"/>
      <c r="F741" s="1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947"/>
      <c r="D742" s="947"/>
      <c r="E742" s="947"/>
      <c r="F742" s="1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947"/>
      <c r="D743" s="947"/>
      <c r="E743" s="947"/>
      <c r="F743" s="1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947"/>
      <c r="D744" s="947"/>
      <c r="E744" s="947"/>
      <c r="F744" s="1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947"/>
      <c r="D745" s="947"/>
      <c r="E745" s="947"/>
      <c r="F745" s="1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947"/>
      <c r="D746" s="947"/>
      <c r="E746" s="947"/>
      <c r="F746" s="1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947"/>
      <c r="D747" s="947"/>
      <c r="E747" s="947"/>
      <c r="F747" s="1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947"/>
      <c r="D748" s="947"/>
      <c r="E748" s="947"/>
      <c r="F748" s="1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947"/>
      <c r="D749" s="947"/>
      <c r="E749" s="947"/>
      <c r="F749" s="1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947"/>
      <c r="D750" s="947"/>
      <c r="E750" s="947"/>
      <c r="F750" s="1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947"/>
      <c r="D751" s="947"/>
      <c r="E751" s="947"/>
      <c r="F751" s="1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947"/>
      <c r="D752" s="947"/>
      <c r="E752" s="947"/>
      <c r="F752" s="1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947"/>
      <c r="D753" s="947"/>
      <c r="E753" s="947"/>
      <c r="F753" s="1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947"/>
      <c r="D754" s="947"/>
      <c r="E754" s="947"/>
      <c r="F754" s="1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947"/>
      <c r="D755" s="947"/>
      <c r="E755" s="947"/>
      <c r="F755" s="1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947"/>
      <c r="D756" s="947"/>
      <c r="E756" s="947"/>
      <c r="F756" s="1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947"/>
      <c r="D757" s="947"/>
      <c r="E757" s="947"/>
      <c r="F757" s="1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947"/>
      <c r="D758" s="947"/>
      <c r="E758" s="947"/>
      <c r="F758" s="1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947"/>
      <c r="D759" s="947"/>
      <c r="E759" s="947"/>
      <c r="F759" s="1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947"/>
      <c r="D760" s="947"/>
      <c r="E760" s="947"/>
      <c r="F760" s="1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947"/>
      <c r="D761" s="947"/>
      <c r="E761" s="947"/>
      <c r="F761" s="1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947"/>
      <c r="D762" s="947"/>
      <c r="E762" s="947"/>
      <c r="F762" s="1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947"/>
      <c r="D763" s="947"/>
      <c r="E763" s="947"/>
      <c r="F763" s="1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947"/>
      <c r="D764" s="947"/>
      <c r="E764" s="947"/>
      <c r="F764" s="1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947"/>
      <c r="D765" s="947"/>
      <c r="E765" s="947"/>
      <c r="F765" s="1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947"/>
      <c r="D766" s="947"/>
      <c r="E766" s="947"/>
      <c r="F766" s="1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947"/>
      <c r="D767" s="947"/>
      <c r="E767" s="947"/>
      <c r="F767" s="1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947"/>
      <c r="D768" s="947"/>
      <c r="E768" s="947"/>
      <c r="F768" s="1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947"/>
      <c r="D769" s="947"/>
      <c r="E769" s="947"/>
      <c r="F769" s="1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947"/>
      <c r="D770" s="947"/>
      <c r="E770" s="947"/>
      <c r="F770" s="1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947"/>
      <c r="D771" s="947"/>
      <c r="E771" s="947"/>
      <c r="F771" s="1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947"/>
      <c r="D772" s="947"/>
      <c r="E772" s="947"/>
      <c r="F772" s="1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947"/>
      <c r="D773" s="947"/>
      <c r="E773" s="947"/>
      <c r="F773" s="1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947"/>
      <c r="D774" s="947"/>
      <c r="E774" s="947"/>
      <c r="F774" s="1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947"/>
      <c r="D775" s="947"/>
      <c r="E775" s="947"/>
      <c r="F775" s="1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947"/>
      <c r="D776" s="947"/>
      <c r="E776" s="947"/>
      <c r="F776" s="1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947"/>
      <c r="D777" s="947"/>
      <c r="E777" s="947"/>
      <c r="F777" s="1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947"/>
      <c r="D778" s="947"/>
      <c r="E778" s="947"/>
      <c r="F778" s="1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947"/>
      <c r="D779" s="947"/>
      <c r="E779" s="947"/>
      <c r="F779" s="1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947"/>
      <c r="D780" s="947"/>
      <c r="E780" s="947"/>
      <c r="F780" s="1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947"/>
      <c r="D781" s="947"/>
      <c r="E781" s="947"/>
      <c r="F781" s="1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947"/>
      <c r="D782" s="947"/>
      <c r="E782" s="947"/>
      <c r="F782" s="1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947"/>
      <c r="D783" s="947"/>
      <c r="E783" s="947"/>
      <c r="F783" s="1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947"/>
      <c r="D784" s="947"/>
      <c r="E784" s="947"/>
      <c r="F784" s="1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947"/>
      <c r="D785" s="947"/>
      <c r="E785" s="947"/>
      <c r="F785" s="1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947"/>
      <c r="D786" s="947"/>
      <c r="E786" s="947"/>
      <c r="F786" s="1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947"/>
      <c r="D787" s="947"/>
      <c r="E787" s="947"/>
      <c r="F787" s="1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947"/>
      <c r="D788" s="947"/>
      <c r="E788" s="947"/>
      <c r="F788" s="1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947"/>
      <c r="D789" s="947"/>
      <c r="E789" s="947"/>
      <c r="F789" s="1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947"/>
      <c r="D790" s="947"/>
      <c r="E790" s="947"/>
      <c r="F790" s="1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947"/>
      <c r="D791" s="947"/>
      <c r="E791" s="947"/>
      <c r="F791" s="1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947"/>
      <c r="D792" s="947"/>
      <c r="E792" s="947"/>
      <c r="F792" s="1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947"/>
      <c r="D793" s="947"/>
      <c r="E793" s="947"/>
      <c r="F793" s="1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947"/>
      <c r="D794" s="947"/>
      <c r="E794" s="947"/>
      <c r="F794" s="1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947"/>
      <c r="D795" s="947"/>
      <c r="E795" s="947"/>
      <c r="F795" s="1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947"/>
      <c r="D796" s="947"/>
      <c r="E796" s="947"/>
      <c r="F796" s="1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947"/>
      <c r="D797" s="947"/>
      <c r="E797" s="947"/>
      <c r="F797" s="1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947"/>
      <c r="D798" s="947"/>
      <c r="E798" s="947"/>
      <c r="F798" s="1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947"/>
      <c r="D799" s="947"/>
      <c r="E799" s="947"/>
      <c r="F799" s="1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947"/>
      <c r="D800" s="947"/>
      <c r="E800" s="947"/>
      <c r="F800" s="1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947"/>
      <c r="D801" s="947"/>
      <c r="E801" s="947"/>
      <c r="F801" s="1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947"/>
      <c r="D802" s="947"/>
      <c r="E802" s="947"/>
      <c r="F802" s="1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947"/>
      <c r="D803" s="947"/>
      <c r="E803" s="947"/>
      <c r="F803" s="1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947"/>
      <c r="D804" s="947"/>
      <c r="E804" s="947"/>
      <c r="F804" s="1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947"/>
      <c r="D805" s="947"/>
      <c r="E805" s="947"/>
      <c r="F805" s="1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947"/>
      <c r="D806" s="947"/>
      <c r="E806" s="947"/>
      <c r="F806" s="1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947"/>
      <c r="D807" s="947"/>
      <c r="E807" s="947"/>
      <c r="F807" s="1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947"/>
      <c r="D808" s="947"/>
      <c r="E808" s="947"/>
      <c r="F808" s="1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947"/>
      <c r="D809" s="947"/>
      <c r="E809" s="947"/>
      <c r="F809" s="1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947"/>
      <c r="D810" s="947"/>
      <c r="E810" s="947"/>
      <c r="F810" s="1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947"/>
      <c r="D811" s="947"/>
      <c r="E811" s="947"/>
      <c r="F811" s="1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947"/>
      <c r="D812" s="947"/>
      <c r="E812" s="947"/>
      <c r="F812" s="1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947"/>
      <c r="D813" s="947"/>
      <c r="E813" s="947"/>
      <c r="F813" s="1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947"/>
      <c r="D814" s="947"/>
      <c r="E814" s="947"/>
      <c r="F814" s="1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947"/>
      <c r="D815" s="947"/>
      <c r="E815" s="947"/>
      <c r="F815" s="1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947"/>
      <c r="D816" s="947"/>
      <c r="E816" s="947"/>
      <c r="F816" s="1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947"/>
      <c r="D817" s="947"/>
      <c r="E817" s="947"/>
      <c r="F817" s="1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947"/>
      <c r="D818" s="947"/>
      <c r="E818" s="947"/>
      <c r="F818" s="1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947"/>
      <c r="D819" s="947"/>
      <c r="E819" s="947"/>
      <c r="F819" s="1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947"/>
      <c r="D820" s="947"/>
      <c r="E820" s="947"/>
      <c r="F820" s="1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947"/>
      <c r="D821" s="947"/>
      <c r="E821" s="947"/>
      <c r="F821" s="1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947"/>
      <c r="D822" s="947"/>
      <c r="E822" s="947"/>
      <c r="F822" s="1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947"/>
      <c r="D823" s="947"/>
      <c r="E823" s="947"/>
      <c r="F823" s="1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947"/>
      <c r="D824" s="947"/>
      <c r="E824" s="947"/>
      <c r="F824" s="1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947"/>
      <c r="D825" s="947"/>
      <c r="E825" s="947"/>
      <c r="F825" s="1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947"/>
      <c r="D826" s="947"/>
      <c r="E826" s="947"/>
      <c r="F826" s="1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947"/>
      <c r="D827" s="947"/>
      <c r="E827" s="947"/>
      <c r="F827" s="1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947"/>
      <c r="D828" s="947"/>
      <c r="E828" s="947"/>
      <c r="F828" s="1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947"/>
      <c r="D829" s="947"/>
      <c r="E829" s="947"/>
      <c r="F829" s="1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947"/>
      <c r="D830" s="947"/>
      <c r="E830" s="947"/>
      <c r="F830" s="1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947"/>
      <c r="D831" s="947"/>
      <c r="E831" s="947"/>
      <c r="F831" s="1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947"/>
      <c r="D832" s="947"/>
      <c r="E832" s="947"/>
      <c r="F832" s="1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947"/>
      <c r="D833" s="947"/>
      <c r="E833" s="947"/>
      <c r="F833" s="1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947"/>
      <c r="D834" s="947"/>
      <c r="E834" s="947"/>
      <c r="F834" s="1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947"/>
      <c r="D835" s="947"/>
      <c r="E835" s="947"/>
      <c r="F835" s="1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947"/>
      <c r="D836" s="947"/>
      <c r="E836" s="947"/>
      <c r="F836" s="1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947"/>
      <c r="D837" s="947"/>
      <c r="E837" s="947"/>
      <c r="F837" s="1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947"/>
      <c r="D838" s="947"/>
      <c r="E838" s="947"/>
      <c r="F838" s="1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947"/>
      <c r="D839" s="947"/>
      <c r="E839" s="947"/>
      <c r="F839" s="1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947"/>
      <c r="D840" s="947"/>
      <c r="E840" s="947"/>
      <c r="F840" s="1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947"/>
      <c r="D841" s="947"/>
      <c r="E841" s="947"/>
      <c r="F841" s="1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947"/>
      <c r="D842" s="947"/>
      <c r="E842" s="947"/>
      <c r="F842" s="1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947"/>
      <c r="D843" s="947"/>
      <c r="E843" s="947"/>
      <c r="F843" s="1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947"/>
      <c r="D844" s="947"/>
      <c r="E844" s="947"/>
      <c r="F844" s="1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947"/>
      <c r="D845" s="947"/>
      <c r="E845" s="947"/>
      <c r="F845" s="1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947"/>
      <c r="D846" s="947"/>
      <c r="E846" s="947"/>
      <c r="F846" s="1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947"/>
      <c r="D847" s="947"/>
      <c r="E847" s="947"/>
      <c r="F847" s="1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947"/>
      <c r="D848" s="947"/>
      <c r="E848" s="947"/>
      <c r="F848" s="1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947"/>
      <c r="D849" s="947"/>
      <c r="E849" s="947"/>
      <c r="F849" s="1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947"/>
      <c r="D850" s="947"/>
      <c r="E850" s="947"/>
      <c r="F850" s="1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947"/>
      <c r="D851" s="947"/>
      <c r="E851" s="947"/>
      <c r="F851" s="1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947"/>
      <c r="D852" s="947"/>
      <c r="E852" s="947"/>
      <c r="F852" s="1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947"/>
      <c r="D853" s="947"/>
      <c r="E853" s="947"/>
      <c r="F853" s="1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947"/>
      <c r="D854" s="947"/>
      <c r="E854" s="947"/>
      <c r="F854" s="1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947"/>
      <c r="D855" s="947"/>
      <c r="E855" s="947"/>
      <c r="F855" s="1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947"/>
      <c r="D856" s="947"/>
      <c r="E856" s="947"/>
      <c r="F856" s="1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947"/>
      <c r="D857" s="947"/>
      <c r="E857" s="947"/>
      <c r="F857" s="1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947"/>
      <c r="D858" s="947"/>
      <c r="E858" s="947"/>
      <c r="F858" s="1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947"/>
      <c r="D859" s="947"/>
      <c r="E859" s="947"/>
      <c r="F859" s="1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947"/>
      <c r="D860" s="947"/>
      <c r="E860" s="947"/>
      <c r="F860" s="1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947"/>
      <c r="D861" s="947"/>
      <c r="E861" s="947"/>
      <c r="F861" s="1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947"/>
      <c r="D862" s="947"/>
      <c r="E862" s="947"/>
      <c r="F862" s="1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947"/>
      <c r="D863" s="947"/>
      <c r="E863" s="947"/>
      <c r="F863" s="1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947"/>
      <c r="D864" s="947"/>
      <c r="E864" s="947"/>
      <c r="F864" s="1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947"/>
      <c r="D865" s="947"/>
      <c r="E865" s="947"/>
      <c r="F865" s="1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947"/>
      <c r="D866" s="947"/>
      <c r="E866" s="947"/>
      <c r="F866" s="1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947"/>
      <c r="D867" s="947"/>
      <c r="E867" s="947"/>
      <c r="F867" s="1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947"/>
      <c r="D868" s="947"/>
      <c r="E868" s="947"/>
      <c r="F868" s="1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947"/>
      <c r="D869" s="947"/>
      <c r="E869" s="947"/>
      <c r="F869" s="1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947"/>
      <c r="D870" s="947"/>
      <c r="E870" s="947"/>
      <c r="F870" s="1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947"/>
      <c r="D871" s="947"/>
      <c r="E871" s="947"/>
      <c r="F871" s="1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947"/>
      <c r="D872" s="947"/>
      <c r="E872" s="947"/>
      <c r="F872" s="1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947"/>
      <c r="D873" s="947"/>
      <c r="E873" s="947"/>
      <c r="F873" s="1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947"/>
      <c r="D874" s="947"/>
      <c r="E874" s="947"/>
      <c r="F874" s="1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947"/>
      <c r="D875" s="947"/>
      <c r="E875" s="947"/>
      <c r="F875" s="1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947"/>
      <c r="D876" s="947"/>
      <c r="E876" s="947"/>
      <c r="F876" s="1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947"/>
      <c r="D877" s="947"/>
      <c r="E877" s="947"/>
      <c r="F877" s="1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947"/>
      <c r="D878" s="947"/>
      <c r="E878" s="947"/>
      <c r="F878" s="1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947"/>
      <c r="D879" s="947"/>
      <c r="E879" s="947"/>
      <c r="F879" s="1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947"/>
      <c r="D880" s="947"/>
      <c r="E880" s="947"/>
      <c r="F880" s="1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947"/>
      <c r="D881" s="947"/>
      <c r="E881" s="947"/>
      <c r="F881" s="1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947"/>
      <c r="D882" s="947"/>
      <c r="E882" s="947"/>
      <c r="F882" s="1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947"/>
      <c r="D883" s="947"/>
      <c r="E883" s="947"/>
      <c r="F883" s="1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947"/>
      <c r="D884" s="947"/>
      <c r="E884" s="947"/>
      <c r="F884" s="1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947"/>
      <c r="D885" s="947"/>
      <c r="E885" s="947"/>
      <c r="F885" s="1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947"/>
      <c r="D886" s="947"/>
      <c r="E886" s="947"/>
      <c r="F886" s="1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947"/>
      <c r="D887" s="947"/>
      <c r="E887" s="947"/>
      <c r="F887" s="1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947"/>
      <c r="D888" s="947"/>
      <c r="E888" s="947"/>
      <c r="F888" s="1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947"/>
      <c r="D889" s="947"/>
      <c r="E889" s="947"/>
      <c r="F889" s="1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947"/>
      <c r="D890" s="947"/>
      <c r="E890" s="947"/>
      <c r="F890" s="1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947"/>
      <c r="D891" s="947"/>
      <c r="E891" s="947"/>
      <c r="F891" s="1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947"/>
      <c r="D892" s="947"/>
      <c r="E892" s="947"/>
      <c r="F892" s="1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947"/>
      <c r="D893" s="947"/>
      <c r="E893" s="947"/>
      <c r="F893" s="1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947"/>
      <c r="D894" s="947"/>
      <c r="E894" s="947"/>
      <c r="F894" s="1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947"/>
      <c r="D895" s="947"/>
      <c r="E895" s="947"/>
      <c r="F895" s="1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947"/>
      <c r="D896" s="947"/>
      <c r="E896" s="947"/>
      <c r="F896" s="1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947"/>
      <c r="D897" s="947"/>
      <c r="E897" s="947"/>
      <c r="F897" s="1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947"/>
      <c r="D898" s="947"/>
      <c r="E898" s="947"/>
      <c r="F898" s="1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947"/>
      <c r="D899" s="947"/>
      <c r="E899" s="947"/>
      <c r="F899" s="1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947"/>
      <c r="D900" s="947"/>
      <c r="E900" s="947"/>
      <c r="F900" s="1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947"/>
      <c r="D901" s="947"/>
      <c r="E901" s="947"/>
      <c r="F901" s="1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947"/>
      <c r="D902" s="947"/>
      <c r="E902" s="947"/>
      <c r="F902" s="1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947"/>
      <c r="D903" s="947"/>
      <c r="E903" s="947"/>
      <c r="F903" s="1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947"/>
      <c r="D904" s="947"/>
      <c r="E904" s="947"/>
      <c r="F904" s="1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947"/>
      <c r="D905" s="947"/>
      <c r="E905" s="947"/>
      <c r="F905" s="1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947"/>
      <c r="D906" s="947"/>
      <c r="E906" s="947"/>
      <c r="F906" s="1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947"/>
      <c r="D907" s="947"/>
      <c r="E907" s="947"/>
      <c r="F907" s="1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947"/>
      <c r="D908" s="947"/>
      <c r="E908" s="947"/>
      <c r="F908" s="1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947"/>
      <c r="D909" s="947"/>
      <c r="E909" s="947"/>
      <c r="F909" s="1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947"/>
      <c r="D910" s="947"/>
      <c r="E910" s="947"/>
      <c r="F910" s="1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947"/>
      <c r="D911" s="947"/>
      <c r="E911" s="947"/>
      <c r="F911" s="1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947"/>
      <c r="D912" s="947"/>
      <c r="E912" s="947"/>
      <c r="F912" s="1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947"/>
      <c r="D913" s="947"/>
      <c r="E913" s="947"/>
      <c r="F913" s="1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947"/>
      <c r="D914" s="947"/>
      <c r="E914" s="947"/>
      <c r="F914" s="1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947"/>
      <c r="D915" s="947"/>
      <c r="E915" s="947"/>
      <c r="F915" s="1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947"/>
      <c r="D916" s="947"/>
      <c r="E916" s="947"/>
      <c r="F916" s="1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947"/>
      <c r="D917" s="947"/>
      <c r="E917" s="947"/>
      <c r="F917" s="1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947"/>
      <c r="D918" s="947"/>
      <c r="E918" s="947"/>
      <c r="F918" s="1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947"/>
      <c r="D919" s="947"/>
      <c r="E919" s="947"/>
      <c r="F919" s="1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947"/>
      <c r="D920" s="947"/>
      <c r="E920" s="947"/>
      <c r="F920" s="1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947"/>
      <c r="D921" s="947"/>
      <c r="E921" s="947"/>
      <c r="F921" s="1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947"/>
      <c r="D922" s="947"/>
      <c r="E922" s="947"/>
      <c r="F922" s="1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947"/>
      <c r="D923" s="947"/>
      <c r="E923" s="947"/>
      <c r="F923" s="1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947"/>
      <c r="D924" s="947"/>
      <c r="E924" s="947"/>
      <c r="F924" s="1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947"/>
      <c r="D925" s="947"/>
      <c r="E925" s="947"/>
      <c r="F925" s="1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947"/>
      <c r="D926" s="947"/>
      <c r="E926" s="947"/>
      <c r="F926" s="1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947"/>
      <c r="D927" s="947"/>
      <c r="E927" s="947"/>
      <c r="F927" s="1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947"/>
      <c r="D928" s="947"/>
      <c r="E928" s="947"/>
      <c r="F928" s="1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947"/>
      <c r="D929" s="947"/>
      <c r="E929" s="947"/>
      <c r="F929" s="1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947"/>
      <c r="D930" s="947"/>
      <c r="E930" s="947"/>
      <c r="F930" s="1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947"/>
      <c r="D931" s="947"/>
      <c r="E931" s="947"/>
      <c r="F931" s="1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947"/>
      <c r="D932" s="947"/>
      <c r="E932" s="947"/>
      <c r="F932" s="1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947"/>
      <c r="D933" s="947"/>
      <c r="E933" s="947"/>
      <c r="F933" s="1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947"/>
      <c r="D934" s="947"/>
      <c r="E934" s="947"/>
      <c r="F934" s="1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947"/>
      <c r="D935" s="947"/>
      <c r="E935" s="947"/>
      <c r="F935" s="1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947"/>
      <c r="D936" s="947"/>
      <c r="E936" s="947"/>
      <c r="F936" s="1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947"/>
      <c r="D937" s="947"/>
      <c r="E937" s="947"/>
      <c r="F937" s="1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947"/>
      <c r="D938" s="947"/>
      <c r="E938" s="947"/>
      <c r="F938" s="1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947"/>
      <c r="D939" s="947"/>
      <c r="E939" s="947"/>
      <c r="F939" s="1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947"/>
      <c r="D940" s="947"/>
      <c r="E940" s="947"/>
      <c r="F940" s="1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947"/>
      <c r="D941" s="947"/>
      <c r="E941" s="947"/>
      <c r="F941" s="1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947"/>
      <c r="D942" s="947"/>
      <c r="E942" s="947"/>
      <c r="F942" s="1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947"/>
      <c r="D943" s="947"/>
      <c r="E943" s="947"/>
      <c r="F943" s="1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947"/>
      <c r="D944" s="947"/>
      <c r="E944" s="947"/>
      <c r="F944" s="1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947"/>
      <c r="D945" s="947"/>
      <c r="E945" s="947"/>
      <c r="F945" s="1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947"/>
      <c r="D946" s="947"/>
      <c r="E946" s="947"/>
      <c r="F946" s="1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947"/>
      <c r="D947" s="947"/>
      <c r="E947" s="947"/>
      <c r="F947" s="1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947"/>
      <c r="D948" s="947"/>
      <c r="E948" s="947"/>
      <c r="F948" s="1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947"/>
      <c r="D949" s="947"/>
      <c r="E949" s="947"/>
      <c r="F949" s="1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947"/>
      <c r="D950" s="947"/>
      <c r="E950" s="947"/>
      <c r="F950" s="1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947"/>
      <c r="D951" s="947"/>
      <c r="E951" s="947"/>
      <c r="F951" s="1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947"/>
      <c r="D952" s="947"/>
      <c r="E952" s="947"/>
      <c r="F952" s="1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947"/>
      <c r="D953" s="947"/>
      <c r="E953" s="947"/>
      <c r="F953" s="1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947"/>
      <c r="D954" s="947"/>
      <c r="E954" s="947"/>
      <c r="F954" s="1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947"/>
      <c r="D955" s="947"/>
      <c r="E955" s="947"/>
      <c r="F955" s="1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947"/>
      <c r="D956" s="947"/>
      <c r="E956" s="947"/>
      <c r="F956" s="1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947"/>
      <c r="D957" s="947"/>
      <c r="E957" s="947"/>
      <c r="F957" s="1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947"/>
      <c r="D958" s="947"/>
      <c r="E958" s="947"/>
      <c r="F958" s="1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947"/>
      <c r="D959" s="947"/>
      <c r="E959" s="947"/>
      <c r="F959" s="1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947"/>
      <c r="D960" s="947"/>
      <c r="E960" s="947"/>
      <c r="F960" s="1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947"/>
      <c r="D961" s="947"/>
      <c r="E961" s="947"/>
      <c r="F961" s="1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947"/>
      <c r="D962" s="947"/>
      <c r="E962" s="947"/>
      <c r="F962" s="1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947"/>
      <c r="D963" s="947"/>
      <c r="E963" s="947"/>
      <c r="F963" s="1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947"/>
      <c r="D964" s="947"/>
      <c r="E964" s="947"/>
      <c r="F964" s="1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947"/>
      <c r="D965" s="947"/>
      <c r="E965" s="947"/>
      <c r="F965" s="1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947"/>
      <c r="D966" s="947"/>
      <c r="E966" s="947"/>
      <c r="F966" s="1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947"/>
      <c r="D967" s="947"/>
      <c r="E967" s="947"/>
      <c r="F967" s="1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947"/>
      <c r="D968" s="947"/>
      <c r="E968" s="947"/>
      <c r="F968" s="1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947"/>
      <c r="D969" s="947"/>
      <c r="E969" s="947"/>
      <c r="F969" s="1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947"/>
      <c r="D970" s="947"/>
      <c r="E970" s="947"/>
      <c r="F970" s="1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947"/>
      <c r="D971" s="947"/>
      <c r="E971" s="947"/>
      <c r="F971" s="1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947"/>
      <c r="D972" s="947"/>
      <c r="E972" s="947"/>
      <c r="F972" s="1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947"/>
      <c r="D973" s="947"/>
      <c r="E973" s="947"/>
      <c r="F973" s="1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947"/>
      <c r="D974" s="947"/>
      <c r="E974" s="947"/>
      <c r="F974" s="1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947"/>
      <c r="D975" s="947"/>
      <c r="E975" s="947"/>
      <c r="F975" s="1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947"/>
      <c r="D976" s="947"/>
      <c r="E976" s="947"/>
      <c r="F976" s="1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947"/>
      <c r="D977" s="947"/>
      <c r="E977" s="947"/>
      <c r="F977" s="1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947"/>
      <c r="D978" s="947"/>
      <c r="E978" s="947"/>
      <c r="F978" s="1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947"/>
      <c r="D979" s="947"/>
      <c r="E979" s="947"/>
      <c r="F979" s="1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947"/>
      <c r="D980" s="947"/>
      <c r="E980" s="947"/>
      <c r="F980" s="1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947"/>
      <c r="D981" s="947"/>
      <c r="E981" s="947"/>
      <c r="F981" s="1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947"/>
      <c r="D982" s="947"/>
      <c r="E982" s="947"/>
      <c r="F982" s="1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947"/>
      <c r="D983" s="947"/>
      <c r="E983" s="947"/>
      <c r="F983" s="1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947"/>
      <c r="D984" s="947"/>
      <c r="E984" s="947"/>
      <c r="F984" s="1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947"/>
      <c r="D985" s="947"/>
      <c r="E985" s="947"/>
      <c r="F985" s="1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947"/>
      <c r="D986" s="947"/>
      <c r="E986" s="947"/>
      <c r="F986" s="1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947"/>
      <c r="D987" s="947"/>
      <c r="E987" s="947"/>
      <c r="F987" s="1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947"/>
      <c r="D988" s="947"/>
      <c r="E988" s="947"/>
      <c r="F988" s="1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947"/>
      <c r="D989" s="947"/>
      <c r="E989" s="947"/>
      <c r="F989" s="1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947"/>
      <c r="D990" s="947"/>
      <c r="E990" s="947"/>
      <c r="F990" s="1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947"/>
      <c r="D991" s="947"/>
      <c r="E991" s="947"/>
      <c r="F991" s="1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947"/>
      <c r="D992" s="947"/>
      <c r="E992" s="947"/>
      <c r="F992" s="1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947"/>
      <c r="D993" s="947"/>
      <c r="E993" s="947"/>
      <c r="F993" s="1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947"/>
      <c r="D994" s="947"/>
      <c r="E994" s="947"/>
      <c r="F994" s="1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947"/>
      <c r="D995" s="947"/>
      <c r="E995" s="947"/>
      <c r="F995" s="1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947"/>
      <c r="D996" s="947"/>
      <c r="E996" s="947"/>
      <c r="F996" s="1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947"/>
      <c r="D997" s="947"/>
      <c r="E997" s="947"/>
      <c r="F997" s="1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947"/>
      <c r="D998" s="947"/>
      <c r="E998" s="947"/>
      <c r="F998" s="1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947"/>
      <c r="D999" s="947"/>
      <c r="E999" s="947"/>
      <c r="F999" s="1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947"/>
      <c r="D1000" s="947"/>
      <c r="E1000" s="947"/>
      <c r="F1000" s="1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947"/>
      <c r="D1001" s="947"/>
      <c r="E1001" s="947"/>
      <c r="F1001" s="1"/>
      <c r="G1001" s="3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947"/>
      <c r="D1002" s="947"/>
      <c r="E1002" s="947"/>
      <c r="F1002" s="1"/>
      <c r="G1002" s="3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947"/>
      <c r="D1003" s="947"/>
      <c r="E1003" s="947"/>
      <c r="F1003" s="1"/>
      <c r="G1003" s="3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customSheetViews>
    <customSheetView guid="{69B581A4-185B-4674-A7B3-3C6729E29364}" filter="1" showAutoFilter="1">
      <autoFilter ref="$B$2:$G$17">
        <sortState ref="B2:G17">
          <sortCondition descending="1" ref="F2:F17"/>
        </sortState>
      </autoFilter>
    </customSheetView>
  </customSheetViews>
  <mergeCells count="1">
    <mergeCell ref="J39:M39"/>
  </mergeCells>
  <conditionalFormatting sqref="F3:F16 M3:M15 F18:F34 M18:M34">
    <cfRule type="cellIs" dxfId="0" priority="1" stopIfTrue="1" operator="greaterThan">
      <formula>0</formula>
    </cfRule>
  </conditionalFormatting>
  <conditionalFormatting sqref="F3:F16 M3:M15 F18:F34 M18:M34">
    <cfRule type="cellIs" dxfId="1" priority="2" stopIfTrue="1" operator="lessThanOrEqual">
      <formula>0</formula>
    </cfRule>
  </conditionalFormatting>
  <conditionalFormatting sqref="F35">
    <cfRule type="cellIs" dxfId="0" priority="3" stopIfTrue="1" operator="greaterThan">
      <formula>0</formula>
    </cfRule>
  </conditionalFormatting>
  <conditionalFormatting sqref="F35">
    <cfRule type="cellIs" dxfId="1" priority="4" stopIfTrue="1" operator="lessThanOrEqual">
      <formula>0</formula>
    </cfRule>
  </conditionalFormatting>
  <conditionalFormatting sqref="F35:F36 G36">
    <cfRule type="cellIs" dxfId="0" priority="5" stopIfTrue="1" operator="greaterThan">
      <formula>0</formula>
    </cfRule>
  </conditionalFormatting>
  <conditionalFormatting sqref="F35:F36 G36">
    <cfRule type="cellIs" dxfId="1" priority="6" stopIfTrue="1" operator="less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2.29"/>
    <col customWidth="1" min="3" max="3" width="13.71"/>
    <col customWidth="1" min="4" max="4" width="13.86"/>
    <col customWidth="1" min="5" max="5" width="11.57"/>
    <col customWidth="1" min="6" max="6" width="15.71"/>
    <col customWidth="1" min="7" max="7" width="14.29"/>
    <col customWidth="1" min="8" max="8" width="15.57"/>
    <col customWidth="1" min="9" max="9" width="11.57"/>
    <col customWidth="1" min="10" max="10" width="14.43"/>
    <col customWidth="1" min="11" max="11" width="15.29"/>
    <col customWidth="1" min="12" max="12" width="15.71"/>
    <col customWidth="1" min="13" max="13" width="12.71"/>
    <col customWidth="1" min="14" max="14" width="15.0"/>
    <col customWidth="1" min="15" max="15" width="11.57"/>
    <col customWidth="1" min="16" max="16" width="15.57"/>
    <col customWidth="1" min="17" max="26" width="9.14"/>
  </cols>
  <sheetData>
    <row r="1" ht="10.5" hidden="1" customHeight="1">
      <c r="A1" s="78" t="s">
        <v>315</v>
      </c>
      <c r="B1" s="78" t="s">
        <v>58</v>
      </c>
      <c r="C1" s="78" t="s">
        <v>59</v>
      </c>
      <c r="D1" s="78" t="s">
        <v>60</v>
      </c>
      <c r="E1" s="78" t="s">
        <v>61</v>
      </c>
      <c r="F1" s="78" t="s">
        <v>62</v>
      </c>
      <c r="G1" s="78" t="s">
        <v>63</v>
      </c>
      <c r="H1" s="78" t="s">
        <v>64</v>
      </c>
      <c r="I1" s="78" t="s">
        <v>65</v>
      </c>
      <c r="J1" s="78" t="s">
        <v>66</v>
      </c>
      <c r="K1" s="78" t="s">
        <v>67</v>
      </c>
      <c r="L1" s="78" t="s">
        <v>68</v>
      </c>
      <c r="M1" s="78" t="s">
        <v>69</v>
      </c>
      <c r="N1" s="78" t="s">
        <v>70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0.5" hidden="1" customHeight="1">
      <c r="A2" s="82" t="s">
        <v>40</v>
      </c>
      <c r="B2" s="83">
        <v>825469.09</v>
      </c>
      <c r="C2" s="83">
        <v>722076.82</v>
      </c>
      <c r="D2" s="83">
        <v>705655.88</v>
      </c>
      <c r="E2" s="83">
        <v>897325.01</v>
      </c>
      <c r="F2" s="83">
        <v>1034575.89</v>
      </c>
      <c r="G2" s="83">
        <v>1033696.43</v>
      </c>
      <c r="H2" s="83">
        <v>1056125.47</v>
      </c>
      <c r="I2" s="83">
        <v>1050601.76</v>
      </c>
      <c r="J2" s="83">
        <v>1054537.31</v>
      </c>
      <c r="K2" s="83">
        <v>1350922.89</v>
      </c>
      <c r="L2" s="83">
        <v>1372244.42</v>
      </c>
      <c r="M2" s="83">
        <v>1277426.0100000002</v>
      </c>
      <c r="N2" s="89">
        <f t="shared" ref="N2:N5" si="1">SUM(B2:M2)</f>
        <v>12380656.98</v>
      </c>
      <c r="O2" s="156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0.5" hidden="1" customHeight="1">
      <c r="A3" s="82" t="s">
        <v>71</v>
      </c>
      <c r="B3" s="83">
        <v>-30129.63</v>
      </c>
      <c r="C3" s="83">
        <v>-26355.8</v>
      </c>
      <c r="D3" s="83">
        <v>-25756.44</v>
      </c>
      <c r="E3" s="83">
        <v>-36940.9</v>
      </c>
      <c r="F3" s="83">
        <v>-37762.02</v>
      </c>
      <c r="G3" s="83">
        <v>-37729.92</v>
      </c>
      <c r="H3" s="83">
        <v>-43275.53</v>
      </c>
      <c r="I3" s="83">
        <v>-39017.82</v>
      </c>
      <c r="J3" s="83">
        <v>-39161.51</v>
      </c>
      <c r="K3" s="83">
        <v>-49979.55</v>
      </c>
      <c r="L3" s="83">
        <v>-50757.79</v>
      </c>
      <c r="M3" s="83">
        <v>-47296.9</v>
      </c>
      <c r="N3" s="89">
        <f t="shared" si="1"/>
        <v>-464163.81</v>
      </c>
      <c r="O3" s="8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0.5" hidden="1" customHeight="1">
      <c r="A4" s="82" t="s">
        <v>72</v>
      </c>
      <c r="B4" s="83">
        <f t="shared" ref="B4:M4" si="2">B2+B3</f>
        <v>795339.46</v>
      </c>
      <c r="C4" s="83">
        <f t="shared" si="2"/>
        <v>695721.02</v>
      </c>
      <c r="D4" s="83">
        <f t="shared" si="2"/>
        <v>679899.44</v>
      </c>
      <c r="E4" s="83">
        <f t="shared" si="2"/>
        <v>860384.11</v>
      </c>
      <c r="F4" s="83">
        <f t="shared" si="2"/>
        <v>996813.87</v>
      </c>
      <c r="G4" s="83">
        <f t="shared" si="2"/>
        <v>995966.51</v>
      </c>
      <c r="H4" s="83">
        <f t="shared" si="2"/>
        <v>1012849.94</v>
      </c>
      <c r="I4" s="83">
        <f t="shared" si="2"/>
        <v>1011583.94</v>
      </c>
      <c r="J4" s="83">
        <f t="shared" si="2"/>
        <v>1015375.8</v>
      </c>
      <c r="K4" s="83">
        <f t="shared" si="2"/>
        <v>1300943.34</v>
      </c>
      <c r="L4" s="83">
        <f t="shared" si="2"/>
        <v>1321486.63</v>
      </c>
      <c r="M4" s="83">
        <f t="shared" si="2"/>
        <v>1230129.11</v>
      </c>
      <c r="N4" s="89">
        <f t="shared" si="1"/>
        <v>11916493.17</v>
      </c>
      <c r="O4" s="8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.5" hidden="1" customHeight="1">
      <c r="A5" s="82" t="s">
        <v>73</v>
      </c>
      <c r="B5" s="83">
        <v>0.0</v>
      </c>
      <c r="C5" s="83">
        <v>0.0</v>
      </c>
      <c r="D5" s="83">
        <v>0.0</v>
      </c>
      <c r="E5" s="83">
        <v>0.0</v>
      </c>
      <c r="F5" s="83">
        <v>0.0</v>
      </c>
      <c r="G5" s="83">
        <v>0.0</v>
      </c>
      <c r="H5" s="83">
        <v>0.0</v>
      </c>
      <c r="I5" s="83">
        <v>0.0</v>
      </c>
      <c r="J5" s="83">
        <v>0.0</v>
      </c>
      <c r="K5" s="83">
        <v>0.0</v>
      </c>
      <c r="L5" s="83">
        <v>0.0</v>
      </c>
      <c r="M5" s="83">
        <v>0.0</v>
      </c>
      <c r="N5" s="89">
        <f t="shared" si="1"/>
        <v>0</v>
      </c>
      <c r="O5" s="8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0.5" hidden="1" customHeight="1">
      <c r="A6" s="82" t="s">
        <v>75</v>
      </c>
      <c r="B6" s="83">
        <f t="shared" ref="B6:M6" si="3">B4+B5</f>
        <v>795339.46</v>
      </c>
      <c r="C6" s="83">
        <f t="shared" si="3"/>
        <v>695721.02</v>
      </c>
      <c r="D6" s="83">
        <f t="shared" si="3"/>
        <v>679899.44</v>
      </c>
      <c r="E6" s="83">
        <f t="shared" si="3"/>
        <v>860384.11</v>
      </c>
      <c r="F6" s="83">
        <f t="shared" si="3"/>
        <v>996813.87</v>
      </c>
      <c r="G6" s="83">
        <f t="shared" si="3"/>
        <v>995966.51</v>
      </c>
      <c r="H6" s="83">
        <f t="shared" si="3"/>
        <v>1012849.94</v>
      </c>
      <c r="I6" s="83">
        <f t="shared" si="3"/>
        <v>1011583.94</v>
      </c>
      <c r="J6" s="83">
        <f t="shared" si="3"/>
        <v>1015375.8</v>
      </c>
      <c r="K6" s="83">
        <f t="shared" si="3"/>
        <v>1300943.34</v>
      </c>
      <c r="L6" s="83">
        <f t="shared" si="3"/>
        <v>1321486.63</v>
      </c>
      <c r="M6" s="83">
        <f t="shared" si="3"/>
        <v>1230129.11</v>
      </c>
      <c r="N6" s="89">
        <f>N4-N5</f>
        <v>11916493.17</v>
      </c>
      <c r="O6" s="83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.5" hidden="1" customHeight="1">
      <c r="A7" s="82" t="s">
        <v>77</v>
      </c>
      <c r="B7" s="83">
        <v>-241161.65</v>
      </c>
      <c r="C7" s="83">
        <v>-227400.07</v>
      </c>
      <c r="D7" s="83">
        <v>-251301.67</v>
      </c>
      <c r="E7" s="83">
        <v>-250184.81</v>
      </c>
      <c r="F7" s="83">
        <v>-268905.09</v>
      </c>
      <c r="G7" s="83">
        <v>-289070.8</v>
      </c>
      <c r="H7" s="83">
        <v>-295022.24</v>
      </c>
      <c r="I7" s="83">
        <v>-253584.89</v>
      </c>
      <c r="J7" s="83">
        <v>-275850.73</v>
      </c>
      <c r="K7" s="83">
        <v>-263591.9</v>
      </c>
      <c r="L7" s="83">
        <v>-338252.21</v>
      </c>
      <c r="M7" s="83">
        <v>-329127.87</v>
      </c>
      <c r="N7" s="89">
        <f t="shared" ref="N7:N14" si="5">SUM(B7:M7)</f>
        <v>-3283453.93</v>
      </c>
      <c r="O7" s="8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0.5" hidden="1" customHeight="1">
      <c r="A8" s="1029" t="s">
        <v>80</v>
      </c>
      <c r="B8" s="182">
        <f t="shared" ref="B8:M8" si="4">B6+B7</f>
        <v>554177.81</v>
      </c>
      <c r="C8" s="182">
        <f t="shared" si="4"/>
        <v>468320.95</v>
      </c>
      <c r="D8" s="182">
        <f t="shared" si="4"/>
        <v>428597.77</v>
      </c>
      <c r="E8" s="182">
        <f t="shared" si="4"/>
        <v>610199.3</v>
      </c>
      <c r="F8" s="182">
        <f t="shared" si="4"/>
        <v>727908.78</v>
      </c>
      <c r="G8" s="182">
        <f t="shared" si="4"/>
        <v>706895.71</v>
      </c>
      <c r="H8" s="182">
        <f t="shared" si="4"/>
        <v>717827.7</v>
      </c>
      <c r="I8" s="182">
        <f t="shared" si="4"/>
        <v>757999.05</v>
      </c>
      <c r="J8" s="182">
        <f t="shared" si="4"/>
        <v>739525.07</v>
      </c>
      <c r="K8" s="182">
        <f t="shared" si="4"/>
        <v>1037351.44</v>
      </c>
      <c r="L8" s="182">
        <f t="shared" si="4"/>
        <v>983234.42</v>
      </c>
      <c r="M8" s="182">
        <f t="shared" si="4"/>
        <v>901001.24</v>
      </c>
      <c r="N8" s="182">
        <f t="shared" si="5"/>
        <v>8633039.24</v>
      </c>
      <c r="O8" s="182"/>
      <c r="P8" s="1030"/>
      <c r="Q8" s="1030"/>
      <c r="R8" s="1030"/>
      <c r="S8" s="1030"/>
      <c r="T8" s="1030"/>
      <c r="U8" s="1030"/>
      <c r="V8" s="1030"/>
      <c r="W8" s="1030"/>
      <c r="X8" s="1030"/>
      <c r="Y8" s="1030"/>
      <c r="Z8" s="1030"/>
    </row>
    <row r="9" ht="10.5" hidden="1" customHeight="1">
      <c r="A9" s="82" t="s">
        <v>82</v>
      </c>
      <c r="B9" s="83">
        <v>-111375.62</v>
      </c>
      <c r="C9" s="83">
        <v>-142610.59</v>
      </c>
      <c r="D9" s="83">
        <v>-142610.59</v>
      </c>
      <c r="E9" s="83">
        <v>-144088.38</v>
      </c>
      <c r="F9" s="83">
        <v>-145800.81</v>
      </c>
      <c r="G9" s="83">
        <v>-146056.62</v>
      </c>
      <c r="H9" s="83">
        <v>-146056.62</v>
      </c>
      <c r="I9" s="83">
        <v>-146056.62</v>
      </c>
      <c r="J9" s="83">
        <v>-146071.37</v>
      </c>
      <c r="K9" s="83">
        <v>-145308.18</v>
      </c>
      <c r="L9" s="83">
        <v>-144746.27</v>
      </c>
      <c r="M9" s="83">
        <v>-113307.12</v>
      </c>
      <c r="N9" s="89">
        <f t="shared" si="5"/>
        <v>-1674088.79</v>
      </c>
      <c r="O9" s="8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.5" hidden="1" customHeight="1">
      <c r="A10" s="82" t="s">
        <v>83</v>
      </c>
      <c r="B10" s="83">
        <f t="shared" ref="B10:M10" si="6">B8+B9</f>
        <v>442802.19</v>
      </c>
      <c r="C10" s="83">
        <f t="shared" si="6"/>
        <v>325710.36</v>
      </c>
      <c r="D10" s="83">
        <f t="shared" si="6"/>
        <v>285987.18</v>
      </c>
      <c r="E10" s="83">
        <f t="shared" si="6"/>
        <v>466110.92</v>
      </c>
      <c r="F10" s="83">
        <f t="shared" si="6"/>
        <v>582107.97</v>
      </c>
      <c r="G10" s="83">
        <f t="shared" si="6"/>
        <v>560839.09</v>
      </c>
      <c r="H10" s="83">
        <f t="shared" si="6"/>
        <v>571771.08</v>
      </c>
      <c r="I10" s="83">
        <f t="shared" si="6"/>
        <v>611942.43</v>
      </c>
      <c r="J10" s="83">
        <f t="shared" si="6"/>
        <v>593453.7</v>
      </c>
      <c r="K10" s="83">
        <f t="shared" si="6"/>
        <v>892043.26</v>
      </c>
      <c r="L10" s="83">
        <f t="shared" si="6"/>
        <v>838488.15</v>
      </c>
      <c r="M10" s="83">
        <f t="shared" si="6"/>
        <v>787694.12</v>
      </c>
      <c r="N10" s="89">
        <f t="shared" si="5"/>
        <v>6958950.45</v>
      </c>
      <c r="O10" s="8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0.5" hidden="1" customHeight="1">
      <c r="A11" s="82" t="s">
        <v>84</v>
      </c>
      <c r="B11" s="83">
        <v>-123449.14</v>
      </c>
      <c r="C11" s="83">
        <v>-110870.21</v>
      </c>
      <c r="D11" s="83">
        <v>-142976.23</v>
      </c>
      <c r="E11" s="83">
        <v>-145866.08</v>
      </c>
      <c r="F11" s="83">
        <v>-34712.26</v>
      </c>
      <c r="G11" s="83">
        <v>-17912.49</v>
      </c>
      <c r="H11" s="83">
        <v>-31838.38</v>
      </c>
      <c r="I11" s="83">
        <v>-22414.06</v>
      </c>
      <c r="J11" s="83">
        <v>-46762.63</v>
      </c>
      <c r="K11" s="83">
        <v>-71765.44</v>
      </c>
      <c r="L11" s="83">
        <v>-94221.44</v>
      </c>
      <c r="M11" s="83">
        <v>-139228.87999999998</v>
      </c>
      <c r="N11" s="89">
        <f t="shared" si="5"/>
        <v>-982017.24</v>
      </c>
      <c r="O11" s="8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0.5" hidden="1" customHeight="1">
      <c r="A12" s="82" t="s">
        <v>86</v>
      </c>
      <c r="B12" s="83">
        <f t="shared" ref="B12:M12" si="7">B10+B11</f>
        <v>319353.05</v>
      </c>
      <c r="C12" s="83">
        <f t="shared" si="7"/>
        <v>214840.15</v>
      </c>
      <c r="D12" s="83">
        <f t="shared" si="7"/>
        <v>143010.95</v>
      </c>
      <c r="E12" s="83">
        <f t="shared" si="7"/>
        <v>320244.84</v>
      </c>
      <c r="F12" s="83">
        <f t="shared" si="7"/>
        <v>547395.71</v>
      </c>
      <c r="G12" s="83">
        <f t="shared" si="7"/>
        <v>542926.6</v>
      </c>
      <c r="H12" s="83">
        <f t="shared" si="7"/>
        <v>539932.7</v>
      </c>
      <c r="I12" s="83">
        <f t="shared" si="7"/>
        <v>589528.37</v>
      </c>
      <c r="J12" s="83">
        <f t="shared" si="7"/>
        <v>546691.07</v>
      </c>
      <c r="K12" s="83">
        <f t="shared" si="7"/>
        <v>820277.82</v>
      </c>
      <c r="L12" s="83">
        <f t="shared" si="7"/>
        <v>744266.71</v>
      </c>
      <c r="M12" s="83">
        <f t="shared" si="7"/>
        <v>648465.24</v>
      </c>
      <c r="N12" s="89">
        <f t="shared" si="5"/>
        <v>5976933.21</v>
      </c>
      <c r="O12" s="8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0.5" hidden="1" customHeight="1">
      <c r="A13" s="82" t="s">
        <v>87</v>
      </c>
      <c r="B13" s="83">
        <v>-94948.75</v>
      </c>
      <c r="C13" s="83">
        <v>-80522.36</v>
      </c>
      <c r="D13" s="83">
        <v>-80575.44</v>
      </c>
      <c r="E13" s="83">
        <v>-99755.94</v>
      </c>
      <c r="F13" s="83">
        <v>-112561.85</v>
      </c>
      <c r="G13" s="83">
        <v>-182968.71</v>
      </c>
      <c r="H13" s="83">
        <v>-114997.65</v>
      </c>
      <c r="I13" s="83">
        <v>-211136.82</v>
      </c>
      <c r="J13" s="83">
        <v>-164029.86</v>
      </c>
      <c r="K13" s="83">
        <v>-188569.21</v>
      </c>
      <c r="L13" s="83">
        <v>-190705.26</v>
      </c>
      <c r="M13" s="83">
        <v>-179375.09</v>
      </c>
      <c r="N13" s="89">
        <f t="shared" si="5"/>
        <v>-1700146.94</v>
      </c>
      <c r="O13" s="8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0.5" hidden="1" customHeight="1">
      <c r="A14" s="82" t="s">
        <v>89</v>
      </c>
      <c r="B14" s="83">
        <f t="shared" ref="B14:M14" si="8">B12+B13</f>
        <v>224404.3</v>
      </c>
      <c r="C14" s="83">
        <f t="shared" si="8"/>
        <v>134317.79</v>
      </c>
      <c r="D14" s="83">
        <f t="shared" si="8"/>
        <v>62435.51</v>
      </c>
      <c r="E14" s="83">
        <f t="shared" si="8"/>
        <v>220488.9</v>
      </c>
      <c r="F14" s="83">
        <f t="shared" si="8"/>
        <v>434833.86</v>
      </c>
      <c r="G14" s="83">
        <f t="shared" si="8"/>
        <v>359957.89</v>
      </c>
      <c r="H14" s="83">
        <f t="shared" si="8"/>
        <v>424935.05</v>
      </c>
      <c r="I14" s="83">
        <f t="shared" si="8"/>
        <v>378391.55</v>
      </c>
      <c r="J14" s="83">
        <f t="shared" si="8"/>
        <v>382661.21</v>
      </c>
      <c r="K14" s="83">
        <f t="shared" si="8"/>
        <v>631708.61</v>
      </c>
      <c r="L14" s="83">
        <f t="shared" si="8"/>
        <v>553561.45</v>
      </c>
      <c r="M14" s="83">
        <f t="shared" si="8"/>
        <v>469090.15</v>
      </c>
      <c r="N14" s="89">
        <f t="shared" si="5"/>
        <v>4276786.27</v>
      </c>
      <c r="O14" s="8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0.5" hidden="1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0.5" hidden="1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0.5" hidden="1" customHeight="1">
      <c r="A17" s="78" t="s">
        <v>316</v>
      </c>
      <c r="B17" s="78" t="s">
        <v>58</v>
      </c>
      <c r="C17" s="78" t="s">
        <v>59</v>
      </c>
      <c r="D17" s="78" t="s">
        <v>60</v>
      </c>
      <c r="E17" s="78" t="s">
        <v>61</v>
      </c>
      <c r="F17" s="78" t="s">
        <v>62</v>
      </c>
      <c r="G17" s="78" t="s">
        <v>63</v>
      </c>
      <c r="H17" s="78" t="s">
        <v>64</v>
      </c>
      <c r="I17" s="78" t="s">
        <v>65</v>
      </c>
      <c r="J17" s="78" t="s">
        <v>66</v>
      </c>
      <c r="K17" s="78" t="s">
        <v>67</v>
      </c>
      <c r="L17" s="78" t="s">
        <v>68</v>
      </c>
      <c r="M17" s="78" t="s">
        <v>69</v>
      </c>
      <c r="N17" s="78" t="s">
        <v>70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hidden="1" customHeight="1">
      <c r="A18" s="82" t="s">
        <v>40</v>
      </c>
      <c r="B18" s="83">
        <v>1284468.92</v>
      </c>
      <c r="C18" s="83">
        <v>1288895.36</v>
      </c>
      <c r="D18" s="83">
        <v>1289247.83</v>
      </c>
      <c r="E18" s="83">
        <v>1290182.61</v>
      </c>
      <c r="F18" s="83">
        <v>1429936.93</v>
      </c>
      <c r="G18" s="83">
        <v>1492560.55</v>
      </c>
      <c r="H18" s="83">
        <v>1555184.17</v>
      </c>
      <c r="I18" s="83">
        <v>1629836.57</v>
      </c>
      <c r="J18" s="83">
        <v>1693797.14</v>
      </c>
      <c r="K18" s="83">
        <v>1800656.91</v>
      </c>
      <c r="L18" s="83">
        <v>1865473.09</v>
      </c>
      <c r="M18" s="83">
        <v>1865473.09</v>
      </c>
      <c r="N18" s="89">
        <f t="shared" ref="N18:N30" si="9">SUM(B18:M18)</f>
        <v>18485713.17</v>
      </c>
      <c r="O18" s="8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.5" hidden="1" customHeight="1">
      <c r="A19" s="82" t="s">
        <v>71</v>
      </c>
      <c r="B19" s="83">
        <v>-118813.36</v>
      </c>
      <c r="C19" s="83">
        <v>-119222.8</v>
      </c>
      <c r="D19" s="83">
        <v>-119255.4</v>
      </c>
      <c r="E19" s="83">
        <v>-119341.85</v>
      </c>
      <c r="F19" s="83">
        <v>-132269.13</v>
      </c>
      <c r="G19" s="83">
        <v>-138061.81</v>
      </c>
      <c r="H19" s="83">
        <v>-143854.49</v>
      </c>
      <c r="I19" s="83">
        <v>-150759.83</v>
      </c>
      <c r="J19" s="83">
        <v>-156676.18</v>
      </c>
      <c r="K19" s="83">
        <v>-166560.7</v>
      </c>
      <c r="L19" s="83">
        <v>-172556.19</v>
      </c>
      <c r="M19" s="83">
        <v>-172556.19</v>
      </c>
      <c r="N19" s="89">
        <f t="shared" si="9"/>
        <v>-1709927.93</v>
      </c>
      <c r="O19" s="8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hidden="1" customHeight="1">
      <c r="A20" s="82" t="s">
        <v>72</v>
      </c>
      <c r="B20" s="83">
        <f t="shared" ref="B20:M20" si="10">B18+B19</f>
        <v>1165655.56</v>
      </c>
      <c r="C20" s="83">
        <f t="shared" si="10"/>
        <v>1169672.56</v>
      </c>
      <c r="D20" s="83">
        <f t="shared" si="10"/>
        <v>1169992.43</v>
      </c>
      <c r="E20" s="83">
        <f t="shared" si="10"/>
        <v>1170840.76</v>
      </c>
      <c r="F20" s="83">
        <f t="shared" si="10"/>
        <v>1297667.8</v>
      </c>
      <c r="G20" s="83">
        <f t="shared" si="10"/>
        <v>1354498.74</v>
      </c>
      <c r="H20" s="83">
        <f t="shared" si="10"/>
        <v>1411329.68</v>
      </c>
      <c r="I20" s="83">
        <f t="shared" si="10"/>
        <v>1479076.74</v>
      </c>
      <c r="J20" s="83">
        <f t="shared" si="10"/>
        <v>1537120.96</v>
      </c>
      <c r="K20" s="83">
        <f t="shared" si="10"/>
        <v>1634096.21</v>
      </c>
      <c r="L20" s="83">
        <f t="shared" si="10"/>
        <v>1692916.9</v>
      </c>
      <c r="M20" s="83">
        <f t="shared" si="10"/>
        <v>1692916.9</v>
      </c>
      <c r="N20" s="89">
        <f t="shared" si="9"/>
        <v>16775785.24</v>
      </c>
      <c r="O20" s="8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0.5" hidden="1" customHeight="1">
      <c r="A21" s="82" t="s">
        <v>73</v>
      </c>
      <c r="B21" s="83">
        <v>0.0</v>
      </c>
      <c r="C21" s="83">
        <v>0.0</v>
      </c>
      <c r="D21" s="83">
        <v>0.0</v>
      </c>
      <c r="E21" s="83">
        <v>0.0</v>
      </c>
      <c r="F21" s="83">
        <v>0.0</v>
      </c>
      <c r="G21" s="83">
        <v>0.0</v>
      </c>
      <c r="H21" s="83">
        <v>0.0</v>
      </c>
      <c r="I21" s="83">
        <v>0.0</v>
      </c>
      <c r="J21" s="83">
        <v>0.0</v>
      </c>
      <c r="K21" s="83">
        <v>0.0</v>
      </c>
      <c r="L21" s="83">
        <v>0.0</v>
      </c>
      <c r="M21" s="83">
        <v>0.0</v>
      </c>
      <c r="N21" s="89">
        <f t="shared" si="9"/>
        <v>0</v>
      </c>
      <c r="O21" s="8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0.5" hidden="1" customHeight="1">
      <c r="A22" s="82" t="s">
        <v>75</v>
      </c>
      <c r="B22" s="83">
        <f t="shared" ref="B22:M22" si="11">B20+B21</f>
        <v>1165655.56</v>
      </c>
      <c r="C22" s="83">
        <f t="shared" si="11"/>
        <v>1169672.56</v>
      </c>
      <c r="D22" s="83">
        <f t="shared" si="11"/>
        <v>1169992.43</v>
      </c>
      <c r="E22" s="83">
        <f t="shared" si="11"/>
        <v>1170840.76</v>
      </c>
      <c r="F22" s="83">
        <f t="shared" si="11"/>
        <v>1297667.8</v>
      </c>
      <c r="G22" s="83">
        <f t="shared" si="11"/>
        <v>1354498.74</v>
      </c>
      <c r="H22" s="83">
        <f t="shared" si="11"/>
        <v>1411329.68</v>
      </c>
      <c r="I22" s="83">
        <f t="shared" si="11"/>
        <v>1479076.74</v>
      </c>
      <c r="J22" s="83">
        <f t="shared" si="11"/>
        <v>1537120.96</v>
      </c>
      <c r="K22" s="83">
        <f t="shared" si="11"/>
        <v>1634096.21</v>
      </c>
      <c r="L22" s="83">
        <f t="shared" si="11"/>
        <v>1692916.9</v>
      </c>
      <c r="M22" s="83">
        <f t="shared" si="11"/>
        <v>1692916.9</v>
      </c>
      <c r="N22" s="89">
        <f t="shared" si="9"/>
        <v>16775785.24</v>
      </c>
      <c r="O22" s="8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.5" hidden="1" customHeight="1">
      <c r="A23" s="82" t="s">
        <v>77</v>
      </c>
      <c r="B23" s="83">
        <v>-422573.06</v>
      </c>
      <c r="C23" s="83">
        <v>-393887.09</v>
      </c>
      <c r="D23" s="83">
        <v>-432546.68</v>
      </c>
      <c r="E23" s="83">
        <v>-394130.93</v>
      </c>
      <c r="F23" s="83">
        <v>-424913.02</v>
      </c>
      <c r="G23" s="83">
        <v>-587317.81</v>
      </c>
      <c r="H23" s="83">
        <v>-458032.67</v>
      </c>
      <c r="I23" s="83">
        <v>-425691.05</v>
      </c>
      <c r="J23" s="83">
        <v>-417492.77</v>
      </c>
      <c r="K23" s="83">
        <v>-422019.22</v>
      </c>
      <c r="L23" s="83">
        <v>-424719.4</v>
      </c>
      <c r="M23" s="83">
        <v>-403290.58</v>
      </c>
      <c r="N23" s="89">
        <f t="shared" si="9"/>
        <v>-5206614.28</v>
      </c>
      <c r="O23" s="8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.5" hidden="1" customHeight="1">
      <c r="A24" s="1029" t="s">
        <v>80</v>
      </c>
      <c r="B24" s="182">
        <f t="shared" ref="B24:M24" si="12">B22+B23</f>
        <v>743082.5</v>
      </c>
      <c r="C24" s="182">
        <f t="shared" si="12"/>
        <v>775785.47</v>
      </c>
      <c r="D24" s="182">
        <f t="shared" si="12"/>
        <v>737445.75</v>
      </c>
      <c r="E24" s="182">
        <f t="shared" si="12"/>
        <v>776709.83</v>
      </c>
      <c r="F24" s="182">
        <f t="shared" si="12"/>
        <v>872754.78</v>
      </c>
      <c r="G24" s="182">
        <f t="shared" si="12"/>
        <v>767180.93</v>
      </c>
      <c r="H24" s="182">
        <f t="shared" si="12"/>
        <v>953297.01</v>
      </c>
      <c r="I24" s="182">
        <f t="shared" si="12"/>
        <v>1053385.69</v>
      </c>
      <c r="J24" s="182">
        <f t="shared" si="12"/>
        <v>1119628.19</v>
      </c>
      <c r="K24" s="182">
        <f t="shared" si="12"/>
        <v>1212076.99</v>
      </c>
      <c r="L24" s="182">
        <f t="shared" si="12"/>
        <v>1268197.5</v>
      </c>
      <c r="M24" s="182">
        <f t="shared" si="12"/>
        <v>1289626.32</v>
      </c>
      <c r="N24" s="182">
        <f t="shared" si="9"/>
        <v>11569170.96</v>
      </c>
      <c r="O24" s="182"/>
      <c r="P24" s="1030"/>
      <c r="Q24" s="1030"/>
      <c r="R24" s="1030"/>
      <c r="S24" s="1030"/>
      <c r="T24" s="1030"/>
      <c r="U24" s="1030"/>
      <c r="V24" s="1030"/>
      <c r="W24" s="1030"/>
      <c r="X24" s="1030"/>
      <c r="Y24" s="1030"/>
      <c r="Z24" s="1030"/>
    </row>
    <row r="25" ht="10.5" hidden="1" customHeight="1">
      <c r="A25" s="82" t="s">
        <v>82</v>
      </c>
      <c r="B25" s="83">
        <v>-235399.15</v>
      </c>
      <c r="C25" s="83">
        <v>-235399.15</v>
      </c>
      <c r="D25" s="83">
        <v>-235399.15</v>
      </c>
      <c r="E25" s="83">
        <v>-235399.15</v>
      </c>
      <c r="F25" s="83">
        <v>-242136.29</v>
      </c>
      <c r="G25" s="83">
        <v>-242552.96</v>
      </c>
      <c r="H25" s="83">
        <v>-242976.29</v>
      </c>
      <c r="I25" s="83">
        <v>-243392.96</v>
      </c>
      <c r="J25" s="83">
        <v>-243483.21</v>
      </c>
      <c r="K25" s="83">
        <v>-245017.14</v>
      </c>
      <c r="L25" s="83">
        <v>-245017.14</v>
      </c>
      <c r="M25" s="83">
        <v>-245047.14</v>
      </c>
      <c r="N25" s="89">
        <f t="shared" si="9"/>
        <v>-2891219.73</v>
      </c>
      <c r="O25" s="8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.5" hidden="1" customHeight="1">
      <c r="A26" s="82" t="s">
        <v>83</v>
      </c>
      <c r="B26" s="83">
        <f t="shared" ref="B26:M26" si="13">B24+B25</f>
        <v>507683.35</v>
      </c>
      <c r="C26" s="83">
        <f t="shared" si="13"/>
        <v>540386.32</v>
      </c>
      <c r="D26" s="83">
        <f t="shared" si="13"/>
        <v>502046.6</v>
      </c>
      <c r="E26" s="83">
        <f t="shared" si="13"/>
        <v>541310.68</v>
      </c>
      <c r="F26" s="83">
        <f t="shared" si="13"/>
        <v>630618.49</v>
      </c>
      <c r="G26" s="83">
        <f t="shared" si="13"/>
        <v>524627.97</v>
      </c>
      <c r="H26" s="83">
        <f t="shared" si="13"/>
        <v>710320.72</v>
      </c>
      <c r="I26" s="83">
        <f t="shared" si="13"/>
        <v>809992.73</v>
      </c>
      <c r="J26" s="83">
        <f t="shared" si="13"/>
        <v>876144.98</v>
      </c>
      <c r="K26" s="83">
        <f t="shared" si="13"/>
        <v>967059.85</v>
      </c>
      <c r="L26" s="83">
        <f t="shared" si="13"/>
        <v>1023180.36</v>
      </c>
      <c r="M26" s="83">
        <f t="shared" si="13"/>
        <v>1044579.18</v>
      </c>
      <c r="N26" s="89">
        <f t="shared" si="9"/>
        <v>8677951.23</v>
      </c>
      <c r="O26" s="8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.5" hidden="1" customHeight="1">
      <c r="A27" s="82" t="s">
        <v>84</v>
      </c>
      <c r="B27" s="83">
        <v>-581246.23</v>
      </c>
      <c r="C27" s="83">
        <v>-602354.13</v>
      </c>
      <c r="D27" s="83">
        <v>-677847.94</v>
      </c>
      <c r="E27" s="83">
        <v>-711955.81</v>
      </c>
      <c r="F27" s="83">
        <v>-710061.05</v>
      </c>
      <c r="G27" s="83">
        <v>-714313.53</v>
      </c>
      <c r="H27" s="83">
        <v>-714203.38</v>
      </c>
      <c r="I27" s="83">
        <v>-704936.79</v>
      </c>
      <c r="J27" s="83">
        <v>-693403.29</v>
      </c>
      <c r="K27" s="83">
        <v>-676406.29</v>
      </c>
      <c r="L27" s="83">
        <v>-659886.53</v>
      </c>
      <c r="M27" s="83">
        <v>-672632.98</v>
      </c>
      <c r="N27" s="89">
        <f t="shared" si="9"/>
        <v>-8119247.95</v>
      </c>
      <c r="O27" s="8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0.5" hidden="1" customHeight="1">
      <c r="A28" s="82" t="s">
        <v>86</v>
      </c>
      <c r="B28" s="83">
        <f t="shared" ref="B28:M28" si="14">B26+B27</f>
        <v>-73562.88</v>
      </c>
      <c r="C28" s="83">
        <f t="shared" si="14"/>
        <v>-61967.81</v>
      </c>
      <c r="D28" s="83">
        <f t="shared" si="14"/>
        <v>-175801.34</v>
      </c>
      <c r="E28" s="83">
        <f t="shared" si="14"/>
        <v>-170645.13</v>
      </c>
      <c r="F28" s="83">
        <f t="shared" si="14"/>
        <v>-79442.56</v>
      </c>
      <c r="G28" s="83">
        <f t="shared" si="14"/>
        <v>-189685.56</v>
      </c>
      <c r="H28" s="83">
        <f t="shared" si="14"/>
        <v>-3882.66</v>
      </c>
      <c r="I28" s="83">
        <f t="shared" si="14"/>
        <v>105055.94</v>
      </c>
      <c r="J28" s="83">
        <f t="shared" si="14"/>
        <v>182741.69</v>
      </c>
      <c r="K28" s="83">
        <f t="shared" si="14"/>
        <v>290653.56</v>
      </c>
      <c r="L28" s="83">
        <f t="shared" si="14"/>
        <v>363293.83</v>
      </c>
      <c r="M28" s="83">
        <f t="shared" si="14"/>
        <v>371946.2</v>
      </c>
      <c r="N28" s="89">
        <f t="shared" si="9"/>
        <v>558703.28</v>
      </c>
      <c r="O28" s="8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0.5" hidden="1" customHeight="1">
      <c r="A29" s="82" t="s">
        <v>87</v>
      </c>
      <c r="B29" s="83">
        <v>0.0</v>
      </c>
      <c r="C29" s="83">
        <v>0.0</v>
      </c>
      <c r="D29" s="83">
        <v>0.0</v>
      </c>
      <c r="E29" s="83">
        <v>0.0</v>
      </c>
      <c r="F29" s="83">
        <v>0.0</v>
      </c>
      <c r="G29" s="83">
        <v>0.0</v>
      </c>
      <c r="H29" s="83">
        <v>0.0</v>
      </c>
      <c r="I29" s="83">
        <v>0.0</v>
      </c>
      <c r="J29" s="83">
        <v>0.0</v>
      </c>
      <c r="K29" s="83">
        <v>0.0</v>
      </c>
      <c r="L29" s="83">
        <v>-31375.19</v>
      </c>
      <c r="M29" s="83">
        <v>-72971.38</v>
      </c>
      <c r="N29" s="89">
        <f t="shared" si="9"/>
        <v>-104346.57</v>
      </c>
      <c r="O29" s="8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0.5" hidden="1" customHeight="1">
      <c r="A30" s="82" t="s">
        <v>89</v>
      </c>
      <c r="B30" s="83">
        <f t="shared" ref="B30:M30" si="15">B28+B29</f>
        <v>-73562.88</v>
      </c>
      <c r="C30" s="83">
        <f t="shared" si="15"/>
        <v>-61967.81</v>
      </c>
      <c r="D30" s="83">
        <f t="shared" si="15"/>
        <v>-175801.34</v>
      </c>
      <c r="E30" s="83">
        <f t="shared" si="15"/>
        <v>-170645.13</v>
      </c>
      <c r="F30" s="83">
        <f t="shared" si="15"/>
        <v>-79442.56</v>
      </c>
      <c r="G30" s="83">
        <f t="shared" si="15"/>
        <v>-189685.56</v>
      </c>
      <c r="H30" s="83">
        <f t="shared" si="15"/>
        <v>-3882.66</v>
      </c>
      <c r="I30" s="83">
        <f t="shared" si="15"/>
        <v>105055.94</v>
      </c>
      <c r="J30" s="83">
        <f t="shared" si="15"/>
        <v>182741.69</v>
      </c>
      <c r="K30" s="83">
        <f t="shared" si="15"/>
        <v>290653.56</v>
      </c>
      <c r="L30" s="83">
        <f t="shared" si="15"/>
        <v>331918.64</v>
      </c>
      <c r="M30" s="83">
        <f t="shared" si="15"/>
        <v>298974.82</v>
      </c>
      <c r="N30" s="89">
        <f t="shared" si="9"/>
        <v>454356.71</v>
      </c>
      <c r="O30" s="8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0.5" hidden="1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0.5" hidden="1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4"/>
      <c r="L32" s="4"/>
      <c r="M32" s="7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0.5" hidden="1" customHeight="1">
      <c r="A33" s="78" t="s">
        <v>57</v>
      </c>
      <c r="B33" s="78" t="s">
        <v>58</v>
      </c>
      <c r="C33" s="78" t="s">
        <v>59</v>
      </c>
      <c r="D33" s="78" t="s">
        <v>60</v>
      </c>
      <c r="E33" s="78" t="s">
        <v>61</v>
      </c>
      <c r="F33" s="78" t="s">
        <v>62</v>
      </c>
      <c r="G33" s="78" t="s">
        <v>63</v>
      </c>
      <c r="H33" s="78" t="s">
        <v>64</v>
      </c>
      <c r="I33" s="78" t="s">
        <v>65</v>
      </c>
      <c r="J33" s="78" t="s">
        <v>66</v>
      </c>
      <c r="K33" s="78" t="s">
        <v>67</v>
      </c>
      <c r="L33" s="78" t="s">
        <v>68</v>
      </c>
      <c r="M33" s="78" t="s">
        <v>69</v>
      </c>
      <c r="N33" s="78" t="s">
        <v>70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.5" hidden="1" customHeight="1">
      <c r="A34" s="82" t="s">
        <v>40</v>
      </c>
      <c r="B34" s="83">
        <v>1286906.9</v>
      </c>
      <c r="C34" s="83">
        <v>1302260.94</v>
      </c>
      <c r="D34" s="83">
        <v>1317113.47</v>
      </c>
      <c r="E34" s="83">
        <v>1317822.99</v>
      </c>
      <c r="F34" s="83">
        <v>1443375.88</v>
      </c>
      <c r="G34" s="890">
        <v>1517723.77</v>
      </c>
      <c r="H34" s="886">
        <v>1645091.48</v>
      </c>
      <c r="I34" s="890">
        <v>1687290.45</v>
      </c>
      <c r="J34" s="890">
        <v>1943374.03</v>
      </c>
      <c r="K34" s="886">
        <v>1849491.08</v>
      </c>
      <c r="L34" s="886">
        <v>2934434.4</v>
      </c>
      <c r="M34" s="886">
        <v>1627035.4</v>
      </c>
      <c r="N34" s="888">
        <f t="shared" ref="N34:N46" si="16">SUM(B34:M34)</f>
        <v>19871920.79</v>
      </c>
      <c r="O34" s="15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0.5" hidden="1" customHeight="1">
      <c r="A35" s="82" t="s">
        <v>71</v>
      </c>
      <c r="B35" s="890">
        <v>-119670.78</v>
      </c>
      <c r="C35" s="890">
        <v>-120469.44</v>
      </c>
      <c r="D35" s="890">
        <v>-121833.01</v>
      </c>
      <c r="E35" s="890">
        <v>-121898.64</v>
      </c>
      <c r="F35" s="890">
        <v>-133512.28</v>
      </c>
      <c r="G35" s="890">
        <v>-140389.4</v>
      </c>
      <c r="H35" s="890">
        <v>-152170.96</v>
      </c>
      <c r="I35" s="890">
        <v>-156074.36</v>
      </c>
      <c r="J35" s="890">
        <v>-179762.1</v>
      </c>
      <c r="K35" s="886">
        <v>-171077.92</v>
      </c>
      <c r="L35" s="886">
        <v>-271435.17</v>
      </c>
      <c r="M35" s="886">
        <v>-150500.77</v>
      </c>
      <c r="N35" s="888">
        <f t="shared" si="16"/>
        <v>-1838794.83</v>
      </c>
      <c r="O35" s="8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.5" hidden="1" customHeight="1">
      <c r="A36" s="82" t="s">
        <v>72</v>
      </c>
      <c r="B36" s="83">
        <f t="shared" ref="B36:M36" si="17">B34+B35</f>
        <v>1167236.12</v>
      </c>
      <c r="C36" s="83">
        <f t="shared" si="17"/>
        <v>1181791.5</v>
      </c>
      <c r="D36" s="83">
        <f t="shared" si="17"/>
        <v>1195280.46</v>
      </c>
      <c r="E36" s="83">
        <f t="shared" si="17"/>
        <v>1195924.35</v>
      </c>
      <c r="F36" s="83">
        <f t="shared" si="17"/>
        <v>1309863.6</v>
      </c>
      <c r="G36" s="83">
        <f t="shared" si="17"/>
        <v>1377334.37</v>
      </c>
      <c r="H36" s="83">
        <f t="shared" si="17"/>
        <v>1492920.52</v>
      </c>
      <c r="I36" s="83">
        <f t="shared" si="17"/>
        <v>1531216.09</v>
      </c>
      <c r="J36" s="83">
        <f t="shared" si="17"/>
        <v>1763611.93</v>
      </c>
      <c r="K36" s="135">
        <f t="shared" si="17"/>
        <v>1678413.16</v>
      </c>
      <c r="L36" s="135">
        <f t="shared" si="17"/>
        <v>2662999.23</v>
      </c>
      <c r="M36" s="135">
        <f t="shared" si="17"/>
        <v>1476534.63</v>
      </c>
      <c r="N36" s="888">
        <f t="shared" si="16"/>
        <v>18033125.96</v>
      </c>
      <c r="O36" s="8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.5" hidden="1" customHeight="1">
      <c r="A37" s="82" t="s">
        <v>73</v>
      </c>
      <c r="B37" s="83">
        <v>0.0</v>
      </c>
      <c r="C37" s="83">
        <v>0.0</v>
      </c>
      <c r="D37" s="83">
        <v>0.0</v>
      </c>
      <c r="E37" s="83">
        <v>0.0</v>
      </c>
      <c r="F37" s="83">
        <v>0.0</v>
      </c>
      <c r="G37" s="83">
        <v>0.0</v>
      </c>
      <c r="H37" s="83">
        <v>0.0</v>
      </c>
      <c r="I37" s="83">
        <v>0.0</v>
      </c>
      <c r="J37" s="83">
        <v>0.0</v>
      </c>
      <c r="K37" s="135">
        <v>0.0</v>
      </c>
      <c r="L37" s="135">
        <v>0.0</v>
      </c>
      <c r="M37" s="135">
        <v>0.0</v>
      </c>
      <c r="N37" s="888">
        <f t="shared" si="16"/>
        <v>0</v>
      </c>
      <c r="O37" s="8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.5" hidden="1" customHeight="1">
      <c r="A38" s="82" t="s">
        <v>75</v>
      </c>
      <c r="B38" s="83">
        <f t="shared" ref="B38:M38" si="18">B36+B37</f>
        <v>1167236.12</v>
      </c>
      <c r="C38" s="83">
        <f t="shared" si="18"/>
        <v>1181791.5</v>
      </c>
      <c r="D38" s="83">
        <f t="shared" si="18"/>
        <v>1195280.46</v>
      </c>
      <c r="E38" s="83">
        <f t="shared" si="18"/>
        <v>1195924.35</v>
      </c>
      <c r="F38" s="83">
        <f t="shared" si="18"/>
        <v>1309863.6</v>
      </c>
      <c r="G38" s="83">
        <f t="shared" si="18"/>
        <v>1377334.37</v>
      </c>
      <c r="H38" s="83">
        <f t="shared" si="18"/>
        <v>1492920.52</v>
      </c>
      <c r="I38" s="83">
        <f t="shared" si="18"/>
        <v>1531216.09</v>
      </c>
      <c r="J38" s="83">
        <f t="shared" si="18"/>
        <v>1763611.93</v>
      </c>
      <c r="K38" s="135">
        <f t="shared" si="18"/>
        <v>1678413.16</v>
      </c>
      <c r="L38" s="135">
        <f t="shared" si="18"/>
        <v>2662999.23</v>
      </c>
      <c r="M38" s="135">
        <f t="shared" si="18"/>
        <v>1476534.63</v>
      </c>
      <c r="N38" s="888">
        <f t="shared" si="16"/>
        <v>18033125.96</v>
      </c>
      <c r="O38" s="8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0.5" hidden="1" customHeight="1">
      <c r="A39" s="82" t="s">
        <v>77</v>
      </c>
      <c r="B39" s="83">
        <v>-249464.09</v>
      </c>
      <c r="C39" s="83">
        <v>-333643.14</v>
      </c>
      <c r="D39" s="83">
        <v>-384645.07</v>
      </c>
      <c r="E39" s="83">
        <v>-400374.35</v>
      </c>
      <c r="F39" s="83">
        <v>-369628.02</v>
      </c>
      <c r="G39" s="890">
        <v>-475712.96</v>
      </c>
      <c r="H39" s="890">
        <v>-438971.6</v>
      </c>
      <c r="I39" s="890">
        <v>-468348.19</v>
      </c>
      <c r="J39" s="890">
        <v>-462212.17</v>
      </c>
      <c r="K39" s="886">
        <v>-403095.88</v>
      </c>
      <c r="L39" s="886">
        <v>-498144.71</v>
      </c>
      <c r="M39" s="886">
        <v>-581510.19</v>
      </c>
      <c r="N39" s="888">
        <f t="shared" si="16"/>
        <v>-5065750.37</v>
      </c>
      <c r="O39" s="8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0.5" hidden="1" customHeight="1">
      <c r="A40" s="1029" t="s">
        <v>80</v>
      </c>
      <c r="B40" s="182">
        <f t="shared" ref="B40:M40" si="19">B38+B39</f>
        <v>917772.03</v>
      </c>
      <c r="C40" s="182">
        <f t="shared" si="19"/>
        <v>848148.36</v>
      </c>
      <c r="D40" s="182">
        <f t="shared" si="19"/>
        <v>810635.39</v>
      </c>
      <c r="E40" s="182">
        <f t="shared" si="19"/>
        <v>795550</v>
      </c>
      <c r="F40" s="182">
        <f t="shared" si="19"/>
        <v>940235.58</v>
      </c>
      <c r="G40" s="182">
        <f t="shared" si="19"/>
        <v>901621.41</v>
      </c>
      <c r="H40" s="182">
        <f t="shared" si="19"/>
        <v>1053948.92</v>
      </c>
      <c r="I40" s="182">
        <f t="shared" si="19"/>
        <v>1062867.9</v>
      </c>
      <c r="J40" s="182">
        <f t="shared" si="19"/>
        <v>1301399.76</v>
      </c>
      <c r="K40" s="1031">
        <f t="shared" si="19"/>
        <v>1275317.28</v>
      </c>
      <c r="L40" s="1031">
        <f t="shared" si="19"/>
        <v>2164854.52</v>
      </c>
      <c r="M40" s="1031">
        <f t="shared" si="19"/>
        <v>895024.44</v>
      </c>
      <c r="N40" s="1031">
        <f t="shared" si="16"/>
        <v>12967375.59</v>
      </c>
      <c r="O40" s="182"/>
      <c r="P40" s="1030"/>
      <c r="Q40" s="1030"/>
      <c r="R40" s="1030"/>
      <c r="S40" s="1030"/>
      <c r="T40" s="1030"/>
      <c r="U40" s="1030"/>
      <c r="V40" s="1030"/>
      <c r="W40" s="1030"/>
      <c r="X40" s="1030"/>
      <c r="Y40" s="1030"/>
      <c r="Z40" s="1030"/>
    </row>
    <row r="41" ht="10.5" hidden="1" customHeight="1">
      <c r="A41" s="82" t="s">
        <v>82</v>
      </c>
      <c r="B41" s="83">
        <v>-88750.2</v>
      </c>
      <c r="C41" s="83">
        <v>-134538.7</v>
      </c>
      <c r="D41" s="83">
        <v>-133855.22</v>
      </c>
      <c r="E41" s="83">
        <v>-134385.25</v>
      </c>
      <c r="F41" s="83">
        <v>-125917.78</v>
      </c>
      <c r="G41" s="890">
        <v>-125917.78</v>
      </c>
      <c r="H41" s="890">
        <v>-129559.53</v>
      </c>
      <c r="I41" s="890">
        <v>-130396.48</v>
      </c>
      <c r="J41" s="890">
        <v>-136654.05</v>
      </c>
      <c r="K41" s="886">
        <v>-133255.23</v>
      </c>
      <c r="L41" s="886">
        <v>-133274.09</v>
      </c>
      <c r="M41" s="886">
        <v>-138775.59</v>
      </c>
      <c r="N41" s="888">
        <f t="shared" si="16"/>
        <v>-1545279.9</v>
      </c>
      <c r="O41" s="8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.5" hidden="1" customHeight="1">
      <c r="A42" s="82" t="s">
        <v>83</v>
      </c>
      <c r="B42" s="83">
        <f t="shared" ref="B42:M42" si="20">B40+B41</f>
        <v>829021.83</v>
      </c>
      <c r="C42" s="83">
        <f t="shared" si="20"/>
        <v>713609.66</v>
      </c>
      <c r="D42" s="83">
        <f t="shared" si="20"/>
        <v>676780.17</v>
      </c>
      <c r="E42" s="83">
        <f t="shared" si="20"/>
        <v>661164.75</v>
      </c>
      <c r="F42" s="83">
        <f t="shared" si="20"/>
        <v>814317.8</v>
      </c>
      <c r="G42" s="83">
        <f t="shared" si="20"/>
        <v>775703.63</v>
      </c>
      <c r="H42" s="83">
        <f t="shared" si="20"/>
        <v>924389.39</v>
      </c>
      <c r="I42" s="83">
        <f t="shared" si="20"/>
        <v>932471.42</v>
      </c>
      <c r="J42" s="83">
        <f t="shared" si="20"/>
        <v>1164745.71</v>
      </c>
      <c r="K42" s="135">
        <f t="shared" si="20"/>
        <v>1142062.05</v>
      </c>
      <c r="L42" s="135">
        <f t="shared" si="20"/>
        <v>2031580.43</v>
      </c>
      <c r="M42" s="135">
        <f t="shared" si="20"/>
        <v>756248.85</v>
      </c>
      <c r="N42" s="888">
        <f t="shared" si="16"/>
        <v>11422095.69</v>
      </c>
      <c r="O42" s="8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0.5" hidden="1" customHeight="1">
      <c r="A43" s="82" t="s">
        <v>84</v>
      </c>
      <c r="B43" s="83">
        <v>-147208.4</v>
      </c>
      <c r="C43" s="83">
        <v>-565359.92</v>
      </c>
      <c r="D43" s="83">
        <v>-684854.08</v>
      </c>
      <c r="E43" s="83">
        <v>-635801.5</v>
      </c>
      <c r="F43" s="83">
        <v>-733117.55</v>
      </c>
      <c r="G43" s="890">
        <v>-660946.89</v>
      </c>
      <c r="H43" s="890">
        <v>-652705.45</v>
      </c>
      <c r="I43" s="890">
        <v>-685211.66</v>
      </c>
      <c r="J43" s="890">
        <v>-1071694.54</v>
      </c>
      <c r="K43" s="886">
        <v>-509759.7</v>
      </c>
      <c r="L43" s="886">
        <v>-570644.91</v>
      </c>
      <c r="M43" s="886">
        <v>-677180.13</v>
      </c>
      <c r="N43" s="888">
        <f t="shared" si="16"/>
        <v>-7594484.73</v>
      </c>
      <c r="O43" s="8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0.5" hidden="1" customHeight="1">
      <c r="A44" s="82" t="s">
        <v>86</v>
      </c>
      <c r="B44" s="83">
        <f t="shared" ref="B44:M44" si="21">B42+B43</f>
        <v>681813.43</v>
      </c>
      <c r="C44" s="83">
        <f t="shared" si="21"/>
        <v>148249.74</v>
      </c>
      <c r="D44" s="83">
        <f t="shared" si="21"/>
        <v>-8073.91</v>
      </c>
      <c r="E44" s="83">
        <f t="shared" si="21"/>
        <v>25363.25</v>
      </c>
      <c r="F44" s="83">
        <f t="shared" si="21"/>
        <v>81200.25</v>
      </c>
      <c r="G44" s="83">
        <f t="shared" si="21"/>
        <v>114756.74</v>
      </c>
      <c r="H44" s="83">
        <f t="shared" si="21"/>
        <v>271683.94</v>
      </c>
      <c r="I44" s="83">
        <f t="shared" si="21"/>
        <v>247259.76</v>
      </c>
      <c r="J44" s="83">
        <f t="shared" si="21"/>
        <v>93051.17</v>
      </c>
      <c r="K44" s="135">
        <f t="shared" si="21"/>
        <v>632302.35</v>
      </c>
      <c r="L44" s="135">
        <f t="shared" si="21"/>
        <v>1460935.52</v>
      </c>
      <c r="M44" s="135">
        <f t="shared" si="21"/>
        <v>79068.72</v>
      </c>
      <c r="N44" s="888">
        <f t="shared" si="16"/>
        <v>3827610.96</v>
      </c>
      <c r="O44" s="8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0.5" hidden="1" customHeight="1">
      <c r="A45" s="82" t="s">
        <v>87</v>
      </c>
      <c r="B45" s="83">
        <v>-160271.6</v>
      </c>
      <c r="C45" s="83">
        <v>-33283.43</v>
      </c>
      <c r="D45" s="83">
        <v>3921.59</v>
      </c>
      <c r="E45" s="83">
        <v>-4036.46</v>
      </c>
      <c r="F45" s="83">
        <v>-17325.66</v>
      </c>
      <c r="G45" s="890">
        <v>-25312.1</v>
      </c>
      <c r="H45" s="890">
        <v>-62660.78</v>
      </c>
      <c r="I45" s="890">
        <v>-56847.82</v>
      </c>
      <c r="J45" s="890">
        <v>-20146.17</v>
      </c>
      <c r="K45" s="886">
        <v>-148487.96</v>
      </c>
      <c r="L45" s="886">
        <v>-345702.66</v>
      </c>
      <c r="M45" s="886">
        <v>-16818.36</v>
      </c>
      <c r="N45" s="888">
        <f t="shared" si="16"/>
        <v>-886971.41</v>
      </c>
      <c r="O45" s="8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0.5" hidden="1" customHeight="1">
      <c r="A46" s="82" t="s">
        <v>89</v>
      </c>
      <c r="B46" s="83">
        <f t="shared" ref="B46:M46" si="22">B44+B45</f>
        <v>521541.83</v>
      </c>
      <c r="C46" s="83">
        <f t="shared" si="22"/>
        <v>114966.31</v>
      </c>
      <c r="D46" s="83">
        <f t="shared" si="22"/>
        <v>-4152.32</v>
      </c>
      <c r="E46" s="83">
        <f t="shared" si="22"/>
        <v>21326.79</v>
      </c>
      <c r="F46" s="83">
        <f t="shared" si="22"/>
        <v>63874.59</v>
      </c>
      <c r="G46" s="83">
        <f t="shared" si="22"/>
        <v>89444.64</v>
      </c>
      <c r="H46" s="83">
        <f t="shared" si="22"/>
        <v>209023.16</v>
      </c>
      <c r="I46" s="83">
        <f t="shared" si="22"/>
        <v>190411.94</v>
      </c>
      <c r="J46" s="83">
        <f t="shared" si="22"/>
        <v>72905</v>
      </c>
      <c r="K46" s="135">
        <f t="shared" si="22"/>
        <v>483814.39</v>
      </c>
      <c r="L46" s="135">
        <f t="shared" si="22"/>
        <v>1115232.86</v>
      </c>
      <c r="M46" s="135">
        <f t="shared" si="22"/>
        <v>62250.36</v>
      </c>
      <c r="N46" s="888">
        <f t="shared" si="16"/>
        <v>2940639.55</v>
      </c>
      <c r="O46" s="8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0.5" hidden="1" customHeight="1">
      <c r="A47" s="126" t="s">
        <v>92</v>
      </c>
      <c r="B47" s="895">
        <v>44603.0</v>
      </c>
      <c r="C47" s="895">
        <v>44631.0</v>
      </c>
      <c r="D47" s="895">
        <v>44658.0</v>
      </c>
      <c r="E47" s="895">
        <v>44690.0</v>
      </c>
      <c r="F47" s="895">
        <v>44720.0</v>
      </c>
      <c r="G47" s="897">
        <v>44750.0</v>
      </c>
      <c r="H47" s="897">
        <v>44778.0</v>
      </c>
      <c r="I47" s="897">
        <v>44824.0</v>
      </c>
      <c r="J47" s="897">
        <v>44848.0</v>
      </c>
      <c r="K47" s="897">
        <v>44875.0</v>
      </c>
      <c r="L47" s="897">
        <v>44903.0</v>
      </c>
      <c r="M47" s="897">
        <v>44937.0</v>
      </c>
      <c r="N47" s="897">
        <v>44937.0</v>
      </c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ht="10.5" hidden="1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0.5" hidden="1" customHeight="1">
      <c r="A49" s="4"/>
      <c r="B49" s="1032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0.5" hidden="1" customHeight="1">
      <c r="A50" s="4"/>
      <c r="B50" s="134"/>
      <c r="C50" s="5"/>
      <c r="D50" s="5"/>
      <c r="E50" s="5"/>
      <c r="F50" s="5"/>
      <c r="G50" s="5"/>
      <c r="H50" s="5"/>
      <c r="I50" s="5"/>
      <c r="J50" s="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0.5" hidden="1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4"/>
      <c r="L51" s="4"/>
      <c r="M51" s="4"/>
      <c r="N51" s="4"/>
      <c r="O51" s="921" t="s">
        <v>342</v>
      </c>
      <c r="P51" s="922"/>
      <c r="Q51" s="923">
        <v>0.0065</v>
      </c>
      <c r="R51" s="924" t="s">
        <v>343</v>
      </c>
      <c r="S51" s="925"/>
      <c r="T51" s="4"/>
      <c r="U51" s="4"/>
      <c r="V51" s="4"/>
      <c r="W51" s="4"/>
      <c r="X51" s="4"/>
      <c r="Y51" s="4"/>
      <c r="Z51" s="4"/>
    </row>
    <row r="52" ht="10.5" hidden="1" customHeight="1">
      <c r="A52" s="4"/>
      <c r="B52" s="927"/>
      <c r="C52" s="927"/>
      <c r="D52" s="927"/>
      <c r="E52" s="927"/>
      <c r="F52" s="927"/>
      <c r="G52" s="927"/>
      <c r="H52" s="927"/>
      <c r="I52" s="927"/>
      <c r="J52" s="927"/>
      <c r="K52" s="4"/>
      <c r="L52" s="4"/>
      <c r="M52" s="4"/>
      <c r="N52" s="4"/>
      <c r="O52" s="928"/>
      <c r="P52" s="803"/>
      <c r="Q52" s="929">
        <v>0.03</v>
      </c>
      <c r="R52" s="931" t="s">
        <v>357</v>
      </c>
      <c r="S52" s="933"/>
      <c r="T52" s="4"/>
      <c r="U52" s="4"/>
      <c r="V52" s="4"/>
      <c r="W52" s="4"/>
      <c r="X52" s="4"/>
      <c r="Y52" s="4"/>
      <c r="Z52" s="4"/>
    </row>
    <row r="53" ht="10.5" hidden="1" customHeight="1">
      <c r="A53" s="4"/>
      <c r="B53" s="927"/>
      <c r="C53" s="927"/>
      <c r="D53" s="927"/>
      <c r="E53" s="927"/>
      <c r="F53" s="927"/>
      <c r="G53" s="927"/>
      <c r="H53" s="927"/>
      <c r="I53" s="927"/>
      <c r="J53" s="927"/>
      <c r="K53" s="93"/>
      <c r="L53" s="4"/>
      <c r="M53" s="4"/>
      <c r="N53" s="4"/>
      <c r="O53" s="940" t="s">
        <v>359</v>
      </c>
      <c r="P53" s="802"/>
      <c r="Q53" s="941">
        <v>0.34</v>
      </c>
      <c r="R53" s="802" t="s">
        <v>420</v>
      </c>
      <c r="S53" s="933"/>
      <c r="T53" s="4"/>
      <c r="U53" s="4"/>
      <c r="V53" s="4"/>
      <c r="W53" s="4"/>
      <c r="X53" s="4"/>
      <c r="Y53" s="4"/>
      <c r="Z53" s="4"/>
    </row>
    <row r="54" ht="10.5" hidden="1" customHeight="1">
      <c r="A54" s="4"/>
      <c r="B54" s="5"/>
      <c r="C54" s="5"/>
      <c r="D54" s="5"/>
      <c r="E54" s="5"/>
      <c r="F54" s="5"/>
      <c r="G54" s="5" t="s">
        <v>48</v>
      </c>
      <c r="H54" s="5"/>
      <c r="I54" s="5"/>
      <c r="J54" s="927"/>
      <c r="K54" s="4"/>
      <c r="L54" s="4"/>
      <c r="M54" s="4"/>
      <c r="N54" s="4"/>
      <c r="O54" s="942" t="s">
        <v>421</v>
      </c>
      <c r="P54" s="943"/>
      <c r="Q54" s="943"/>
      <c r="R54" s="943"/>
      <c r="S54" s="944"/>
      <c r="T54" s="4"/>
      <c r="U54" s="4"/>
      <c r="V54" s="4"/>
      <c r="W54" s="4"/>
      <c r="X54" s="4"/>
      <c r="Y54" s="4"/>
      <c r="Z54" s="4"/>
    </row>
    <row r="55" ht="10.5" hidden="1" customHeight="1">
      <c r="A55" s="4"/>
      <c r="B55" s="927"/>
      <c r="C55" s="927"/>
      <c r="D55" s="927"/>
      <c r="E55" s="927"/>
      <c r="F55" s="927"/>
      <c r="G55" s="927"/>
      <c r="H55" s="927"/>
      <c r="I55" s="927"/>
      <c r="J55" s="927"/>
      <c r="K55" s="927"/>
      <c r="L55" s="927"/>
      <c r="M55" s="927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0.5" hidden="1" customHeight="1">
      <c r="A56" s="4"/>
      <c r="B56" s="927"/>
      <c r="C56" s="927"/>
      <c r="D56" s="927"/>
      <c r="E56" s="927"/>
      <c r="F56" s="927"/>
      <c r="G56" s="927"/>
      <c r="H56" s="927"/>
      <c r="I56" s="927"/>
      <c r="J56" s="927"/>
      <c r="K56" s="927"/>
      <c r="L56" s="927"/>
      <c r="M56" s="927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0.5" hidden="1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0.5" hidden="1" customHeight="1">
      <c r="A58" s="143"/>
      <c r="B58" s="145" t="s">
        <v>318</v>
      </c>
      <c r="C58" s="145" t="s">
        <v>319</v>
      </c>
      <c r="D58" s="145" t="s">
        <v>320</v>
      </c>
      <c r="E58" s="145" t="s">
        <v>321</v>
      </c>
      <c r="F58" s="145" t="s">
        <v>322</v>
      </c>
      <c r="G58" s="145" t="s">
        <v>323</v>
      </c>
      <c r="H58" s="145" t="s">
        <v>324</v>
      </c>
      <c r="I58" s="145" t="s">
        <v>325</v>
      </c>
      <c r="J58" s="145" t="s">
        <v>326</v>
      </c>
      <c r="K58" s="145" t="s">
        <v>327</v>
      </c>
      <c r="L58" s="145" t="s">
        <v>328</v>
      </c>
      <c r="M58" s="145" t="s">
        <v>329</v>
      </c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0.5" hidden="1" customHeight="1">
      <c r="A59" s="1033">
        <v>2020.0</v>
      </c>
      <c r="B59" s="54">
        <f t="shared" ref="B59:M59" si="23">B8/1000</f>
        <v>554.17781</v>
      </c>
      <c r="C59" s="54">
        <f t="shared" si="23"/>
        <v>468.32095</v>
      </c>
      <c r="D59" s="54">
        <f t="shared" si="23"/>
        <v>428.59777</v>
      </c>
      <c r="E59" s="54">
        <f t="shared" si="23"/>
        <v>610.1993</v>
      </c>
      <c r="F59" s="54">
        <f t="shared" si="23"/>
        <v>727.90878</v>
      </c>
      <c r="G59" s="54">
        <f t="shared" si="23"/>
        <v>706.89571</v>
      </c>
      <c r="H59" s="54">
        <f t="shared" si="23"/>
        <v>717.8277</v>
      </c>
      <c r="I59" s="54">
        <f t="shared" si="23"/>
        <v>757.99905</v>
      </c>
      <c r="J59" s="54">
        <f t="shared" si="23"/>
        <v>739.52507</v>
      </c>
      <c r="K59" s="54">
        <f t="shared" si="23"/>
        <v>1037.35144</v>
      </c>
      <c r="L59" s="54">
        <f t="shared" si="23"/>
        <v>983.23442</v>
      </c>
      <c r="M59" s="54">
        <f t="shared" si="23"/>
        <v>901.00124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0.5" hidden="1" customHeight="1">
      <c r="A60" s="152" t="s">
        <v>330</v>
      </c>
      <c r="B60" s="54">
        <f t="shared" ref="B60:M60" si="24">B24/1000</f>
        <v>743.0825</v>
      </c>
      <c r="C60" s="54">
        <f t="shared" si="24"/>
        <v>775.78547</v>
      </c>
      <c r="D60" s="54">
        <f t="shared" si="24"/>
        <v>737.44575</v>
      </c>
      <c r="E60" s="54">
        <f t="shared" si="24"/>
        <v>776.70983</v>
      </c>
      <c r="F60" s="54">
        <f t="shared" si="24"/>
        <v>872.75478</v>
      </c>
      <c r="G60" s="54">
        <f t="shared" si="24"/>
        <v>767.18093</v>
      </c>
      <c r="H60" s="54">
        <f t="shared" si="24"/>
        <v>953.29701</v>
      </c>
      <c r="I60" s="54">
        <f t="shared" si="24"/>
        <v>1053.38569</v>
      </c>
      <c r="J60" s="54">
        <f t="shared" si="24"/>
        <v>1119.62819</v>
      </c>
      <c r="K60" s="54">
        <f t="shared" si="24"/>
        <v>1212.07699</v>
      </c>
      <c r="L60" s="54">
        <f t="shared" si="24"/>
        <v>1268.1975</v>
      </c>
      <c r="M60" s="54">
        <f t="shared" si="24"/>
        <v>1289.62632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0.5" hidden="1" customHeight="1">
      <c r="A61" s="1033">
        <v>2021.0</v>
      </c>
      <c r="B61" s="54">
        <f t="shared" ref="B61:M61" si="25">B40/1000</f>
        <v>917.77203</v>
      </c>
      <c r="C61" s="54">
        <f t="shared" si="25"/>
        <v>848.14836</v>
      </c>
      <c r="D61" s="54">
        <f t="shared" si="25"/>
        <v>810.63539</v>
      </c>
      <c r="E61" s="54">
        <f t="shared" si="25"/>
        <v>795.55</v>
      </c>
      <c r="F61" s="54">
        <f t="shared" si="25"/>
        <v>940.23558</v>
      </c>
      <c r="G61" s="54">
        <f t="shared" si="25"/>
        <v>901.62141</v>
      </c>
      <c r="H61" s="54">
        <f t="shared" si="25"/>
        <v>1053.94892</v>
      </c>
      <c r="I61" s="54">
        <f t="shared" si="25"/>
        <v>1062.8679</v>
      </c>
      <c r="J61" s="54">
        <f t="shared" si="25"/>
        <v>1301.39976</v>
      </c>
      <c r="K61" s="54">
        <f t="shared" si="25"/>
        <v>1275.31728</v>
      </c>
      <c r="L61" s="54">
        <f t="shared" si="25"/>
        <v>2164.85452</v>
      </c>
      <c r="M61" s="54">
        <f t="shared" si="25"/>
        <v>895.02444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0.5" hidden="1" customHeight="1">
      <c r="A62" s="4"/>
      <c r="B62" s="5"/>
      <c r="C62" s="5"/>
      <c r="D62" s="5"/>
      <c r="E62" s="5"/>
      <c r="F62" s="5"/>
      <c r="G62" s="5"/>
      <c r="H62" s="5"/>
      <c r="I62" s="5"/>
      <c r="J62" s="5"/>
      <c r="K62" s="4"/>
      <c r="L62" s="4"/>
      <c r="M62" s="4"/>
      <c r="N62" s="4"/>
      <c r="O62" s="4">
        <v>1000.0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0.5" hidden="1" customHeight="1">
      <c r="A63" s="4"/>
      <c r="B63" s="171"/>
      <c r="C63" s="5"/>
      <c r="D63" s="5"/>
      <c r="E63" s="5"/>
      <c r="F63" s="5"/>
      <c r="G63" s="5"/>
      <c r="H63" s="5"/>
      <c r="I63" s="5"/>
      <c r="J63" s="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0.5" hidden="1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0.5" hidden="1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0.5" hidden="1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0.5" hidden="1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0.5" hidden="1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0.5" hidden="1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0.5" hidden="1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0.5" hidden="1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0.5" hidden="1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0.5" hidden="1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0.5" hidden="1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0.5" hidden="1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0.5" hidden="1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0.5" hidden="1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0.5" hidden="1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0.5" hidden="1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0.5" hidden="1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0.5" hidden="1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0.5" hidden="1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0.5" hidden="1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0.5" hidden="1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0.5" hidden="1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0.5" hidden="1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0.5" hidden="1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0.5" hidden="1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0.5" hidden="1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0.5" hidden="1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0.5" hidden="1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0.5" hidden="1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0.5" hidden="1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0.5" hidden="1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0.5" hidden="1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0.5" hidden="1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0.5" hidden="1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0.5" hidden="1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0.5" hidden="1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hidden="1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hidden="1" customHeight="1">
      <c r="A101" s="78" t="s">
        <v>422</v>
      </c>
      <c r="B101" s="78" t="s">
        <v>58</v>
      </c>
      <c r="C101" s="78" t="s">
        <v>59</v>
      </c>
      <c r="D101" s="78" t="s">
        <v>60</v>
      </c>
      <c r="E101" s="78" t="s">
        <v>61</v>
      </c>
      <c r="F101" s="78" t="s">
        <v>62</v>
      </c>
      <c r="G101" s="78" t="s">
        <v>63</v>
      </c>
      <c r="H101" s="78" t="s">
        <v>64</v>
      </c>
      <c r="I101" s="78" t="s">
        <v>65</v>
      </c>
      <c r="J101" s="78" t="s">
        <v>66</v>
      </c>
      <c r="K101" s="78" t="s">
        <v>67</v>
      </c>
      <c r="L101" s="78" t="s">
        <v>68</v>
      </c>
      <c r="M101" s="78" t="s">
        <v>69</v>
      </c>
      <c r="N101" s="78" t="s">
        <v>70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hidden="1" customHeight="1">
      <c r="A102" s="82" t="s">
        <v>423</v>
      </c>
      <c r="B102" s="946">
        <f t="shared" ref="B102:M102" si="26">B34/1000</f>
        <v>1286.9069</v>
      </c>
      <c r="C102" s="946">
        <f t="shared" si="26"/>
        <v>1302.26094</v>
      </c>
      <c r="D102" s="946">
        <f t="shared" si="26"/>
        <v>1317.11347</v>
      </c>
      <c r="E102" s="946">
        <f t="shared" si="26"/>
        <v>1317.82299</v>
      </c>
      <c r="F102" s="946">
        <f t="shared" si="26"/>
        <v>1443.37588</v>
      </c>
      <c r="G102" s="946">
        <f t="shared" si="26"/>
        <v>1517.72377</v>
      </c>
      <c r="H102" s="946">
        <f t="shared" si="26"/>
        <v>1645.09148</v>
      </c>
      <c r="I102" s="946">
        <f t="shared" si="26"/>
        <v>1687.29045</v>
      </c>
      <c r="J102" s="946">
        <f t="shared" si="26"/>
        <v>1943.37403</v>
      </c>
      <c r="K102" s="946">
        <f t="shared" si="26"/>
        <v>1849.49108</v>
      </c>
      <c r="L102" s="946">
        <f t="shared" si="26"/>
        <v>2934.4344</v>
      </c>
      <c r="M102" s="946">
        <f t="shared" si="26"/>
        <v>1627.0354</v>
      </c>
      <c r="N102" s="89">
        <f t="shared" ref="N102:N103" si="28">SUM(B102:M102)</f>
        <v>19871.92079</v>
      </c>
      <c r="O102" s="4" t="s">
        <v>423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0.5" hidden="1" customHeight="1">
      <c r="A103" s="82" t="s">
        <v>205</v>
      </c>
      <c r="B103" s="946">
        <f t="shared" ref="B103:M103" si="27">B18/1000</f>
        <v>1284.46892</v>
      </c>
      <c r="C103" s="946">
        <f t="shared" si="27"/>
        <v>1288.89536</v>
      </c>
      <c r="D103" s="946">
        <f t="shared" si="27"/>
        <v>1289.24783</v>
      </c>
      <c r="E103" s="946">
        <f t="shared" si="27"/>
        <v>1290.18261</v>
      </c>
      <c r="F103" s="946">
        <f t="shared" si="27"/>
        <v>1429.93693</v>
      </c>
      <c r="G103" s="946">
        <f t="shared" si="27"/>
        <v>1492.56055</v>
      </c>
      <c r="H103" s="946">
        <f t="shared" si="27"/>
        <v>1555.18417</v>
      </c>
      <c r="I103" s="946">
        <f t="shared" si="27"/>
        <v>1629.83657</v>
      </c>
      <c r="J103" s="946">
        <f t="shared" si="27"/>
        <v>1693.79714</v>
      </c>
      <c r="K103" s="946">
        <f t="shared" si="27"/>
        <v>1800.65691</v>
      </c>
      <c r="L103" s="946">
        <f t="shared" si="27"/>
        <v>1865.47309</v>
      </c>
      <c r="M103" s="946">
        <f t="shared" si="27"/>
        <v>1865.47309</v>
      </c>
      <c r="N103" s="89">
        <f t="shared" si="28"/>
        <v>18485.71317</v>
      </c>
      <c r="O103" s="4" t="s">
        <v>424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0.5" hidden="1" customHeight="1">
      <c r="A104" s="4" t="s">
        <v>425</v>
      </c>
      <c r="B104" s="5"/>
      <c r="C104" s="5"/>
      <c r="D104" s="5"/>
      <c r="E104" s="5"/>
      <c r="F104" s="1034">
        <v>452.0</v>
      </c>
      <c r="G104" s="5"/>
      <c r="H104" s="1034">
        <v>493.0</v>
      </c>
      <c r="I104" s="5"/>
      <c r="J104" s="1034">
        <v>509.0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0.5" customHeight="1">
      <c r="A105" s="4"/>
      <c r="B105" s="5"/>
      <c r="C105" s="5"/>
      <c r="D105" s="5"/>
      <c r="E105" s="5"/>
      <c r="F105" s="5" t="s">
        <v>426</v>
      </c>
      <c r="G105" s="5"/>
      <c r="H105" s="5" t="s">
        <v>427</v>
      </c>
      <c r="I105" s="5"/>
      <c r="J105" s="1035" t="s">
        <v>428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0.5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s="813"/>
      <c r="B108" s="5"/>
      <c r="C108" s="5"/>
      <c r="D108" s="5"/>
      <c r="E108" s="5"/>
      <c r="F108" s="5"/>
      <c r="G108" s="5"/>
      <c r="H108" s="5"/>
      <c r="I108" s="5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0.5" customHeight="1">
      <c r="A109" s="979"/>
      <c r="B109" s="980" t="s">
        <v>383</v>
      </c>
      <c r="C109" s="980" t="s">
        <v>385</v>
      </c>
      <c r="D109" s="980" t="s">
        <v>386</v>
      </c>
      <c r="E109" s="1036"/>
      <c r="F109" s="980" t="s">
        <v>429</v>
      </c>
      <c r="G109" s="980" t="s">
        <v>388</v>
      </c>
      <c r="H109" s="980" t="s">
        <v>430</v>
      </c>
      <c r="I109" s="1036"/>
      <c r="J109" s="980" t="s">
        <v>387</v>
      </c>
      <c r="K109" s="980" t="s">
        <v>388</v>
      </c>
      <c r="L109" s="980" t="s">
        <v>389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0.5" customHeight="1">
      <c r="A110" s="982" t="s">
        <v>390</v>
      </c>
      <c r="B110" s="983">
        <v>2564239.84</v>
      </c>
      <c r="C110" s="983">
        <v>3102947.64</v>
      </c>
      <c r="D110" s="983">
        <v>3145030.32</v>
      </c>
      <c r="E110" s="984"/>
      <c r="F110" s="983">
        <v>1.523441118E7</v>
      </c>
      <c r="G110" s="983">
        <v>1.786853911E7</v>
      </c>
      <c r="H110" s="983">
        <v>1.809670716E7</v>
      </c>
      <c r="I110" s="984"/>
      <c r="J110" s="983">
        <v>3.101239454E7</v>
      </c>
      <c r="K110" s="983">
        <v>3.68656712E7</v>
      </c>
      <c r="L110" s="983">
        <v>3.7487177E7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0.5" customHeight="1">
      <c r="A111" s="982" t="s">
        <v>392</v>
      </c>
      <c r="B111" s="985">
        <v>-93594.76</v>
      </c>
      <c r="C111" s="985">
        <v>-113257.59</v>
      </c>
      <c r="D111" s="985">
        <v>-114793.61</v>
      </c>
      <c r="E111" s="987"/>
      <c r="F111" s="985">
        <v>-576544.86</v>
      </c>
      <c r="G111" s="985">
        <v>-652201.68</v>
      </c>
      <c r="H111" s="985">
        <v>-660529.83</v>
      </c>
      <c r="I111" s="987"/>
      <c r="J111" s="985">
        <v>-1152441.29</v>
      </c>
      <c r="K111" s="985">
        <v>-1345597.0</v>
      </c>
      <c r="L111" s="985">
        <v>-1368281.98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0.5" customHeight="1">
      <c r="A112" s="982" t="s">
        <v>394</v>
      </c>
      <c r="B112" s="983">
        <v>2470645.08</v>
      </c>
      <c r="C112" s="983">
        <v>2989690.05</v>
      </c>
      <c r="D112" s="983">
        <v>3030236.71</v>
      </c>
      <c r="E112" s="984"/>
      <c r="F112" s="983">
        <v>1.465786632E7</v>
      </c>
      <c r="G112" s="983">
        <v>1.721633743E7</v>
      </c>
      <c r="H112" s="983">
        <v>1.743617733E7</v>
      </c>
      <c r="I112" s="984"/>
      <c r="J112" s="983">
        <v>2.985995325E7</v>
      </c>
      <c r="K112" s="983">
        <v>3.55200742E7</v>
      </c>
      <c r="L112" s="983">
        <v>3.611889502E7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0.5" customHeight="1">
      <c r="A113" s="982" t="s">
        <v>397</v>
      </c>
      <c r="B113" s="983">
        <v>2470645.08</v>
      </c>
      <c r="C113" s="983">
        <v>2989690.05</v>
      </c>
      <c r="D113" s="983">
        <v>3030236.71</v>
      </c>
      <c r="E113" s="984"/>
      <c r="F113" s="983">
        <v>1.465786632E7</v>
      </c>
      <c r="G113" s="983">
        <v>1.721633743E7</v>
      </c>
      <c r="H113" s="983">
        <v>1.743617733E7</v>
      </c>
      <c r="I113" s="984"/>
      <c r="J113" s="983">
        <v>2.985995325E7</v>
      </c>
      <c r="K113" s="983">
        <v>3.55200742E7</v>
      </c>
      <c r="L113" s="983">
        <v>3.611889502E7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0.5" customHeight="1">
      <c r="A114" s="982" t="s">
        <v>398</v>
      </c>
      <c r="B114" s="985">
        <v>-467705.58</v>
      </c>
      <c r="C114" s="985">
        <v>-666569.18</v>
      </c>
      <c r="D114" s="985">
        <v>-819704.69</v>
      </c>
      <c r="E114" s="987"/>
      <c r="F114" s="985">
        <v>-2511115.35</v>
      </c>
      <c r="G114" s="985">
        <v>-3561664.42</v>
      </c>
      <c r="H114" s="985">
        <v>-3437984.54</v>
      </c>
      <c r="I114" s="987"/>
      <c r="J114" s="985">
        <v>-5005492.25</v>
      </c>
      <c r="K114" s="985">
        <v>-6812120.64</v>
      </c>
      <c r="L114" s="985">
        <v>-7019491.35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s="982" t="s">
        <v>400</v>
      </c>
      <c r="B115" s="983">
        <v>2002939.5</v>
      </c>
      <c r="C115" s="983">
        <v>2323120.86</v>
      </c>
      <c r="D115" s="983">
        <v>2210532.02</v>
      </c>
      <c r="E115" s="984"/>
      <c r="F115" s="983">
        <v>1.214675097E7</v>
      </c>
      <c r="G115" s="983">
        <v>1.365467302E7</v>
      </c>
      <c r="H115" s="983">
        <v>1.399819279E7</v>
      </c>
      <c r="I115" s="984"/>
      <c r="J115" s="983">
        <v>2.4854461E7</v>
      </c>
      <c r="K115" s="983">
        <v>2.870795356E7</v>
      </c>
      <c r="L115" s="983">
        <v>2.909940367E7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0.5" customHeight="1">
      <c r="A116" s="982" t="s">
        <v>401</v>
      </c>
      <c r="B116" s="985">
        <v>-217843.0</v>
      </c>
      <c r="C116" s="985">
        <v>-212087.69</v>
      </c>
      <c r="D116" s="985">
        <v>-203124.57</v>
      </c>
      <c r="E116" s="987"/>
      <c r="F116" s="985">
        <v>-1306935.1</v>
      </c>
      <c r="G116" s="985">
        <v>-1267021.79</v>
      </c>
      <c r="H116" s="985">
        <v>-1215231.04</v>
      </c>
      <c r="I116" s="987"/>
      <c r="J116" s="985">
        <v>-2617562.08</v>
      </c>
      <c r="K116" s="985">
        <v>-2628589.3</v>
      </c>
      <c r="L116" s="985">
        <v>-2566039.63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0.5" customHeight="1">
      <c r="A117" s="982" t="s">
        <v>403</v>
      </c>
      <c r="B117" s="983">
        <v>1785096.5</v>
      </c>
      <c r="C117" s="983">
        <v>2111033.17</v>
      </c>
      <c r="D117" s="983">
        <v>2007407.45</v>
      </c>
      <c r="E117" s="984"/>
      <c r="F117" s="983">
        <v>1.083981587E7</v>
      </c>
      <c r="G117" s="983">
        <v>1.238765123E7</v>
      </c>
      <c r="H117" s="983">
        <v>1.278296175E7</v>
      </c>
      <c r="I117" s="984"/>
      <c r="J117" s="983">
        <v>2.223689892E7</v>
      </c>
      <c r="K117" s="983">
        <v>2.607936426E7</v>
      </c>
      <c r="L117" s="983">
        <v>2.653336404E7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0.5" customHeight="1">
      <c r="A118" s="982" t="s">
        <v>84</v>
      </c>
      <c r="B118" s="985">
        <v>-546657.69</v>
      </c>
      <c r="C118" s="985">
        <v>-717494.63</v>
      </c>
      <c r="D118" s="985">
        <v>-709342.35</v>
      </c>
      <c r="E118" s="987"/>
      <c r="F118" s="985">
        <v>-3350105.99</v>
      </c>
      <c r="G118" s="985">
        <v>-4660719.16</v>
      </c>
      <c r="H118" s="985">
        <v>-4402215.75</v>
      </c>
      <c r="I118" s="987"/>
      <c r="J118" s="985">
        <v>-5944917.87</v>
      </c>
      <c r="K118" s="985">
        <v>-8763728.56</v>
      </c>
      <c r="L118" s="985">
        <v>-8253753.22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0.5" customHeight="1">
      <c r="A119" s="988" t="s">
        <v>405</v>
      </c>
      <c r="B119" s="989">
        <v>123793.69</v>
      </c>
      <c r="C119" s="989">
        <v>94326.5</v>
      </c>
      <c r="D119" s="989">
        <v>105351.81</v>
      </c>
      <c r="E119" s="984"/>
      <c r="F119" s="989">
        <v>800848.41</v>
      </c>
      <c r="G119" s="989">
        <v>525609.8</v>
      </c>
      <c r="H119" s="989">
        <v>644168.08</v>
      </c>
      <c r="I119" s="984"/>
      <c r="J119" s="989">
        <v>2150297.38</v>
      </c>
      <c r="K119" s="989">
        <v>791268.61</v>
      </c>
      <c r="L119" s="989">
        <v>1330321.16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0.5" customHeight="1">
      <c r="A120" s="988" t="s">
        <v>407</v>
      </c>
      <c r="B120" s="990">
        <v>-670451.38</v>
      </c>
      <c r="C120" s="990">
        <v>-811821.13</v>
      </c>
      <c r="D120" s="990">
        <v>-814694.16</v>
      </c>
      <c r="E120" s="987"/>
      <c r="F120" s="990">
        <v>-4150954.4</v>
      </c>
      <c r="G120" s="990">
        <v>-5186328.96</v>
      </c>
      <c r="H120" s="990">
        <v>-5046383.83</v>
      </c>
      <c r="I120" s="987"/>
      <c r="J120" s="990">
        <v>-8095215.25</v>
      </c>
      <c r="K120" s="990">
        <v>-9554997.17</v>
      </c>
      <c r="L120" s="990">
        <v>-9584074.38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0.5" customHeight="1">
      <c r="A121" s="982" t="s">
        <v>86</v>
      </c>
      <c r="B121" s="983">
        <v>1238438.81</v>
      </c>
      <c r="C121" s="983">
        <v>1393538.54</v>
      </c>
      <c r="D121" s="983">
        <v>1298065.1</v>
      </c>
      <c r="E121" s="984"/>
      <c r="F121" s="983">
        <v>7489709.88</v>
      </c>
      <c r="G121" s="983">
        <v>7726932.07</v>
      </c>
      <c r="H121" s="983">
        <v>8380746.0</v>
      </c>
      <c r="I121" s="984"/>
      <c r="J121" s="983">
        <v>1.629198105E7</v>
      </c>
      <c r="K121" s="983">
        <v>1.73156357E7</v>
      </c>
      <c r="L121" s="983">
        <v>1.827961082E7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0.5" customHeight="1">
      <c r="A122" s="982" t="s">
        <v>87</v>
      </c>
      <c r="B122" s="985">
        <v>-322498.68</v>
      </c>
      <c r="C122" s="985">
        <v>-403183.56</v>
      </c>
      <c r="D122" s="985">
        <v>-412327.07</v>
      </c>
      <c r="E122" s="987"/>
      <c r="F122" s="985">
        <v>-1964567.14</v>
      </c>
      <c r="G122" s="985">
        <v>-2315784.63</v>
      </c>
      <c r="H122" s="985">
        <v>-2340983.54</v>
      </c>
      <c r="I122" s="987"/>
      <c r="J122" s="985">
        <v>-4148465.4</v>
      </c>
      <c r="K122" s="985">
        <v>-4678165.65</v>
      </c>
      <c r="L122" s="985">
        <v>-4893375.78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0.5" customHeight="1">
      <c r="A123" s="982" t="s">
        <v>410</v>
      </c>
      <c r="B123" s="983">
        <v>915940.13</v>
      </c>
      <c r="C123" s="983">
        <v>990354.99</v>
      </c>
      <c r="D123" s="983">
        <v>885738.03</v>
      </c>
      <c r="E123" s="984"/>
      <c r="F123" s="983">
        <v>5525142.74</v>
      </c>
      <c r="G123" s="983">
        <v>5411147.44</v>
      </c>
      <c r="H123" s="983">
        <v>6039762.46</v>
      </c>
      <c r="I123" s="984"/>
      <c r="J123" s="983">
        <v>1.214351565E7</v>
      </c>
      <c r="K123" s="983">
        <v>1.263747005E7</v>
      </c>
      <c r="L123" s="983">
        <v>1.338623504E7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0.5" customHeight="1">
      <c r="A124" s="988" t="s">
        <v>411</v>
      </c>
      <c r="B124" s="992">
        <v>0.8107</v>
      </c>
      <c r="C124" s="992">
        <v>0.777</v>
      </c>
      <c r="D124" s="992">
        <v>0.7295</v>
      </c>
      <c r="E124" s="993"/>
      <c r="F124" s="992">
        <v>0.8287</v>
      </c>
      <c r="G124" s="992">
        <v>0.7931</v>
      </c>
      <c r="H124" s="993"/>
      <c r="I124" s="993"/>
      <c r="J124" s="992">
        <v>0.8324</v>
      </c>
      <c r="K124" s="992">
        <v>0.8082</v>
      </c>
      <c r="L124" s="992">
        <v>0.8057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0.5" customHeight="1">
      <c r="A125" s="4"/>
      <c r="B125" s="65"/>
      <c r="C125" s="65"/>
      <c r="D125" s="65"/>
      <c r="E125" s="5"/>
      <c r="F125" s="65"/>
      <c r="G125" s="65"/>
      <c r="H125" s="65"/>
      <c r="I125" s="5"/>
      <c r="J125" s="65"/>
      <c r="K125" s="65"/>
      <c r="L125" s="6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0.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0.5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0.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0.5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0.5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0.5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0.5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0.5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0.5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0.5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0.5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0.5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0.5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0.5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0.5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0.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0.5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0.5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0.5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0.5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0.5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0.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0.5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0.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0.5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0.5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0.5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0.5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0.5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0.5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0.5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0.5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0.5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0.5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0.5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0.5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0.5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0.5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0.5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0.5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0.5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0.5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0.5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0.5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0.5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0.5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0.5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0.5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0.5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0.5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0.5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0.5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0.5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0.5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0.5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0.5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0.5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0.5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0.5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0.5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0.5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0.5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0.5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0.5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0.5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0.5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0.5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0.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0.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0.5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0.5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0.5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0.5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0.5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0.5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0.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0.5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0.5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0.5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0.5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0.5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0.5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0.5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0.5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0.5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0.5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0.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0.5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0.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0.5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0.5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0.5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0.5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.5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0.5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0.5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0.5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0.5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0.5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0.5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0.5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0.5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0.5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0.5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0.5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0.5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0.5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0.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0.5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0.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0.5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0.5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0.5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0.5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0.5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0.5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0.5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0.5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0.5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0.5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0.5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0.5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0.5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0.5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0.5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0.5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0.5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0.5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0.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0.5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0.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0.5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0.5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0.5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0.5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0.5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0.5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0.5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0.5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0.5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0.5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0.5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0.5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0.5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0.5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0.5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0.5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0.5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0.5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0.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0.5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0.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0.5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0.5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0.5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0.5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0.5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0.5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0.5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0.5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0.5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0.5" customHeight="1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0.5" customHeight="1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0.5" customHeight="1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0.5" customHeight="1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0.5" customHeight="1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0.5" customHeight="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0.5" customHeight="1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0.5" customHeight="1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0.5" customHeight="1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0.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0.5" customHeight="1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0.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0.5" customHeight="1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0.5" customHeight="1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0.5" customHeight="1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0.5" customHeight="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0.5" customHeight="1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0.5" customHeight="1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0.5" customHeight="1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0.5" customHeight="1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0.5" customHeight="1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0.5" customHeight="1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0.5" customHeight="1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0.5" customHeight="1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0.5" customHeight="1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0.5" customHeight="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0.5" customHeight="1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0.5" customHeight="1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0.5" customHeight="1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0.5" customHeight="1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0.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0.5" customHeight="1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0.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0.5" customHeight="1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0.5" customHeight="1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0.5" customHeight="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0.5" customHeight="1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0.5" customHeight="1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0.5" customHeight="1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0.5" customHeight="1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0.5" customHeight="1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0.5" customHeight="1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0.5" customHeight="1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0.5" customHeight="1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0.5" customHeight="1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0.5" customHeight="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0.5" customHeight="1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0.5" customHeight="1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0.5" customHeight="1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0.5" customHeight="1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0.5" customHeight="1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0.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0.5" customHeight="1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0.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0.5" customHeight="1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0.5" customHeight="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0.5" customHeight="1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0.5" customHeight="1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0.5" customHeight="1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0.5" customHeight="1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0.5" customHeight="1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0.5" customHeight="1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0.5" customHeight="1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0.5" customHeight="1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0.5" customHeight="1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0.5" customHeight="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0.5" customHeight="1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0.5" customHeight="1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0.5" customHeight="1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0.5" customHeight="1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0.5" customHeight="1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0.5" customHeight="1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0.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0.5" customHeight="1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0.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0.5" customHeight="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0.5" customHeight="1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0.5" customHeight="1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0.5" customHeight="1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0.5" customHeight="1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0.5" customHeight="1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0.5" customHeight="1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0.5" customHeight="1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0.5" customHeight="1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0.5" customHeight="1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0.5" customHeight="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0.5" customHeight="1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0.5" customHeight="1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0.5" customHeight="1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0.5" customHeight="1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0.5" customHeight="1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0.5" customHeight="1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0.5" customHeight="1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0.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0.5" customHeight="1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0.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0.5" customHeight="1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0.5" customHeight="1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0.5" customHeight="1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0.5" customHeight="1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0.5" customHeight="1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0.5" customHeight="1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0.5" customHeight="1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0.5" customHeight="1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0.5" customHeight="1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0.5" customHeight="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0.5" customHeight="1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0.5" customHeight="1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0.5" customHeight="1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0.5" customHeight="1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0.5" customHeight="1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0.5" customHeight="1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0.5" customHeight="1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0.5" customHeight="1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0.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0.5" customHeight="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0.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0.5" customHeight="1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0.5" customHeight="1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0.5" customHeight="1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0.5" customHeight="1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0.5" customHeight="1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0.5" customHeight="1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0.5" customHeight="1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0.5" customHeight="1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0.5" customHeight="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0.5" customHeight="1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0.5" customHeight="1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0.5" customHeight="1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0.5" customHeight="1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0.5" customHeight="1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0.5" customHeight="1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0.5" customHeight="1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0.5" customHeight="1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0.5" customHeight="1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0.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0.5" customHeight="1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0.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0.5" customHeight="1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0.5" customHeight="1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0.5" customHeight="1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0.5" customHeight="1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0.5" customHeight="1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0.5" customHeight="1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0.5" customHeight="1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0.5" customHeight="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0.5" customHeight="1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0.5" customHeight="1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0.5" customHeight="1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0.5" customHeight="1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0.5" customHeight="1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0.5" customHeight="1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0.5" customHeight="1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0.5" customHeight="1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0.5" customHeight="1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0.5" customHeight="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0.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0.5" customHeight="1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0.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0.5" customHeight="1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0.5" customHeight="1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0.5" customHeight="1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0.5" customHeight="1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0.5" customHeight="1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0.5" customHeight="1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0.5" customHeight="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0.5" customHeight="1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0.5" customHeight="1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0.5" customHeight="1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0.5" customHeight="1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0.5" customHeight="1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0.5" customHeight="1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0.5" customHeight="1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0.5" customHeight="1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0.5" customHeight="1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0.5" customHeight="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0.5" customHeight="1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0.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0.5" customHeight="1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0.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0.5" customHeight="1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0.5" customHeight="1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0.5" customHeight="1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0.5" customHeight="1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0.5" customHeight="1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0.5" customHeight="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0.5" customHeight="1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0.5" customHeight="1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0.5" customHeight="1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0.5" customHeight="1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0.5" customHeight="1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0.5" customHeight="1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0.5" customHeight="1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0.5" customHeight="1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0.5" customHeight="1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0.5" customHeight="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0.5" customHeight="1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0.5" customHeight="1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0.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0.5" customHeight="1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0.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0.5" customHeight="1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0.5" customHeight="1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0.5" customHeight="1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0.5" customHeight="1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0.5" customHeight="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0.5" customHeight="1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0.5" customHeight="1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0.5" customHeight="1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0.5" customHeight="1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0.5" customHeight="1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0.5" customHeight="1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0.5" customHeight="1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0.5" customHeight="1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0.5" customHeight="1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0.5" customHeight="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0.5" customHeight="1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0.5" customHeight="1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0.5" customHeight="1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0.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0.5" customHeight="1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0.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0.5" customHeight="1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0.5" customHeight="1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0.5" customHeight="1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0.5" customHeight="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0.5" customHeight="1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0.5" customHeight="1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0.5" customHeight="1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0.5" customHeight="1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0.5" customHeight="1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0.5" customHeight="1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0.5" customHeight="1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0.5" customHeight="1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0.5" customHeight="1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0.5" customHeight="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0.5" customHeight="1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0.5" customHeight="1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0.5" customHeight="1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0.5" customHeight="1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0.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0.5" customHeight="1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0.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0.5" customHeight="1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0.5" customHeight="1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0.5" customHeight="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0.5" customHeight="1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0.5" customHeight="1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0.5" customHeight="1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0.5" customHeight="1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0.5" customHeight="1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0.5" customHeight="1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0.5" customHeight="1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0.5" customHeight="1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0.5" customHeight="1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0.5" customHeight="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0.5" customHeight="1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0.5" customHeight="1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0.5" customHeight="1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0.5" customHeight="1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0.5" customHeight="1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0.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0.5" customHeight="1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0.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0.5" customHeight="1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0.5" customHeight="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0.5" customHeight="1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0.5" customHeight="1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0.5" customHeight="1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0.5" customHeight="1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0.5" customHeight="1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0.5" customHeight="1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0.5" customHeight="1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0.5" customHeight="1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0.5" customHeight="1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0.5" customHeight="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0.5" customHeight="1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0.5" customHeight="1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0.5" customHeight="1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0.5" customHeight="1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0.5" customHeight="1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0.5" customHeight="1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0.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0.5" customHeight="1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0.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0.5" customHeight="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0.5" customHeight="1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0.5" customHeight="1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0.5" customHeight="1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0.5" customHeight="1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0.5" customHeight="1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0.5" customHeight="1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0.5" customHeight="1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0.5" customHeight="1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0.5" customHeight="1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0.5" customHeight="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0.5" customHeight="1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0.5" customHeight="1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0.5" customHeight="1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0.5" customHeight="1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0.5" customHeight="1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0.5" customHeight="1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0.5" customHeight="1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0.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0.5" customHeight="1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0.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0.5" customHeight="1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0.5" customHeight="1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0.5" customHeight="1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0.5" customHeight="1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0.5" customHeight="1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0.5" customHeight="1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0.5" customHeight="1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0.5" customHeight="1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0.5" customHeight="1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0.5" customHeight="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0.5" customHeight="1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0.5" customHeight="1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0.5" customHeight="1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0.5" customHeight="1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0.5" customHeight="1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0.5" customHeight="1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0.5" customHeight="1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0.5" customHeight="1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0.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0.5" customHeight="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0.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0.5" customHeight="1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0.5" customHeight="1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0.5" customHeight="1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0.5" customHeight="1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0.5" customHeight="1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0.5" customHeight="1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0.5" customHeight="1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0.5" customHeight="1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0.5" customHeight="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0.5" customHeight="1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0.5" customHeight="1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0.5" customHeight="1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0.5" customHeight="1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0.5" customHeight="1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0.5" customHeight="1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0.5" customHeight="1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0.5" customHeight="1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0.5" customHeight="1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0.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0.5" customHeight="1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0.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0.5" customHeight="1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0.5" customHeight="1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0.5" customHeight="1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0.5" customHeight="1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0.5" customHeight="1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0.5" customHeight="1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0.5" customHeight="1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0.5" customHeight="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0.5" customHeight="1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0.5" customHeight="1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0.5" customHeight="1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0.5" customHeight="1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0.5" customHeight="1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0.5" customHeight="1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0.5" customHeight="1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0.5" customHeight="1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0.5" customHeight="1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0.5" customHeight="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0.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0.5" customHeight="1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0.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0.5" customHeight="1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0.5" customHeight="1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0.5" customHeight="1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0.5" customHeight="1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0.5" customHeight="1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0.5" customHeight="1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0.5" customHeight="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0.5" customHeight="1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0.5" customHeight="1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0.5" customHeight="1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0.5" customHeight="1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0.5" customHeight="1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0.5" customHeight="1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0.5" customHeight="1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0.5" customHeight="1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0.5" customHeight="1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0.5" customHeight="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0.5" customHeight="1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0.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0.5" customHeight="1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0.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0.5" customHeight="1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0.5" customHeight="1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0.5" customHeight="1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0.5" customHeight="1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0.5" customHeight="1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0.5" customHeight="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0.5" customHeight="1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0.5" customHeight="1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0.5" customHeight="1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0.5" customHeight="1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0.5" customHeight="1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0.5" customHeight="1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0.5" customHeight="1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0.5" customHeight="1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0.5" customHeight="1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0.5" customHeight="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0.5" customHeight="1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0.5" customHeight="1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0.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0.5" customHeight="1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0.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0.5" customHeight="1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0.5" customHeight="1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0.5" customHeight="1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0.5" customHeight="1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0.5" customHeight="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0.5" customHeight="1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0.5" customHeight="1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0.5" customHeight="1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0.5" customHeight="1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0.5" customHeight="1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0.5" customHeight="1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0.5" customHeight="1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0.5" customHeight="1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0.5" customHeight="1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0.5" customHeight="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0.5" customHeight="1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0.5" customHeight="1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0.5" customHeight="1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0.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0.5" customHeight="1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0.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0.5" customHeight="1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0.5" customHeight="1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0.5" customHeight="1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0.5" customHeight="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0.5" customHeight="1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0.5" customHeight="1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0.5" customHeight="1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0.5" customHeight="1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0.5" customHeight="1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0.5" customHeight="1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0.5" customHeight="1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0.5" customHeight="1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0.5" customHeight="1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0.5" customHeight="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0.5" customHeight="1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0.5" customHeight="1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0.5" customHeight="1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0.5" customHeight="1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0.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0.5" customHeight="1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0.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0.5" customHeight="1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0.5" customHeight="1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0.5" customHeight="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0.5" customHeight="1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0.5" customHeight="1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0.5" customHeight="1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0.5" customHeight="1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0.5" customHeight="1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0.5" customHeight="1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0.5" customHeight="1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0.5" customHeight="1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0.5" customHeight="1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0.5" customHeight="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0.5" customHeight="1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0.5" customHeight="1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0.5" customHeight="1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0.5" customHeight="1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0.5" customHeight="1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0.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0.5" customHeight="1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0.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0.5" customHeight="1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0.5" customHeight="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0.5" customHeight="1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0.5" customHeight="1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0.5" customHeight="1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0.5" customHeight="1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0.5" customHeight="1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0.5" customHeight="1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0.5" customHeight="1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0.5" customHeight="1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0.5" customHeight="1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0.5" customHeight="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0.5" customHeight="1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0.5" customHeight="1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0.5" customHeight="1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0.5" customHeight="1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0.5" customHeight="1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0.5" customHeight="1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0.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0.5" customHeight="1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0.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0.5" customHeight="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0.5" customHeight="1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0.5" customHeight="1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0.5" customHeight="1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0.5" customHeight="1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0.5" customHeight="1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0.5" customHeight="1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0.5" customHeight="1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0.5" customHeight="1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0.5" customHeight="1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0.5" customHeight="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0.5" customHeight="1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0.5" customHeight="1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0.5" customHeight="1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0.5" customHeight="1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0.5" customHeight="1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0.5" customHeight="1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0.5" customHeight="1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0.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0.5" customHeight="1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0.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0.5" customHeight="1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0.5" customHeight="1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0.5" customHeight="1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0.5" customHeight="1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0.5" customHeight="1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0.5" customHeight="1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0.5" customHeight="1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0.5" customHeight="1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0.5" customHeight="1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0.5" customHeight="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0.5" customHeight="1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0.5" customHeight="1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0.5" customHeight="1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0.5" customHeight="1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0.5" customHeight="1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0.5" customHeight="1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0.5" customHeight="1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0.5" customHeight="1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0.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0.5" customHeight="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0.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0.5" customHeight="1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0.5" customHeight="1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0.5" customHeight="1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0.5" customHeight="1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0.5" customHeight="1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0.5" customHeight="1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0.5" customHeight="1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0.5" customHeight="1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0.5" customHeight="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0.5" customHeight="1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0.5" customHeight="1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0.5" customHeight="1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0.5" customHeight="1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0.5" customHeight="1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0.5" customHeight="1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0.5" customHeight="1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0.5" customHeight="1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0.5" customHeight="1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0.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0.5" customHeight="1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0.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0.5" customHeight="1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0.5" customHeight="1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0.5" customHeight="1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0.5" customHeight="1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0.5" customHeight="1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0.5" customHeight="1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0.5" customHeight="1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0.5" customHeight="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0.5" customHeight="1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0.5" customHeight="1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0.5" customHeight="1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0.5" customHeight="1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0.5" customHeight="1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0.5" customHeight="1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0.5" customHeight="1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0.5" customHeight="1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0.5" customHeight="1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0.5" customHeight="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0.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0.5" customHeight="1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0.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0.5" customHeight="1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0.5" customHeight="1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0.5" customHeight="1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0.5" customHeight="1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0.5" customHeight="1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0.5" customHeight="1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0.5" customHeight="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0.5" customHeight="1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0.5" customHeight="1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0.5" customHeight="1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0.5" customHeight="1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0.5" customHeight="1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0.5" customHeight="1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0.5" customHeight="1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0.5" customHeight="1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0.5" customHeight="1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0.5" customHeight="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0.5" customHeight="1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0.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0.5" customHeight="1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0.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0.5" customHeight="1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0.5" customHeight="1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0.5" customHeight="1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0.5" customHeight="1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0.5" customHeight="1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0.5" customHeight="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0.5" customHeight="1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0.5" customHeight="1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0.5" customHeight="1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0.5" customHeight="1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0.5" customHeight="1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0.5" customHeight="1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0.5" customHeight="1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0.5" customHeight="1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0.5" customHeight="1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0.5" customHeight="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0.5" customHeight="1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0.5" customHeight="1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0.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0.5" customHeight="1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0.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0.5" customHeight="1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0.5" customHeight="1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0.5" customHeight="1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0.5" customHeight="1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0.5" customHeight="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0.5" customHeight="1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0.5" customHeight="1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0.5" customHeight="1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0.5" customHeight="1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0.5" customHeight="1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0.5" customHeight="1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0.5" customHeight="1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0.5" customHeight="1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0.5" customHeight="1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0.5" customHeight="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0.5" customHeight="1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0.5" customHeight="1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0.5" customHeight="1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0.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0.5" customHeight="1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0.5" customHeight="1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0.5" customHeight="1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0.5" customHeight="1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0.5" customHeight="1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0.5" customHeight="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0.5" customHeight="1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0.5" customHeight="1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0.5" customHeight="1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0.5" customHeight="1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0.5" customHeight="1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0.5" customHeight="1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0.5" customHeight="1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0.5" customHeight="1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0.5" customHeight="1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0.5" customHeight="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0.5" customHeight="1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0.5" customHeight="1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0.5" customHeight="1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0.5" customHeight="1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0.5" customHeight="1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0.5" customHeight="1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0.5" customHeight="1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0.5" customHeight="1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0.5" customHeight="1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0.5" customHeight="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0.5" customHeight="1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0.5" customHeight="1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0.5" customHeight="1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0.5" customHeight="1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0.5" customHeight="1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0.5" customHeight="1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0.5" customHeight="1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0.5" customHeight="1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0.5" customHeight="1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0.5" customHeight="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0.5" customHeight="1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0.5" customHeight="1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0.5" customHeight="1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0.5" customHeight="1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0.5" customHeight="1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0.5" customHeight="1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0.5" customHeight="1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0.5" customHeight="1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0.5" customHeight="1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0.5" customHeight="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0.5" customHeight="1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0.5" customHeight="1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0.5" customHeight="1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0.5" customHeight="1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0.5" customHeight="1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0.5" customHeight="1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0.5" customHeight="1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0.5" customHeight="1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0.5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O54:S5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7.43"/>
    <col customWidth="1" min="3" max="5" width="12.86"/>
    <col customWidth="1" min="6" max="7" width="13.29"/>
    <col customWidth="1" min="8" max="9" width="8.71"/>
    <col customWidth="1" min="10" max="10" width="10.43"/>
    <col customWidth="1" min="11" max="11" width="19.57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1037" t="s">
        <v>293</v>
      </c>
      <c r="C3" s="848" t="s">
        <v>27</v>
      </c>
      <c r="D3" s="848" t="s">
        <v>30</v>
      </c>
      <c r="E3" s="848" t="s">
        <v>31</v>
      </c>
      <c r="F3" s="1038" t="s">
        <v>258</v>
      </c>
      <c r="G3" s="1038" t="s">
        <v>259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273"/>
      <c r="B4" s="1039" t="s">
        <v>431</v>
      </c>
      <c r="C4" s="971">
        <v>33729.06</v>
      </c>
      <c r="D4" s="971">
        <v>34392.92</v>
      </c>
      <c r="E4" s="971">
        <v>34272.47</v>
      </c>
      <c r="F4" s="1040">
        <f t="shared" ref="F4:F6" si="1">E4-D4</f>
        <v>-120.45</v>
      </c>
      <c r="G4" s="1041">
        <f t="shared" ref="G4:G6" si="2">E4/D4-1</f>
        <v>-0.003502174285</v>
      </c>
      <c r="H4" s="273"/>
      <c r="I4" s="1042"/>
      <c r="J4" s="1042"/>
      <c r="K4" s="1042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19.5" customHeight="1">
      <c r="A5" s="273"/>
      <c r="B5" s="1039" t="s">
        <v>432</v>
      </c>
      <c r="C5" s="1043">
        <v>21265.02</v>
      </c>
      <c r="D5" s="971">
        <v>21274.1</v>
      </c>
      <c r="E5" s="1044">
        <v>21265.02</v>
      </c>
      <c r="F5" s="1040">
        <f t="shared" si="1"/>
        <v>-9.08</v>
      </c>
      <c r="G5" s="1041">
        <f t="shared" si="2"/>
        <v>-0.0004268100648</v>
      </c>
      <c r="H5" s="273"/>
      <c r="I5" s="1042"/>
      <c r="J5" s="1042"/>
      <c r="K5" s="1042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19.5" customHeight="1">
      <c r="A6" s="1"/>
      <c r="B6" s="1045" t="s">
        <v>70</v>
      </c>
      <c r="C6" s="1046">
        <f t="shared" ref="C6:E6" si="3">C5+C4</f>
        <v>54994.08</v>
      </c>
      <c r="D6" s="1046">
        <f t="shared" si="3"/>
        <v>55667.02</v>
      </c>
      <c r="E6" s="1046">
        <f t="shared" si="3"/>
        <v>55537.49</v>
      </c>
      <c r="F6" s="1047">
        <f t="shared" si="1"/>
        <v>-129.53</v>
      </c>
      <c r="G6" s="1048">
        <f t="shared" si="2"/>
        <v>-0.002326871458</v>
      </c>
      <c r="H6" s="1"/>
      <c r="I6" s="1"/>
      <c r="J6" s="104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37" t="s">
        <v>262</v>
      </c>
      <c r="C7" s="848" t="s">
        <v>27</v>
      </c>
      <c r="D7" s="848" t="s">
        <v>30</v>
      </c>
      <c r="E7" s="848" t="s">
        <v>31</v>
      </c>
      <c r="F7" s="1050" t="s">
        <v>258</v>
      </c>
      <c r="G7" s="1038" t="s">
        <v>259</v>
      </c>
      <c r="H7" s="1"/>
      <c r="I7" s="1"/>
      <c r="J7" s="104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273"/>
      <c r="B8" s="1039" t="s">
        <v>433</v>
      </c>
      <c r="C8" s="971">
        <v>2392917.3</v>
      </c>
      <c r="D8" s="971">
        <v>2928419.62</v>
      </c>
      <c r="E8" s="971">
        <v>2970631.39</v>
      </c>
      <c r="F8" s="1040">
        <f t="shared" ref="F8:F13" si="4">E8-D8</f>
        <v>42211.77</v>
      </c>
      <c r="G8" s="1041">
        <f t="shared" ref="G8:G13" si="5">E8/D8-1</f>
        <v>0.01441452233</v>
      </c>
      <c r="H8" s="273"/>
      <c r="I8" s="1042"/>
      <c r="J8" s="1042"/>
      <c r="K8" s="1042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19.5" customHeight="1">
      <c r="A9" s="273"/>
      <c r="B9" s="1039" t="s">
        <v>434</v>
      </c>
      <c r="C9" s="971">
        <v>6701.87</v>
      </c>
      <c r="D9" s="971">
        <v>6701.87</v>
      </c>
      <c r="E9" s="971">
        <v>6701.87</v>
      </c>
      <c r="F9" s="1040">
        <f t="shared" si="4"/>
        <v>0</v>
      </c>
      <c r="G9" s="1041">
        <f t="shared" si="5"/>
        <v>0</v>
      </c>
      <c r="H9" s="273"/>
      <c r="I9" s="1042"/>
      <c r="J9" s="1042"/>
      <c r="K9" s="1042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19.5" customHeight="1">
      <c r="A10" s="273"/>
      <c r="B10" s="1039" t="s">
        <v>435</v>
      </c>
      <c r="C10" s="971">
        <v>55512.42</v>
      </c>
      <c r="D10" s="971">
        <v>55512.42</v>
      </c>
      <c r="E10" s="971">
        <v>55512.42</v>
      </c>
      <c r="F10" s="1040">
        <f t="shared" si="4"/>
        <v>0</v>
      </c>
      <c r="G10" s="1041">
        <f t="shared" si="5"/>
        <v>0</v>
      </c>
      <c r="H10" s="273"/>
      <c r="I10" s="1051"/>
      <c r="J10" s="1051"/>
      <c r="K10" s="1052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19.5" customHeight="1">
      <c r="A11" s="1"/>
      <c r="B11" s="1053" t="s">
        <v>436</v>
      </c>
      <c r="C11" s="971">
        <v>54114.17</v>
      </c>
      <c r="D11" s="971">
        <v>56646.71</v>
      </c>
      <c r="E11" s="971">
        <v>56647.15</v>
      </c>
      <c r="F11" s="1040">
        <f t="shared" si="4"/>
        <v>0.44</v>
      </c>
      <c r="G11" s="1041">
        <f t="shared" si="5"/>
        <v>0.000007767441393</v>
      </c>
      <c r="H11" s="1"/>
      <c r="I11" s="111">
        <f>D11-E11</f>
        <v>-0.44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057" t="s">
        <v>70</v>
      </c>
      <c r="C12" s="1059">
        <f t="shared" ref="C12:E12" si="6">SUM(C8:C11)</f>
        <v>2509245.76</v>
      </c>
      <c r="D12" s="1059">
        <f t="shared" si="6"/>
        <v>3047280.62</v>
      </c>
      <c r="E12" s="1059">
        <f t="shared" si="6"/>
        <v>3089492.83</v>
      </c>
      <c r="F12" s="1060">
        <f t="shared" si="4"/>
        <v>42212.21</v>
      </c>
      <c r="G12" s="1061">
        <f t="shared" si="5"/>
        <v>0.01385241967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1"/>
      <c r="B13" s="1065" t="s">
        <v>265</v>
      </c>
      <c r="C13" s="1059">
        <f t="shared" ref="C13:E13" si="7">C12+C6</f>
        <v>2564239.84</v>
      </c>
      <c r="D13" s="1059">
        <f t="shared" si="7"/>
        <v>3102947.64</v>
      </c>
      <c r="E13" s="1059">
        <f t="shared" si="7"/>
        <v>3145030.32</v>
      </c>
      <c r="F13" s="1060">
        <f t="shared" si="4"/>
        <v>42082.68</v>
      </c>
      <c r="G13" s="1061">
        <f t="shared" si="5"/>
        <v>0.01356216246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066">
        <f>'Demercado_senha capital OK'!B110</f>
        <v>2564239.84</v>
      </c>
      <c r="D14" s="1066">
        <f>'Demercado_senha capital OK'!C110</f>
        <v>3102947.64</v>
      </c>
      <c r="E14" s="1066">
        <f>'Demercado_senha capital OK'!D110</f>
        <v>3145030.32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071">
        <f t="shared" ref="C15:E15" si="8">C14-C13</f>
        <v>0</v>
      </c>
      <c r="D15" s="1071">
        <f t="shared" si="8"/>
        <v>0</v>
      </c>
      <c r="E15" s="1075">
        <f t="shared" si="8"/>
        <v>-0.0000000004656612873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078"/>
      <c r="D16" s="1078"/>
      <c r="E16" s="107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082"/>
      <c r="B17" s="1083"/>
      <c r="C17" s="1084"/>
      <c r="D17" s="1084"/>
      <c r="E17" s="1084"/>
      <c r="F17" s="1085"/>
      <c r="G17" s="1086"/>
      <c r="H17" s="1082"/>
      <c r="I17" s="1082"/>
      <c r="J17" s="1082"/>
      <c r="K17" s="1082"/>
      <c r="L17" s="1082"/>
      <c r="M17" s="1082"/>
      <c r="N17" s="1082"/>
      <c r="O17" s="1082"/>
      <c r="P17" s="1082"/>
      <c r="Q17" s="1082"/>
      <c r="R17" s="1082"/>
      <c r="S17" s="1082"/>
      <c r="T17" s="1082"/>
      <c r="U17" s="1082"/>
      <c r="V17" s="1082"/>
      <c r="W17" s="1082"/>
      <c r="X17" s="1082"/>
      <c r="Y17" s="1082"/>
      <c r="Z17" s="1082"/>
    </row>
    <row r="18" ht="15.75" customHeight="1">
      <c r="A18" s="273"/>
      <c r="B18" s="1087"/>
      <c r="C18" s="1088"/>
      <c r="D18" s="1088"/>
      <c r="E18" s="1088"/>
      <c r="F18" s="1089"/>
      <c r="G18" s="1090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19.5" customHeight="1">
      <c r="A19" s="273"/>
      <c r="B19" s="1039" t="s">
        <v>441</v>
      </c>
      <c r="C19" s="1091">
        <v>0.0</v>
      </c>
      <c r="D19" s="1091">
        <v>0.0</v>
      </c>
      <c r="E19" s="1092"/>
      <c r="F19" s="1040">
        <f>E19-D19</f>
        <v>0</v>
      </c>
      <c r="G19" s="1041" t="str">
        <f>E19/D19-1</f>
        <v>#DIV/0!</v>
      </c>
      <c r="H19" s="273"/>
      <c r="I19" s="1042"/>
      <c r="J19" s="1042"/>
      <c r="K19" s="1042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5.75" customHeight="1">
      <c r="A20" s="1082"/>
      <c r="B20" s="1083"/>
      <c r="C20" s="1088"/>
      <c r="D20" s="1088"/>
      <c r="E20" s="1088"/>
      <c r="F20" s="1085"/>
      <c r="G20" s="1086"/>
      <c r="H20" s="1082"/>
      <c r="I20" s="1082"/>
      <c r="J20" s="1082"/>
      <c r="K20" s="1082"/>
      <c r="L20" s="1082"/>
      <c r="M20" s="1082"/>
      <c r="N20" s="1082"/>
      <c r="O20" s="1082"/>
      <c r="P20" s="1082"/>
      <c r="Q20" s="1082"/>
      <c r="R20" s="1082"/>
      <c r="S20" s="1082"/>
      <c r="T20" s="1082"/>
      <c r="U20" s="1082"/>
      <c r="V20" s="1082"/>
      <c r="W20" s="1082"/>
      <c r="X20" s="1082"/>
      <c r="Y20" s="1082"/>
      <c r="Z20" s="1082"/>
    </row>
    <row r="21" ht="15.75" customHeight="1">
      <c r="A21" s="1082"/>
      <c r="B21" s="1083"/>
      <c r="C21" s="1084"/>
      <c r="D21" s="1084"/>
      <c r="E21" s="1084"/>
      <c r="F21" s="1085"/>
      <c r="G21" s="1086"/>
      <c r="H21" s="1082"/>
      <c r="I21" s="1082"/>
      <c r="J21" s="1082"/>
      <c r="K21" s="1082"/>
      <c r="L21" s="1082"/>
      <c r="M21" s="1082"/>
      <c r="N21" s="1082"/>
      <c r="O21" s="1082"/>
      <c r="P21" s="1082"/>
      <c r="Q21" s="1082"/>
      <c r="R21" s="1082"/>
      <c r="S21" s="1082"/>
      <c r="T21" s="1082"/>
      <c r="U21" s="1082"/>
      <c r="V21" s="1082"/>
      <c r="W21" s="1082"/>
      <c r="X21" s="1082"/>
      <c r="Y21" s="1082"/>
      <c r="Z21" s="1082"/>
    </row>
    <row r="22" ht="15.75" customHeight="1">
      <c r="A22" s="1082"/>
      <c r="B22" s="1083"/>
      <c r="C22" s="1084"/>
      <c r="D22" s="1084"/>
      <c r="E22" s="1084"/>
      <c r="F22" s="1085"/>
      <c r="G22" s="1086"/>
      <c r="H22" s="1082"/>
      <c r="I22" s="1082"/>
      <c r="J22" s="1082"/>
      <c r="K22" s="1082"/>
      <c r="L22" s="1082"/>
      <c r="M22" s="1082"/>
      <c r="N22" s="1082"/>
      <c r="O22" s="1082"/>
      <c r="P22" s="1082"/>
      <c r="Q22" s="1082"/>
      <c r="R22" s="1082"/>
      <c r="S22" s="1082"/>
      <c r="T22" s="1082"/>
      <c r="U22" s="1082"/>
      <c r="V22" s="1082"/>
      <c r="W22" s="1082"/>
      <c r="X22" s="1082"/>
      <c r="Y22" s="1082"/>
      <c r="Z22" s="1082"/>
    </row>
    <row r="23" ht="15.75" customHeight="1">
      <c r="A23" s="273"/>
      <c r="B23" s="1087"/>
      <c r="C23" s="1084"/>
      <c r="D23" s="1084"/>
      <c r="E23" s="1084"/>
      <c r="F23" s="1095"/>
      <c r="G23" s="1096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15.75" customHeight="1">
      <c r="A24" s="1"/>
      <c r="B24" s="1"/>
      <c r="C24" s="1"/>
      <c r="D24" s="1"/>
      <c r="E24" s="109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09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11"/>
      <c r="D26" s="111"/>
      <c r="E26" s="109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conditionalFormatting sqref="F4:F5 G4:G6 F8:G13 F19:G19">
    <cfRule type="cellIs" dxfId="0" priority="1" stopIfTrue="1" operator="lessThan">
      <formula>0</formula>
    </cfRule>
  </conditionalFormatting>
  <conditionalFormatting sqref="F4:F5 G4:G6 F8:G13 F19:G19">
    <cfRule type="cellIs" dxfId="1" priority="2" stopIfTrue="1" operator="greaterThanOrEqual">
      <formula>0</formula>
    </cfRule>
  </conditionalFormatting>
  <conditionalFormatting sqref="G4:G6 F5:F6 G8 F10:G10">
    <cfRule type="cellIs" dxfId="0" priority="3" stopIfTrue="1" operator="lessThan">
      <formula>0</formula>
    </cfRule>
  </conditionalFormatting>
  <conditionalFormatting sqref="G4:G6 F5:F6 G8 F10:G10">
    <cfRule type="cellIs" dxfId="1" priority="4" stopIfTrue="1" operator="greaterThanOrEqual">
      <formula>0</formula>
    </cfRule>
  </conditionalFormatting>
  <conditionalFormatting sqref="F19">
    <cfRule type="cellIs" dxfId="0" priority="5" stopIfTrue="1" operator="lessThan">
      <formula>0</formula>
    </cfRule>
  </conditionalFormatting>
  <conditionalFormatting sqref="F19">
    <cfRule type="cellIs" dxfId="1" priority="6" stopIfTrue="1" operator="greater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47.86"/>
    <col customWidth="1" min="3" max="3" width="12.43"/>
    <col customWidth="1" min="4" max="4" width="12.86"/>
    <col customWidth="1" min="5" max="5" width="14.14"/>
    <col customWidth="1" min="6" max="7" width="13.29"/>
    <col customWidth="1" min="8" max="8" width="5.43"/>
    <col customWidth="1" min="9" max="9" width="15.29"/>
    <col customWidth="1" min="10" max="10" width="11.43"/>
    <col customWidth="1" min="11" max="11" width="11.86"/>
    <col customWidth="1" min="12" max="14" width="12.71"/>
    <col customWidth="1" min="15" max="26" width="8.71"/>
  </cols>
  <sheetData>
    <row r="1" ht="24.75" customHeight="1">
      <c r="A1" s="1"/>
      <c r="B1" s="1"/>
      <c r="C1" s="203"/>
      <c r="D1" s="203"/>
      <c r="E1" s="203"/>
      <c r="F1" s="3"/>
      <c r="G1" s="3"/>
      <c r="H1" s="1"/>
      <c r="I1" s="1"/>
      <c r="J1" s="1"/>
      <c r="K1" s="1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457"/>
      <c r="B2" s="847" t="s">
        <v>267</v>
      </c>
      <c r="C2" s="848" t="s">
        <v>27</v>
      </c>
      <c r="D2" s="848" t="s">
        <v>30</v>
      </c>
      <c r="E2" s="848" t="s">
        <v>31</v>
      </c>
      <c r="F2" s="849" t="s">
        <v>258</v>
      </c>
      <c r="G2" s="849" t="s">
        <v>259</v>
      </c>
      <c r="H2" s="457"/>
      <c r="I2" s="904">
        <v>0.0</v>
      </c>
      <c r="J2" s="1054"/>
      <c r="K2" s="1055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</row>
    <row r="3" ht="19.5" customHeight="1">
      <c r="A3" s="65"/>
      <c r="B3" s="1056" t="s">
        <v>437</v>
      </c>
      <c r="C3" s="912">
        <v>0.0</v>
      </c>
      <c r="D3" s="1058">
        <v>265</v>
      </c>
      <c r="E3" s="1058">
        <v>95046.56</v>
      </c>
      <c r="F3" s="766">
        <f t="shared" ref="F3:F12" si="1">E3-D3</f>
        <v>94781.56</v>
      </c>
      <c r="G3" s="734">
        <f t="shared" ref="G3:G8" si="2">(E3/D3-1)</f>
        <v>357.6662642</v>
      </c>
      <c r="H3" s="65"/>
      <c r="I3" s="1062"/>
      <c r="J3" s="1063"/>
      <c r="K3" s="1064"/>
      <c r="L3" s="1064"/>
      <c r="M3" s="1064"/>
      <c r="N3" s="274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8.75" customHeight="1">
      <c r="A4" s="65"/>
      <c r="B4" s="1056" t="s">
        <v>438</v>
      </c>
      <c r="C4" s="912">
        <v>0.0</v>
      </c>
      <c r="D4" s="1058">
        <v>150802.26</v>
      </c>
      <c r="E4" s="1058">
        <v>177885.68</v>
      </c>
      <c r="F4" s="766">
        <f t="shared" si="1"/>
        <v>27083.42</v>
      </c>
      <c r="G4" s="734">
        <f t="shared" si="2"/>
        <v>0.1795955843</v>
      </c>
      <c r="H4" s="65"/>
      <c r="I4" s="1062"/>
      <c r="J4" s="1063"/>
      <c r="K4" s="1064"/>
      <c r="L4" s="1064"/>
      <c r="M4" s="1064"/>
      <c r="N4" s="274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9.5" customHeight="1">
      <c r="A5" s="457"/>
      <c r="B5" s="1056" t="s">
        <v>269</v>
      </c>
      <c r="C5" s="1058">
        <v>2085.39</v>
      </c>
      <c r="D5" s="1058">
        <v>11120</v>
      </c>
      <c r="E5" s="1058">
        <v>31794.47</v>
      </c>
      <c r="F5" s="766">
        <f t="shared" si="1"/>
        <v>20674.47</v>
      </c>
      <c r="G5" s="734">
        <f t="shared" si="2"/>
        <v>1.859214928</v>
      </c>
      <c r="H5" s="457"/>
      <c r="I5" s="1067"/>
      <c r="J5" s="1068"/>
      <c r="K5" s="1069"/>
      <c r="L5" s="1070"/>
      <c r="M5" s="1072"/>
      <c r="N5" s="1073"/>
      <c r="O5" s="457"/>
      <c r="P5" s="457"/>
      <c r="Q5" s="457"/>
      <c r="R5" s="457"/>
      <c r="S5" s="457"/>
      <c r="T5" s="457"/>
      <c r="U5" s="457"/>
      <c r="V5" s="457"/>
      <c r="W5" s="457"/>
      <c r="X5" s="457"/>
      <c r="Y5" s="457"/>
      <c r="Z5" s="457"/>
    </row>
    <row r="6" ht="19.5" customHeight="1">
      <c r="A6" s="457"/>
      <c r="B6" s="1056" t="s">
        <v>268</v>
      </c>
      <c r="C6" s="1074">
        <v>30208.3</v>
      </c>
      <c r="D6" s="1058">
        <v>763.42</v>
      </c>
      <c r="E6" s="1076">
        <v>10253.5</v>
      </c>
      <c r="F6" s="766">
        <f t="shared" si="1"/>
        <v>9490.08</v>
      </c>
      <c r="G6" s="734">
        <f t="shared" si="2"/>
        <v>12.43100783</v>
      </c>
      <c r="H6" s="457"/>
      <c r="I6" s="1077"/>
      <c r="J6" s="1070"/>
      <c r="K6" s="1079"/>
      <c r="L6" s="1080"/>
      <c r="M6" s="1081"/>
      <c r="N6" s="1073"/>
      <c r="O6" s="457"/>
      <c r="P6" s="457"/>
      <c r="Q6" s="457"/>
      <c r="R6" s="457"/>
      <c r="S6" s="457"/>
      <c r="T6" s="457"/>
      <c r="U6" s="457"/>
      <c r="V6" s="457"/>
      <c r="W6" s="457"/>
      <c r="X6" s="457"/>
      <c r="Y6" s="457"/>
      <c r="Z6" s="457"/>
    </row>
    <row r="7" ht="18.75" customHeight="1">
      <c r="A7" s="65"/>
      <c r="B7" s="1056" t="s">
        <v>439</v>
      </c>
      <c r="C7" s="1058">
        <v>247788.97</v>
      </c>
      <c r="D7" s="1058">
        <v>311037.86</v>
      </c>
      <c r="E7" s="1058">
        <v>319475.46</v>
      </c>
      <c r="F7" s="766">
        <f t="shared" si="1"/>
        <v>8437.6</v>
      </c>
      <c r="G7" s="734">
        <f t="shared" si="2"/>
        <v>0.02712724425</v>
      </c>
      <c r="H7" s="65"/>
      <c r="I7" s="1062"/>
      <c r="J7" s="1063"/>
      <c r="K7" s="1064"/>
      <c r="L7" s="1064"/>
      <c r="M7" s="1064"/>
      <c r="N7" s="27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8.75" customHeight="1">
      <c r="A8" s="65"/>
      <c r="B8" s="1056" t="s">
        <v>440</v>
      </c>
      <c r="C8" s="962">
        <v>-9690.37</v>
      </c>
      <c r="D8" s="962">
        <v>-9792.74</v>
      </c>
      <c r="E8" s="962">
        <v>-5980.01</v>
      </c>
      <c r="F8" s="766">
        <f t="shared" si="1"/>
        <v>3812.73</v>
      </c>
      <c r="G8" s="734">
        <f t="shared" si="2"/>
        <v>-0.3893425129</v>
      </c>
      <c r="H8" s="65"/>
      <c r="I8" s="1062"/>
      <c r="J8" s="1063"/>
      <c r="K8" s="1064"/>
      <c r="L8" s="1064"/>
      <c r="M8" s="1064"/>
      <c r="N8" s="27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8.75" customHeight="1">
      <c r="A9" s="65"/>
      <c r="B9" s="1056" t="s">
        <v>378</v>
      </c>
      <c r="C9" s="1058">
        <v>32482</v>
      </c>
      <c r="D9" s="912">
        <v>0.0</v>
      </c>
      <c r="E9" s="1093">
        <v>1050</v>
      </c>
      <c r="F9" s="766">
        <f t="shared" si="1"/>
        <v>1050</v>
      </c>
      <c r="G9" s="745">
        <v>1.0</v>
      </c>
      <c r="H9" s="65"/>
      <c r="I9" s="1062"/>
      <c r="J9" s="1063"/>
      <c r="K9" s="1064"/>
      <c r="L9" s="1064"/>
      <c r="M9" s="1064"/>
      <c r="N9" s="27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9.5" customHeight="1">
      <c r="A10" s="65"/>
      <c r="B10" s="1094" t="s">
        <v>442</v>
      </c>
      <c r="C10" s="912">
        <v>0.0</v>
      </c>
      <c r="D10" s="912">
        <v>0.0</v>
      </c>
      <c r="E10" s="1093">
        <v>448</v>
      </c>
      <c r="F10" s="766">
        <f t="shared" si="1"/>
        <v>448</v>
      </c>
      <c r="G10" s="745">
        <v>1.0</v>
      </c>
      <c r="H10" s="65"/>
      <c r="I10" s="1062"/>
      <c r="J10" s="1063"/>
      <c r="K10" s="1064"/>
      <c r="L10" s="1064"/>
      <c r="M10" s="1064"/>
      <c r="N10" s="27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9.5" customHeight="1">
      <c r="A11" s="65"/>
      <c r="B11" s="1094" t="s">
        <v>373</v>
      </c>
      <c r="C11" s="912">
        <v>0.0</v>
      </c>
      <c r="D11" s="1093">
        <v>50</v>
      </c>
      <c r="E11" s="1093">
        <v>103.76</v>
      </c>
      <c r="F11" s="766">
        <f t="shared" si="1"/>
        <v>53.76</v>
      </c>
      <c r="G11" s="734">
        <f>(E11/D11-1)</f>
        <v>1.0752</v>
      </c>
      <c r="H11" s="65"/>
      <c r="I11" s="1062"/>
      <c r="J11" s="1063"/>
      <c r="K11" s="1064"/>
      <c r="L11" s="1064"/>
      <c r="M11" s="1064"/>
      <c r="N11" s="27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9.5" customHeight="1">
      <c r="A12" s="457"/>
      <c r="B12" s="767" t="s">
        <v>70</v>
      </c>
      <c r="C12" s="768">
        <f t="shared" ref="C12:E12" si="3">SUM(C3:C11)</f>
        <v>302874.29</v>
      </c>
      <c r="D12" s="768">
        <f t="shared" si="3"/>
        <v>464245.8</v>
      </c>
      <c r="E12" s="768">
        <f t="shared" si="3"/>
        <v>630077.42</v>
      </c>
      <c r="F12" s="768">
        <f t="shared" si="1"/>
        <v>165831.62</v>
      </c>
      <c r="G12" s="1098">
        <f>E12/D12-1</f>
        <v>0.3572065057</v>
      </c>
      <c r="H12" s="457"/>
      <c r="I12" s="1099"/>
      <c r="J12" s="1099"/>
      <c r="K12" s="1099"/>
      <c r="L12" s="458"/>
      <c r="M12" s="458"/>
      <c r="N12" s="458"/>
      <c r="O12" s="457"/>
      <c r="P12" s="457"/>
      <c r="Q12" s="457"/>
      <c r="R12" s="457"/>
      <c r="S12" s="457"/>
      <c r="T12" s="457"/>
      <c r="U12" s="457"/>
      <c r="V12" s="457"/>
      <c r="W12" s="457"/>
      <c r="X12" s="457"/>
      <c r="Y12" s="457"/>
      <c r="Z12" s="457"/>
    </row>
    <row r="13" ht="19.5" customHeight="1">
      <c r="A13" s="457"/>
      <c r="B13" s="1100" t="s">
        <v>270</v>
      </c>
      <c r="C13" s="848" t="s">
        <v>27</v>
      </c>
      <c r="D13" s="848" t="s">
        <v>30</v>
      </c>
      <c r="E13" s="848" t="s">
        <v>31</v>
      </c>
      <c r="F13" s="849" t="s">
        <v>258</v>
      </c>
      <c r="G13" s="849" t="s">
        <v>259</v>
      </c>
      <c r="H13" s="457"/>
      <c r="I13" s="1099"/>
      <c r="J13" s="1099"/>
      <c r="K13" s="1099"/>
      <c r="L13" s="458"/>
      <c r="M13" s="458"/>
      <c r="N13" s="458"/>
      <c r="O13" s="457"/>
      <c r="P13" s="457"/>
      <c r="Q13" s="457"/>
      <c r="R13" s="457"/>
      <c r="S13" s="457"/>
      <c r="T13" s="457"/>
      <c r="U13" s="457"/>
      <c r="V13" s="457"/>
      <c r="W13" s="457"/>
      <c r="X13" s="457"/>
      <c r="Y13" s="457"/>
      <c r="Z13" s="457"/>
    </row>
    <row r="14" ht="19.5" customHeight="1">
      <c r="A14" s="65"/>
      <c r="B14" s="1101" t="s">
        <v>365</v>
      </c>
      <c r="C14" s="1058">
        <v>3545.12</v>
      </c>
      <c r="D14" s="1058">
        <v>9905.14</v>
      </c>
      <c r="E14" s="1058">
        <v>3920.9</v>
      </c>
      <c r="F14" s="766">
        <f t="shared" ref="F14:F34" si="4">E14-D14</f>
        <v>-5984.24</v>
      </c>
      <c r="G14" s="734">
        <f t="shared" ref="G14:G32" si="5">(E14/D14-1)</f>
        <v>-0.6041550145</v>
      </c>
      <c r="H14" s="65"/>
      <c r="I14" s="1062"/>
      <c r="J14" s="1063"/>
      <c r="K14" s="1064"/>
      <c r="L14" s="1064"/>
      <c r="M14" s="1064"/>
      <c r="N14" s="27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9.5" customHeight="1">
      <c r="A15" s="65"/>
      <c r="B15" s="1056" t="s">
        <v>443</v>
      </c>
      <c r="C15" s="1076">
        <v>7782.25</v>
      </c>
      <c r="D15" s="1076">
        <v>9908</v>
      </c>
      <c r="E15" s="1076">
        <v>7905.51</v>
      </c>
      <c r="F15" s="766">
        <f t="shared" si="4"/>
        <v>-2002.49</v>
      </c>
      <c r="G15" s="734">
        <f t="shared" si="5"/>
        <v>-0.2021083973</v>
      </c>
      <c r="H15" s="65"/>
      <c r="I15" s="1062"/>
      <c r="J15" s="1063"/>
      <c r="K15" s="1064"/>
      <c r="L15" s="1064"/>
      <c r="M15" s="1064"/>
      <c r="N15" s="27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9.5" customHeight="1">
      <c r="A16" s="65"/>
      <c r="B16" s="1056" t="s">
        <v>413</v>
      </c>
      <c r="C16" s="1058">
        <v>93981.75</v>
      </c>
      <c r="D16" s="1058">
        <v>108184.49</v>
      </c>
      <c r="E16" s="1058">
        <v>106686.51</v>
      </c>
      <c r="F16" s="766">
        <f t="shared" si="4"/>
        <v>-1497.98</v>
      </c>
      <c r="G16" s="734">
        <f t="shared" si="5"/>
        <v>-0.01384653198</v>
      </c>
      <c r="H16" s="65"/>
      <c r="I16" s="1062"/>
      <c r="J16" s="1063"/>
      <c r="K16" s="1064"/>
      <c r="L16" s="1064"/>
      <c r="M16" s="1064"/>
      <c r="N16" s="27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9.5" customHeight="1">
      <c r="A17" s="65"/>
      <c r="B17" s="1056" t="s">
        <v>396</v>
      </c>
      <c r="C17" s="912">
        <v>0.0</v>
      </c>
      <c r="D17" s="1074">
        <v>1200</v>
      </c>
      <c r="E17" s="912">
        <v>0.0</v>
      </c>
      <c r="F17" s="766">
        <f t="shared" si="4"/>
        <v>-1200</v>
      </c>
      <c r="G17" s="734">
        <f t="shared" si="5"/>
        <v>-1</v>
      </c>
      <c r="H17" s="65"/>
      <c r="I17" s="1062"/>
      <c r="J17" s="1063"/>
      <c r="K17" s="1064"/>
      <c r="L17" s="1064"/>
      <c r="M17" s="1064"/>
      <c r="N17" s="27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9.5" customHeight="1">
      <c r="A18" s="457"/>
      <c r="B18" s="1056" t="s">
        <v>444</v>
      </c>
      <c r="C18" s="1093">
        <v>70.29</v>
      </c>
      <c r="D18" s="1076">
        <v>1540.24</v>
      </c>
      <c r="E18" s="1076">
        <v>902.11</v>
      </c>
      <c r="F18" s="766">
        <f t="shared" si="4"/>
        <v>-638.13</v>
      </c>
      <c r="G18" s="734">
        <f t="shared" si="5"/>
        <v>-0.4143055628</v>
      </c>
      <c r="H18" s="457"/>
      <c r="I18" s="1102"/>
      <c r="J18" s="1068"/>
      <c r="K18" s="1103"/>
      <c r="L18" s="1080"/>
      <c r="M18" s="1081"/>
      <c r="N18" s="1073"/>
      <c r="O18" s="457"/>
      <c r="P18" s="457"/>
      <c r="Q18" s="457"/>
      <c r="R18" s="457"/>
      <c r="S18" s="457"/>
      <c r="T18" s="457"/>
      <c r="U18" s="457"/>
      <c r="V18" s="457"/>
      <c r="W18" s="457"/>
      <c r="X18" s="457"/>
      <c r="Y18" s="457"/>
      <c r="Z18" s="457"/>
    </row>
    <row r="19" ht="19.5" customHeight="1">
      <c r="A19" s="65"/>
      <c r="B19" s="1056" t="s">
        <v>372</v>
      </c>
      <c r="C19" s="1074">
        <v>256.65</v>
      </c>
      <c r="D19" s="1093">
        <v>300</v>
      </c>
      <c r="E19" s="912">
        <v>0.0</v>
      </c>
      <c r="F19" s="766">
        <f t="shared" si="4"/>
        <v>-300</v>
      </c>
      <c r="G19" s="734">
        <f t="shared" si="5"/>
        <v>-1</v>
      </c>
      <c r="H19" s="65"/>
      <c r="I19" s="1062"/>
      <c r="J19" s="1063"/>
      <c r="K19" s="1064"/>
      <c r="L19" s="1064"/>
      <c r="M19" s="1064"/>
      <c r="N19" s="27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9.5" customHeight="1">
      <c r="A20" s="457"/>
      <c r="B20" s="1056" t="s">
        <v>391</v>
      </c>
      <c r="C20" s="912">
        <v>0.0</v>
      </c>
      <c r="D20" s="1058">
        <v>230</v>
      </c>
      <c r="E20" s="912">
        <v>0.0</v>
      </c>
      <c r="F20" s="766">
        <f t="shared" si="4"/>
        <v>-230</v>
      </c>
      <c r="G20" s="734">
        <f t="shared" si="5"/>
        <v>-1</v>
      </c>
      <c r="H20" s="457"/>
      <c r="I20" s="1067"/>
      <c r="J20" s="1068"/>
      <c r="K20" s="1069"/>
      <c r="L20" s="1070"/>
      <c r="M20" s="1072"/>
      <c r="N20" s="1073"/>
      <c r="O20" s="457"/>
      <c r="P20" s="457"/>
      <c r="Q20" s="457"/>
      <c r="R20" s="457"/>
      <c r="S20" s="457"/>
      <c r="T20" s="457"/>
      <c r="U20" s="457"/>
      <c r="V20" s="457"/>
      <c r="W20" s="457"/>
      <c r="X20" s="457"/>
      <c r="Y20" s="457"/>
      <c r="Z20" s="457"/>
    </row>
    <row r="21" ht="19.5" customHeight="1">
      <c r="A21" s="65"/>
      <c r="B21" s="1056" t="s">
        <v>371</v>
      </c>
      <c r="C21" s="912">
        <v>0.0</v>
      </c>
      <c r="D21" s="1058">
        <v>200</v>
      </c>
      <c r="E21" s="912">
        <v>0.0</v>
      </c>
      <c r="F21" s="766">
        <f t="shared" si="4"/>
        <v>-200</v>
      </c>
      <c r="G21" s="734">
        <f t="shared" si="5"/>
        <v>-1</v>
      </c>
      <c r="H21" s="65"/>
      <c r="I21" s="1062"/>
      <c r="J21" s="1063"/>
      <c r="K21" s="1064"/>
      <c r="L21" s="1064"/>
      <c r="M21" s="1064"/>
      <c r="N21" s="27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9.5" customHeight="1">
      <c r="A22" s="457"/>
      <c r="B22" s="1056" t="s">
        <v>445</v>
      </c>
      <c r="C22" s="1058">
        <v>21966.44</v>
      </c>
      <c r="D22" s="1058">
        <v>23174.59</v>
      </c>
      <c r="E22" s="1058">
        <v>23000</v>
      </c>
      <c r="F22" s="766">
        <f t="shared" si="4"/>
        <v>-174.59</v>
      </c>
      <c r="G22" s="734">
        <f t="shared" si="5"/>
        <v>-0.007533682365</v>
      </c>
      <c r="H22" s="457"/>
      <c r="I22" s="1067"/>
      <c r="J22" s="1068"/>
      <c r="K22" s="1069"/>
      <c r="L22" s="1070"/>
      <c r="M22" s="1072"/>
      <c r="N22" s="1073"/>
      <c r="O22" s="457"/>
      <c r="P22" s="457"/>
      <c r="Q22" s="457"/>
      <c r="R22" s="457"/>
      <c r="S22" s="457"/>
      <c r="T22" s="457"/>
      <c r="U22" s="457"/>
      <c r="V22" s="457"/>
      <c r="W22" s="457"/>
      <c r="X22" s="457"/>
      <c r="Y22" s="457"/>
      <c r="Z22" s="457"/>
    </row>
    <row r="23" ht="19.5" customHeight="1">
      <c r="A23" s="65"/>
      <c r="B23" s="1056" t="s">
        <v>309</v>
      </c>
      <c r="C23" s="1058">
        <v>331.53</v>
      </c>
      <c r="D23" s="1058">
        <v>490</v>
      </c>
      <c r="E23" s="1058">
        <v>327.07</v>
      </c>
      <c r="F23" s="766">
        <f t="shared" si="4"/>
        <v>-162.93</v>
      </c>
      <c r="G23" s="734">
        <f t="shared" si="5"/>
        <v>-0.3325102041</v>
      </c>
      <c r="H23" s="65"/>
      <c r="I23" s="1062"/>
      <c r="J23" s="1063"/>
      <c r="K23" s="1064"/>
      <c r="L23" s="1064"/>
      <c r="M23" s="1064"/>
      <c r="N23" s="27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9.5" customHeight="1">
      <c r="A24" s="65"/>
      <c r="B24" s="1101" t="s">
        <v>399</v>
      </c>
      <c r="C24" s="912">
        <v>0.0</v>
      </c>
      <c r="D24" s="1058">
        <v>300</v>
      </c>
      <c r="E24" s="1076">
        <v>189.74</v>
      </c>
      <c r="F24" s="766">
        <f t="shared" si="4"/>
        <v>-110.26</v>
      </c>
      <c r="G24" s="734">
        <f t="shared" si="5"/>
        <v>-0.3675333333</v>
      </c>
      <c r="H24" s="65"/>
      <c r="I24" s="1062"/>
      <c r="J24" s="872">
        <v>0.0</v>
      </c>
      <c r="K24" s="1064"/>
      <c r="L24" s="1064"/>
      <c r="M24" s="1064"/>
      <c r="N24" s="27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9.5" customHeight="1">
      <c r="A25" s="457"/>
      <c r="B25" s="1056" t="s">
        <v>406</v>
      </c>
      <c r="C25" s="912">
        <v>0.0</v>
      </c>
      <c r="D25" s="1076">
        <v>83</v>
      </c>
      <c r="E25" s="912">
        <v>0.0</v>
      </c>
      <c r="F25" s="766">
        <f t="shared" si="4"/>
        <v>-83</v>
      </c>
      <c r="G25" s="734">
        <f t="shared" si="5"/>
        <v>-1</v>
      </c>
      <c r="H25" s="457"/>
      <c r="I25" s="730"/>
      <c r="J25" s="1104"/>
      <c r="K25" s="1105"/>
      <c r="L25" s="1105"/>
      <c r="M25" s="867"/>
      <c r="N25" s="734"/>
      <c r="O25" s="457"/>
      <c r="P25" s="457"/>
      <c r="Q25" s="457"/>
      <c r="R25" s="457"/>
      <c r="S25" s="457"/>
      <c r="T25" s="457"/>
      <c r="U25" s="457"/>
      <c r="V25" s="457"/>
      <c r="W25" s="457"/>
      <c r="X25" s="457"/>
      <c r="Y25" s="457"/>
      <c r="Z25" s="457"/>
    </row>
    <row r="26" ht="19.5" customHeight="1">
      <c r="A26" s="65"/>
      <c r="B26" s="1056" t="s">
        <v>271</v>
      </c>
      <c r="C26" s="1058">
        <v>6336.57</v>
      </c>
      <c r="D26" s="1058">
        <v>14261.37</v>
      </c>
      <c r="E26" s="1058">
        <v>14211.34</v>
      </c>
      <c r="F26" s="766">
        <f t="shared" si="4"/>
        <v>-50.03</v>
      </c>
      <c r="G26" s="734">
        <f t="shared" si="5"/>
        <v>-0.003508078116</v>
      </c>
      <c r="H26" s="65"/>
      <c r="I26" s="1062"/>
      <c r="J26" s="1063"/>
      <c r="K26" s="1064"/>
      <c r="L26" s="1064"/>
      <c r="M26" s="1064"/>
      <c r="N26" s="27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9.5" customHeight="1">
      <c r="A27" s="65"/>
      <c r="B27" s="1056" t="s">
        <v>408</v>
      </c>
      <c r="C27" s="1058">
        <v>137.69</v>
      </c>
      <c r="D27" s="1058">
        <v>145</v>
      </c>
      <c r="E27" s="1058">
        <v>115.12</v>
      </c>
      <c r="F27" s="766">
        <f t="shared" si="4"/>
        <v>-29.88</v>
      </c>
      <c r="G27" s="734">
        <f t="shared" si="5"/>
        <v>-0.2060689655</v>
      </c>
      <c r="H27" s="65"/>
      <c r="I27" s="1062"/>
      <c r="J27" s="1063"/>
      <c r="K27" s="1064"/>
      <c r="L27" s="1064"/>
      <c r="M27" s="1064"/>
      <c r="N27" s="27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9.5" customHeight="1">
      <c r="A28" s="65"/>
      <c r="B28" s="1056" t="s">
        <v>409</v>
      </c>
      <c r="C28" s="1058">
        <v>1393.08</v>
      </c>
      <c r="D28" s="1058">
        <v>1465.54</v>
      </c>
      <c r="E28" s="1058">
        <v>1438.37</v>
      </c>
      <c r="F28" s="766">
        <f t="shared" si="4"/>
        <v>-27.17</v>
      </c>
      <c r="G28" s="734">
        <f t="shared" si="5"/>
        <v>-0.01853924151</v>
      </c>
      <c r="H28" s="65"/>
      <c r="I28" s="1062"/>
      <c r="J28" s="1063"/>
      <c r="K28" s="1064"/>
      <c r="L28" s="1064"/>
      <c r="M28" s="1064"/>
      <c r="N28" s="27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9.5" customHeight="1">
      <c r="A29" s="65"/>
      <c r="B29" s="1101" t="s">
        <v>376</v>
      </c>
      <c r="C29" s="1076">
        <v>214.94</v>
      </c>
      <c r="D29" s="1058">
        <v>228</v>
      </c>
      <c r="E29" s="1058">
        <v>224.52</v>
      </c>
      <c r="F29" s="766">
        <f t="shared" si="4"/>
        <v>-3.48</v>
      </c>
      <c r="G29" s="734">
        <f t="shared" si="5"/>
        <v>-0.01526315789</v>
      </c>
      <c r="H29" s="65"/>
      <c r="I29" s="1062"/>
      <c r="J29" s="1063"/>
      <c r="K29" s="1064"/>
      <c r="L29" s="1064"/>
      <c r="M29" s="1064"/>
      <c r="N29" s="274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9.5" customHeight="1">
      <c r="A30" s="457"/>
      <c r="B30" s="1056" t="s">
        <v>446</v>
      </c>
      <c r="C30" s="1058">
        <v>490.4</v>
      </c>
      <c r="D30" s="1058">
        <v>350.19</v>
      </c>
      <c r="E30" s="1058">
        <v>348.26</v>
      </c>
      <c r="F30" s="766">
        <f t="shared" si="4"/>
        <v>-1.93</v>
      </c>
      <c r="G30" s="734">
        <f t="shared" si="5"/>
        <v>-0.005511293869</v>
      </c>
      <c r="H30" s="457"/>
      <c r="I30" s="1094"/>
      <c r="J30" s="1105"/>
      <c r="K30" s="1105"/>
      <c r="L30" s="1105"/>
      <c r="M30" s="867"/>
      <c r="N30" s="734"/>
      <c r="O30" s="457"/>
      <c r="P30" s="457"/>
      <c r="Q30" s="457"/>
      <c r="R30" s="457"/>
      <c r="S30" s="457"/>
      <c r="T30" s="457"/>
      <c r="U30" s="457"/>
      <c r="V30" s="457"/>
      <c r="W30" s="457"/>
      <c r="X30" s="457"/>
      <c r="Y30" s="457"/>
      <c r="Z30" s="457"/>
    </row>
    <row r="31" ht="19.5" customHeight="1">
      <c r="A31" s="457"/>
      <c r="B31" s="1056" t="s">
        <v>447</v>
      </c>
      <c r="C31" s="1058">
        <v>3833.33</v>
      </c>
      <c r="D31" s="1058">
        <v>4397.08</v>
      </c>
      <c r="E31" s="1058">
        <v>4397.08</v>
      </c>
      <c r="F31" s="766">
        <f t="shared" si="4"/>
        <v>0</v>
      </c>
      <c r="G31" s="734">
        <f t="shared" si="5"/>
        <v>0</v>
      </c>
      <c r="H31" s="457"/>
      <c r="I31" s="1077"/>
      <c r="J31" s="1070"/>
      <c r="K31" s="1079"/>
      <c r="L31" s="1080"/>
      <c r="M31" s="1081"/>
      <c r="N31" s="1073"/>
      <c r="O31" s="457"/>
      <c r="P31" s="457"/>
      <c r="Q31" s="457"/>
      <c r="R31" s="457"/>
      <c r="S31" s="457"/>
      <c r="T31" s="457"/>
      <c r="U31" s="457"/>
      <c r="V31" s="457"/>
      <c r="W31" s="457"/>
      <c r="X31" s="457"/>
      <c r="Y31" s="457"/>
      <c r="Z31" s="457"/>
    </row>
    <row r="32" ht="18.75" customHeight="1">
      <c r="A32" s="65"/>
      <c r="B32" s="1056" t="s">
        <v>448</v>
      </c>
      <c r="C32" s="1058">
        <v>24491.25</v>
      </c>
      <c r="D32" s="1058">
        <v>25960.74</v>
      </c>
      <c r="E32" s="1058">
        <v>25960.74</v>
      </c>
      <c r="F32" s="766">
        <f t="shared" si="4"/>
        <v>0</v>
      </c>
      <c r="G32" s="734">
        <f t="shared" si="5"/>
        <v>0</v>
      </c>
      <c r="H32" s="65"/>
      <c r="I32" s="1062"/>
      <c r="J32" s="1063"/>
      <c r="K32" s="1064"/>
      <c r="L32" s="1064"/>
      <c r="M32" s="1064"/>
      <c r="N32" s="274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9.5" customHeight="1">
      <c r="A33" s="457"/>
      <c r="B33" s="1106" t="s">
        <v>70</v>
      </c>
      <c r="C33" s="768">
        <f t="shared" ref="C33:E33" si="6">SUM(C14:C32)</f>
        <v>164831.29</v>
      </c>
      <c r="D33" s="768">
        <f t="shared" si="6"/>
        <v>202323.38</v>
      </c>
      <c r="E33" s="768">
        <f t="shared" si="6"/>
        <v>189627.27</v>
      </c>
      <c r="F33" s="1107">
        <f t="shared" si="4"/>
        <v>-12696.11</v>
      </c>
      <c r="G33" s="1108">
        <f t="shared" ref="G33:G34" si="8">E33/D33-1</f>
        <v>-0.06275157127</v>
      </c>
      <c r="H33" s="457"/>
      <c r="I33" s="457"/>
      <c r="J33" s="457"/>
      <c r="K33" s="457"/>
      <c r="L33" s="457"/>
      <c r="M33" s="457"/>
      <c r="N33" s="457"/>
      <c r="O33" s="457"/>
      <c r="P33" s="457"/>
      <c r="Q33" s="457"/>
      <c r="R33" s="457"/>
      <c r="S33" s="457"/>
      <c r="T33" s="457"/>
      <c r="U33" s="457"/>
      <c r="V33" s="457"/>
      <c r="W33" s="457"/>
      <c r="X33" s="457"/>
      <c r="Y33" s="457"/>
      <c r="Z33" s="457"/>
    </row>
    <row r="34" ht="19.5" customHeight="1">
      <c r="A34" s="457"/>
      <c r="B34" s="1109" t="s">
        <v>314</v>
      </c>
      <c r="C34" s="1110">
        <f t="shared" ref="C34:E34" si="7">C12+C33</f>
        <v>467705.58</v>
      </c>
      <c r="D34" s="1110">
        <f t="shared" si="7"/>
        <v>666569.18</v>
      </c>
      <c r="E34" s="1110">
        <f t="shared" si="7"/>
        <v>819704.69</v>
      </c>
      <c r="F34" s="1111">
        <f t="shared" si="4"/>
        <v>153135.51</v>
      </c>
      <c r="G34" s="1112">
        <f t="shared" si="8"/>
        <v>0.2297368594</v>
      </c>
      <c r="H34" s="457"/>
      <c r="I34" s="457"/>
      <c r="J34" s="457"/>
      <c r="K34" s="457"/>
      <c r="L34" s="457"/>
      <c r="M34" s="457"/>
      <c r="N34" s="457"/>
      <c r="O34" s="457"/>
      <c r="P34" s="457"/>
      <c r="Q34" s="457"/>
      <c r="R34" s="457"/>
      <c r="S34" s="457"/>
      <c r="T34" s="457"/>
      <c r="U34" s="457"/>
      <c r="V34" s="457"/>
      <c r="W34" s="457"/>
      <c r="X34" s="457"/>
      <c r="Y34" s="457"/>
      <c r="Z34" s="457"/>
    </row>
    <row r="35" ht="6.0" customHeight="1">
      <c r="A35" s="1"/>
      <c r="B35" s="1"/>
      <c r="C35" s="203"/>
      <c r="D35" s="203"/>
      <c r="E35" s="203"/>
      <c r="F35" s="3"/>
      <c r="G35" s="3"/>
      <c r="H35" s="1"/>
      <c r="I35" s="1"/>
      <c r="J35" s="1"/>
      <c r="K35" s="1"/>
      <c r="L35" s="3"/>
      <c r="M35" s="3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113">
        <f>-'Demercado_senha capital OK'!B114</f>
        <v>467705.58</v>
      </c>
      <c r="D36" s="1113">
        <f>-'Demercado_senha capital OK'!C114</f>
        <v>666569.18</v>
      </c>
      <c r="E36" s="1113">
        <f>-'Demercado_senha capital OK'!D114</f>
        <v>819704.69</v>
      </c>
      <c r="F36" s="3"/>
      <c r="G36" s="3"/>
      <c r="H36" s="1"/>
      <c r="I36" s="1"/>
      <c r="J36" s="1114" t="s">
        <v>412</v>
      </c>
      <c r="K36" s="205"/>
      <c r="L36" s="205"/>
      <c r="M36" s="206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115">
        <f t="shared" ref="C37:E37" si="9">C36-C34</f>
        <v>0</v>
      </c>
      <c r="D37" s="1115">
        <f t="shared" si="9"/>
        <v>0</v>
      </c>
      <c r="E37" s="1115">
        <f t="shared" si="9"/>
        <v>0</v>
      </c>
      <c r="F37" s="3"/>
      <c r="G37" s="3"/>
      <c r="H37" s="1"/>
      <c r="I37" s="1"/>
      <c r="J37" s="1116"/>
      <c r="K37" s="1117" t="s">
        <v>149</v>
      </c>
      <c r="L37" s="1117" t="s">
        <v>150</v>
      </c>
      <c r="M37" s="1117" t="s">
        <v>19</v>
      </c>
      <c r="N37" s="111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203"/>
      <c r="D38" s="203"/>
      <c r="E38" s="203"/>
      <c r="F38" s="3"/>
      <c r="G38" s="3"/>
      <c r="H38" s="1"/>
      <c r="I38" s="1119" t="s">
        <v>413</v>
      </c>
      <c r="J38" s="1120" t="s">
        <v>414</v>
      </c>
      <c r="K38" s="1121">
        <v>81185.07</v>
      </c>
      <c r="L38" s="1121">
        <v>258518.58</v>
      </c>
      <c r="M38" s="1121">
        <v>229486.21</v>
      </c>
      <c r="N38" s="11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4" t="s">
        <v>274</v>
      </c>
      <c r="C39" s="203"/>
      <c r="D39" s="203"/>
      <c r="E39" s="1014"/>
      <c r="F39" s="3"/>
      <c r="G39" s="3"/>
      <c r="H39" s="1"/>
      <c r="I39" s="1119" t="s">
        <v>415</v>
      </c>
      <c r="J39" s="1120" t="s">
        <v>416</v>
      </c>
      <c r="K39" s="1121">
        <v>15641.37</v>
      </c>
      <c r="L39" s="1121">
        <v>26703.9</v>
      </c>
      <c r="M39" s="1121">
        <v>16721.39</v>
      </c>
      <c r="N39" s="111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122"/>
      <c r="D40" s="1122"/>
      <c r="E40" s="1122"/>
      <c r="F40" s="3"/>
      <c r="G40" s="3"/>
      <c r="H40" s="1"/>
      <c r="I40" s="1119" t="s">
        <v>275</v>
      </c>
      <c r="J40" s="1120" t="s">
        <v>417</v>
      </c>
      <c r="K40" s="1121">
        <v>611.07</v>
      </c>
      <c r="L40" s="1121">
        <v>765.69</v>
      </c>
      <c r="M40" s="1121">
        <v>715.51</v>
      </c>
      <c r="N40" s="111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203"/>
      <c r="D41" s="203"/>
      <c r="E41" s="203"/>
      <c r="F41" s="3"/>
      <c r="G41" s="3"/>
      <c r="H41" s="1"/>
      <c r="I41" s="1119" t="s">
        <v>274</v>
      </c>
      <c r="J41" s="1120" t="s">
        <v>418</v>
      </c>
      <c r="K41" s="1121">
        <v>21954.1</v>
      </c>
      <c r="L41" s="1121">
        <v>24540.6</v>
      </c>
      <c r="M41" s="1121">
        <v>24156.96</v>
      </c>
      <c r="N41" s="111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203"/>
      <c r="D42" s="203"/>
      <c r="E42" s="203"/>
      <c r="F42" s="3"/>
      <c r="G42" s="3"/>
      <c r="H42" s="1"/>
      <c r="I42" s="1"/>
      <c r="J42" s="1123" t="s">
        <v>419</v>
      </c>
      <c r="K42" s="1124">
        <f t="shared" ref="K42:M42" si="10">K38+K39+K40+K41</f>
        <v>119391.61</v>
      </c>
      <c r="L42" s="1124">
        <f t="shared" si="10"/>
        <v>310528.77</v>
      </c>
      <c r="M42" s="1124">
        <f t="shared" si="10"/>
        <v>271080.07</v>
      </c>
      <c r="N42" s="111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03"/>
      <c r="D43" s="203"/>
      <c r="E43" s="203"/>
      <c r="F43" s="3"/>
      <c r="G43" s="3"/>
      <c r="H43" s="1"/>
      <c r="I43" s="1"/>
      <c r="J43" s="1"/>
      <c r="K43" s="1"/>
      <c r="L43" s="1118"/>
      <c r="M43" s="1118"/>
      <c r="N43" s="111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203"/>
      <c r="D44" s="203"/>
      <c r="E44" s="203"/>
      <c r="F44" s="3"/>
      <c r="G44" s="3"/>
      <c r="H44" s="1"/>
      <c r="I44" s="1"/>
      <c r="J44" s="1"/>
      <c r="K44" s="1"/>
      <c r="L44" s="1118"/>
      <c r="M44" s="1118"/>
      <c r="N44" s="111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203"/>
      <c r="D45" s="203"/>
      <c r="E45" s="203"/>
      <c r="F45" s="3"/>
      <c r="G45" s="3"/>
      <c r="H45" s="1"/>
      <c r="I45" s="1119" t="s">
        <v>413</v>
      </c>
      <c r="J45" s="1"/>
      <c r="K45" s="1125">
        <f>98680.28-K38</f>
        <v>17495.21</v>
      </c>
      <c r="L45" s="1125">
        <f>274659.84-L38</f>
        <v>16141.26</v>
      </c>
      <c r="M45" s="1125">
        <f>251341.28-M38</f>
        <v>21855.07</v>
      </c>
      <c r="N45" s="111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203"/>
      <c r="D46" s="203"/>
      <c r="E46" s="203"/>
      <c r="F46" s="3"/>
      <c r="G46" s="3"/>
      <c r="H46" s="1"/>
      <c r="I46" s="1119" t="s">
        <v>274</v>
      </c>
      <c r="J46" s="1"/>
      <c r="K46" s="1097">
        <f>22085.16-K41</f>
        <v>131.06</v>
      </c>
      <c r="L46" s="1097">
        <f>24920.6-L41</f>
        <v>380</v>
      </c>
      <c r="M46" s="1097">
        <f>24310.96-M41</f>
        <v>154</v>
      </c>
      <c r="N46" s="111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03"/>
      <c r="D47" s="203"/>
      <c r="E47" s="203"/>
      <c r="F47" s="3"/>
      <c r="G47" s="3"/>
      <c r="H47" s="1"/>
      <c r="I47" s="1119" t="s">
        <v>415</v>
      </c>
      <c r="J47" s="1"/>
      <c r="K47" s="1097">
        <f>36936.59-K39</f>
        <v>21295.22</v>
      </c>
      <c r="L47" s="1097">
        <f>50425.52-L39</f>
        <v>23721.62</v>
      </c>
      <c r="M47" s="1097">
        <f>40305.49-M39</f>
        <v>23584.1</v>
      </c>
      <c r="N47" s="111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203"/>
      <c r="D48" s="203"/>
      <c r="E48" s="203"/>
      <c r="F48" s="3"/>
      <c r="G48" s="3"/>
      <c r="H48" s="1"/>
      <c r="I48" s="1119" t="s">
        <v>275</v>
      </c>
      <c r="J48" s="1"/>
      <c r="K48" s="1097">
        <f>611.07-K40</f>
        <v>0</v>
      </c>
      <c r="L48" s="1097">
        <f>765.69-L40</f>
        <v>0</v>
      </c>
      <c r="M48" s="1097">
        <f>815.15-M40</f>
        <v>99.64</v>
      </c>
      <c r="N48" s="111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03"/>
      <c r="D49" s="203"/>
      <c r="E49" s="203"/>
      <c r="F49" s="3"/>
      <c r="G49" s="3"/>
      <c r="H49" s="1"/>
      <c r="I49" s="1"/>
      <c r="J49" s="1"/>
      <c r="K49" s="1097"/>
      <c r="L49" s="1097"/>
      <c r="M49" s="1097"/>
      <c r="N49" s="111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6.0" customHeight="1">
      <c r="A50" s="1"/>
      <c r="B50" s="1"/>
      <c r="C50" s="203"/>
      <c r="D50" s="203"/>
      <c r="E50" s="203"/>
      <c r="F50" s="3"/>
      <c r="G50" s="3"/>
      <c r="H50" s="1"/>
      <c r="I50" s="1"/>
      <c r="J50" s="1"/>
      <c r="K50" s="1097"/>
      <c r="L50" s="1097"/>
      <c r="M50" s="1097"/>
      <c r="N50" s="111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203"/>
      <c r="D51" s="203"/>
      <c r="E51" s="203"/>
      <c r="F51" s="3"/>
      <c r="G51" s="3"/>
      <c r="H51" s="1"/>
      <c r="I51" s="1"/>
      <c r="J51" s="1"/>
      <c r="K51" s="1097"/>
      <c r="L51" s="1097"/>
      <c r="M51" s="1097"/>
      <c r="N51" s="111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6.0" customHeight="1">
      <c r="A52" s="1"/>
      <c r="B52" s="1"/>
      <c r="C52" s="203"/>
      <c r="D52" s="203"/>
      <c r="E52" s="203"/>
      <c r="F52" s="3"/>
      <c r="G52" s="3"/>
      <c r="H52" s="1"/>
      <c r="I52" s="1"/>
      <c r="J52" s="1"/>
      <c r="K52" s="1"/>
      <c r="L52" s="1118"/>
      <c r="M52" s="1118"/>
      <c r="N52" s="111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03"/>
      <c r="D53" s="203"/>
      <c r="E53" s="203"/>
      <c r="F53" s="3"/>
      <c r="G53" s="3"/>
      <c r="H53" s="1"/>
      <c r="I53" s="1"/>
      <c r="J53" s="1"/>
      <c r="K53" s="1"/>
      <c r="L53" s="1118"/>
      <c r="M53" s="1118"/>
      <c r="N53" s="111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03"/>
      <c r="D54" s="203"/>
      <c r="E54" s="203"/>
      <c r="F54" s="3"/>
      <c r="G54" s="3"/>
      <c r="H54" s="1"/>
      <c r="I54" s="1"/>
      <c r="J54" s="1"/>
      <c r="K54" s="1"/>
      <c r="L54" s="1118"/>
      <c r="M54" s="1118"/>
      <c r="N54" s="111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03"/>
      <c r="D55" s="203"/>
      <c r="E55" s="203"/>
      <c r="F55" s="3"/>
      <c r="G55" s="3"/>
      <c r="H55" s="1"/>
      <c r="I55" s="1"/>
      <c r="J55" s="1"/>
      <c r="K55" s="1"/>
      <c r="L55" s="1118"/>
      <c r="M55" s="1118"/>
      <c r="N55" s="111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03"/>
      <c r="D56" s="203"/>
      <c r="E56" s="203"/>
      <c r="F56" s="3"/>
      <c r="G56" s="3"/>
      <c r="H56" s="1"/>
      <c r="I56" s="1"/>
      <c r="J56" s="1"/>
      <c r="K56" s="1"/>
      <c r="L56" s="1118"/>
      <c r="M56" s="1118"/>
      <c r="N56" s="111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03"/>
      <c r="D57" s="203"/>
      <c r="E57" s="203"/>
      <c r="F57" s="3"/>
      <c r="G57" s="3"/>
      <c r="H57" s="1"/>
      <c r="I57" s="1"/>
      <c r="J57" s="1"/>
      <c r="K57" s="1"/>
      <c r="L57" s="1118"/>
      <c r="M57" s="1118"/>
      <c r="N57" s="111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03"/>
      <c r="D58" s="203"/>
      <c r="E58" s="203"/>
      <c r="F58" s="3"/>
      <c r="G58" s="3"/>
      <c r="H58" s="1"/>
      <c r="I58" s="1"/>
      <c r="J58" s="1"/>
      <c r="K58" s="1"/>
      <c r="L58" s="1118"/>
      <c r="M58" s="1118"/>
      <c r="N58" s="111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03"/>
      <c r="D59" s="203"/>
      <c r="E59" s="203"/>
      <c r="F59" s="3"/>
      <c r="G59" s="3"/>
      <c r="H59" s="1"/>
      <c r="I59" s="1"/>
      <c r="J59" s="1"/>
      <c r="K59" s="1"/>
      <c r="L59" s="1126"/>
      <c r="M59" s="3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6.0" customHeight="1">
      <c r="A60" s="1"/>
      <c r="B60" s="1"/>
      <c r="C60" s="203"/>
      <c r="D60" s="203"/>
      <c r="E60" s="203"/>
      <c r="F60" s="3"/>
      <c r="G60" s="3"/>
      <c r="H60" s="1"/>
      <c r="I60" s="1"/>
      <c r="J60" s="1"/>
      <c r="K60" s="1"/>
      <c r="L60" s="3"/>
      <c r="M60" s="3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203"/>
      <c r="D61" s="203"/>
      <c r="E61" s="203"/>
      <c r="F61" s="3"/>
      <c r="G61" s="3"/>
      <c r="H61" s="1"/>
      <c r="I61" s="1"/>
      <c r="J61" s="1"/>
      <c r="K61" s="1"/>
      <c r="L61" s="3"/>
      <c r="M61" s="3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203"/>
      <c r="D62" s="203"/>
      <c r="E62" s="203"/>
      <c r="F62" s="3"/>
      <c r="G62" s="3"/>
      <c r="H62" s="1"/>
      <c r="I62" s="1"/>
      <c r="J62" s="1"/>
      <c r="K62" s="1"/>
      <c r="L62" s="3"/>
      <c r="M62" s="3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203"/>
      <c r="D63" s="203"/>
      <c r="E63" s="203"/>
      <c r="F63" s="3"/>
      <c r="G63" s="3"/>
      <c r="H63" s="1"/>
      <c r="I63" s="1"/>
      <c r="J63" s="1"/>
      <c r="K63" s="1"/>
      <c r="L63" s="3"/>
      <c r="M63" s="3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203"/>
      <c r="D64" s="203"/>
      <c r="E64" s="203"/>
      <c r="F64" s="3"/>
      <c r="G64" s="3"/>
      <c r="H64" s="1"/>
      <c r="I64" s="1"/>
      <c r="J64" s="1"/>
      <c r="K64" s="1"/>
      <c r="L64" s="3"/>
      <c r="M64" s="3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203"/>
      <c r="D65" s="203"/>
      <c r="E65" s="203"/>
      <c r="F65" s="3"/>
      <c r="G65" s="3"/>
      <c r="H65" s="1"/>
      <c r="I65" s="1"/>
      <c r="J65" s="1"/>
      <c r="K65" s="1"/>
      <c r="L65" s="3"/>
      <c r="M65" s="3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203"/>
      <c r="D66" s="203"/>
      <c r="E66" s="203"/>
      <c r="F66" s="3"/>
      <c r="G66" s="3"/>
      <c r="H66" s="1"/>
      <c r="I66" s="1"/>
      <c r="J66" s="1"/>
      <c r="K66" s="1"/>
      <c r="L66" s="3"/>
      <c r="M66" s="3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03"/>
      <c r="D67" s="203"/>
      <c r="E67" s="203"/>
      <c r="F67" s="3"/>
      <c r="G67" s="3"/>
      <c r="H67" s="1"/>
      <c r="I67" s="1063"/>
      <c r="J67" s="1"/>
      <c r="K67" s="1"/>
      <c r="L67" s="3"/>
      <c r="M67" s="3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203"/>
      <c r="D68" s="203"/>
      <c r="E68" s="203"/>
      <c r="F68" s="3"/>
      <c r="G68" s="3"/>
      <c r="H68" s="1"/>
      <c r="I68" s="1"/>
      <c r="J68" s="1"/>
      <c r="K68" s="1"/>
      <c r="L68" s="3"/>
      <c r="M68" s="3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203"/>
      <c r="D69" s="203"/>
      <c r="E69" s="203"/>
      <c r="F69" s="3"/>
      <c r="G69" s="3"/>
      <c r="H69" s="1"/>
      <c r="I69" s="1"/>
      <c r="J69" s="1"/>
      <c r="K69" s="1"/>
      <c r="L69" s="3"/>
      <c r="M69" s="3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203"/>
      <c r="D70" s="203"/>
      <c r="E70" s="203"/>
      <c r="F70" s="3"/>
      <c r="G70" s="3"/>
      <c r="H70" s="1"/>
      <c r="I70" s="1"/>
      <c r="J70" s="1"/>
      <c r="K70" s="1"/>
      <c r="L70" s="3"/>
      <c r="M70" s="3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203"/>
      <c r="D71" s="203"/>
      <c r="E71" s="203"/>
      <c r="F71" s="3"/>
      <c r="G71" s="3"/>
      <c r="H71" s="1"/>
      <c r="I71" s="1"/>
      <c r="J71" s="1"/>
      <c r="K71" s="1"/>
      <c r="L71" s="3"/>
      <c r="M71" s="3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203"/>
      <c r="D72" s="203"/>
      <c r="E72" s="203"/>
      <c r="F72" s="3"/>
      <c r="G72" s="3"/>
      <c r="H72" s="1"/>
      <c r="I72" s="1"/>
      <c r="J72" s="1"/>
      <c r="K72" s="1"/>
      <c r="L72" s="3"/>
      <c r="M72" s="3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203"/>
      <c r="D73" s="203"/>
      <c r="E73" s="203"/>
      <c r="F73" s="3"/>
      <c r="G73" s="3"/>
      <c r="H73" s="1"/>
      <c r="I73" s="1"/>
      <c r="J73" s="1"/>
      <c r="K73" s="1"/>
      <c r="L73" s="3"/>
      <c r="M73" s="3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203"/>
      <c r="D74" s="203"/>
      <c r="E74" s="203"/>
      <c r="F74" s="3"/>
      <c r="G74" s="3"/>
      <c r="H74" s="1"/>
      <c r="I74" s="1"/>
      <c r="J74" s="1"/>
      <c r="K74" s="1"/>
      <c r="L74" s="3"/>
      <c r="M74" s="3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203"/>
      <c r="D75" s="203"/>
      <c r="E75" s="203"/>
      <c r="F75" s="3"/>
      <c r="G75" s="3"/>
      <c r="H75" s="1"/>
      <c r="I75" s="1"/>
      <c r="J75" s="1"/>
      <c r="K75" s="1"/>
      <c r="L75" s="3"/>
      <c r="M75" s="3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203"/>
      <c r="D76" s="203"/>
      <c r="E76" s="203"/>
      <c r="F76" s="3"/>
      <c r="G76" s="3"/>
      <c r="H76" s="1"/>
      <c r="I76" s="1"/>
      <c r="J76" s="1"/>
      <c r="K76" s="1"/>
      <c r="L76" s="3"/>
      <c r="M76" s="3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203"/>
      <c r="D77" s="203"/>
      <c r="E77" s="203"/>
      <c r="F77" s="3"/>
      <c r="G77" s="3"/>
      <c r="H77" s="1"/>
      <c r="I77" s="1"/>
      <c r="J77" s="1"/>
      <c r="K77" s="1"/>
      <c r="L77" s="3"/>
      <c r="M77" s="3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203"/>
      <c r="D78" s="203"/>
      <c r="E78" s="203"/>
      <c r="F78" s="3"/>
      <c r="G78" s="3"/>
      <c r="H78" s="1"/>
      <c r="I78" s="1"/>
      <c r="J78" s="1"/>
      <c r="K78" s="1"/>
      <c r="L78" s="3"/>
      <c r="M78" s="3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203"/>
      <c r="D79" s="203"/>
      <c r="E79" s="203"/>
      <c r="F79" s="3"/>
      <c r="G79" s="3"/>
      <c r="H79" s="1"/>
      <c r="I79" s="1"/>
      <c r="J79" s="1"/>
      <c r="K79" s="1"/>
      <c r="L79" s="3"/>
      <c r="M79" s="3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203"/>
      <c r="D80" s="203"/>
      <c r="E80" s="203"/>
      <c r="F80" s="3"/>
      <c r="G80" s="3"/>
      <c r="H80" s="1"/>
      <c r="I80" s="1"/>
      <c r="J80" s="1"/>
      <c r="K80" s="1"/>
      <c r="L80" s="3"/>
      <c r="M80" s="3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203"/>
      <c r="D81" s="203"/>
      <c r="E81" s="203"/>
      <c r="F81" s="3"/>
      <c r="G81" s="3"/>
      <c r="H81" s="1"/>
      <c r="I81" s="1"/>
      <c r="J81" s="1"/>
      <c r="K81" s="1"/>
      <c r="L81" s="3"/>
      <c r="M81" s="3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203"/>
      <c r="D82" s="203"/>
      <c r="E82" s="203"/>
      <c r="F82" s="3"/>
      <c r="G82" s="3"/>
      <c r="H82" s="1"/>
      <c r="I82" s="1"/>
      <c r="J82" s="1"/>
      <c r="K82" s="1"/>
      <c r="L82" s="3"/>
      <c r="M82" s="3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203"/>
      <c r="D83" s="203"/>
      <c r="E83" s="203"/>
      <c r="F83" s="3"/>
      <c r="G83" s="3"/>
      <c r="H83" s="1"/>
      <c r="I83" s="1"/>
      <c r="J83" s="1"/>
      <c r="K83" s="1"/>
      <c r="L83" s="3"/>
      <c r="M83" s="3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203"/>
      <c r="D84" s="203"/>
      <c r="E84" s="203"/>
      <c r="F84" s="3"/>
      <c r="G84" s="3"/>
      <c r="H84" s="1"/>
      <c r="I84" s="1"/>
      <c r="J84" s="1"/>
      <c r="K84" s="1"/>
      <c r="L84" s="3"/>
      <c r="M84" s="3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203"/>
      <c r="D85" s="203"/>
      <c r="E85" s="203"/>
      <c r="F85" s="3"/>
      <c r="G85" s="3"/>
      <c r="H85" s="1"/>
      <c r="I85" s="1"/>
      <c r="J85" s="1"/>
      <c r="K85" s="1"/>
      <c r="L85" s="3"/>
      <c r="M85" s="3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203"/>
      <c r="D86" s="203"/>
      <c r="E86" s="203"/>
      <c r="F86" s="3"/>
      <c r="G86" s="3"/>
      <c r="H86" s="1"/>
      <c r="I86" s="1"/>
      <c r="J86" s="1"/>
      <c r="K86" s="1"/>
      <c r="L86" s="3"/>
      <c r="M86" s="3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203"/>
      <c r="D87" s="203"/>
      <c r="E87" s="203"/>
      <c r="F87" s="3"/>
      <c r="G87" s="3"/>
      <c r="H87" s="1"/>
      <c r="I87" s="1"/>
      <c r="J87" s="1"/>
      <c r="K87" s="1"/>
      <c r="L87" s="3"/>
      <c r="M87" s="3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203"/>
      <c r="D88" s="203"/>
      <c r="E88" s="203"/>
      <c r="F88" s="3"/>
      <c r="G88" s="3"/>
      <c r="H88" s="1"/>
      <c r="I88" s="1"/>
      <c r="J88" s="1"/>
      <c r="K88" s="1"/>
      <c r="L88" s="3"/>
      <c r="M88" s="3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203"/>
      <c r="D89" s="203"/>
      <c r="E89" s="203"/>
      <c r="F89" s="3"/>
      <c r="G89" s="3"/>
      <c r="H89" s="1"/>
      <c r="I89" s="1"/>
      <c r="J89" s="1"/>
      <c r="K89" s="1"/>
      <c r="L89" s="3"/>
      <c r="M89" s="3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203"/>
      <c r="D90" s="203"/>
      <c r="E90" s="203"/>
      <c r="F90" s="3"/>
      <c r="G90" s="3"/>
      <c r="H90" s="1"/>
      <c r="I90" s="1"/>
      <c r="J90" s="1"/>
      <c r="K90" s="1"/>
      <c r="L90" s="3"/>
      <c r="M90" s="3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203"/>
      <c r="D91" s="203"/>
      <c r="E91" s="203"/>
      <c r="F91" s="3"/>
      <c r="G91" s="3"/>
      <c r="H91" s="1"/>
      <c r="I91" s="1"/>
      <c r="J91" s="1"/>
      <c r="K91" s="1"/>
      <c r="L91" s="3"/>
      <c r="M91" s="3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203"/>
      <c r="D92" s="203"/>
      <c r="E92" s="203"/>
      <c r="F92" s="3"/>
      <c r="G92" s="3"/>
      <c r="H92" s="1"/>
      <c r="I92" s="1"/>
      <c r="J92" s="1"/>
      <c r="K92" s="1"/>
      <c r="L92" s="3"/>
      <c r="M92" s="3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203"/>
      <c r="D93" s="203"/>
      <c r="E93" s="203"/>
      <c r="F93" s="3"/>
      <c r="G93" s="3"/>
      <c r="H93" s="1"/>
      <c r="I93" s="1"/>
      <c r="J93" s="1"/>
      <c r="K93" s="1"/>
      <c r="L93" s="3"/>
      <c r="M93" s="3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203"/>
      <c r="D94" s="203"/>
      <c r="E94" s="203"/>
      <c r="F94" s="3"/>
      <c r="G94" s="3"/>
      <c r="H94" s="1"/>
      <c r="I94" s="1"/>
      <c r="J94" s="1"/>
      <c r="K94" s="1"/>
      <c r="L94" s="3"/>
      <c r="M94" s="3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203"/>
      <c r="D95" s="203"/>
      <c r="E95" s="203"/>
      <c r="F95" s="3"/>
      <c r="G95" s="3"/>
      <c r="H95" s="1"/>
      <c r="I95" s="1"/>
      <c r="J95" s="1"/>
      <c r="K95" s="1"/>
      <c r="L95" s="3"/>
      <c r="M95" s="3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203"/>
      <c r="D96" s="203"/>
      <c r="E96" s="203"/>
      <c r="F96" s="3"/>
      <c r="G96" s="3"/>
      <c r="H96" s="1"/>
      <c r="I96" s="1"/>
      <c r="J96" s="1"/>
      <c r="K96" s="1"/>
      <c r="L96" s="3"/>
      <c r="M96" s="3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203"/>
      <c r="D97" s="203"/>
      <c r="E97" s="203"/>
      <c r="F97" s="3"/>
      <c r="G97" s="3"/>
      <c r="H97" s="1"/>
      <c r="I97" s="1"/>
      <c r="J97" s="1"/>
      <c r="K97" s="1"/>
      <c r="L97" s="3"/>
      <c r="M97" s="3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203"/>
      <c r="D98" s="203"/>
      <c r="E98" s="203"/>
      <c r="F98" s="3"/>
      <c r="G98" s="3"/>
      <c r="H98" s="1"/>
      <c r="I98" s="1"/>
      <c r="J98" s="1"/>
      <c r="K98" s="1"/>
      <c r="L98" s="3"/>
      <c r="M98" s="3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203"/>
      <c r="D99" s="203"/>
      <c r="E99" s="203"/>
      <c r="F99" s="3"/>
      <c r="G99" s="3"/>
      <c r="H99" s="1"/>
      <c r="I99" s="1"/>
      <c r="J99" s="1"/>
      <c r="K99" s="1"/>
      <c r="L99" s="3"/>
      <c r="M99" s="3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203"/>
      <c r="D100" s="203"/>
      <c r="E100" s="203"/>
      <c r="F100" s="3"/>
      <c r="G100" s="3"/>
      <c r="H100" s="1"/>
      <c r="I100" s="1"/>
      <c r="J100" s="1"/>
      <c r="K100" s="1"/>
      <c r="L100" s="3"/>
      <c r="M100" s="3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203"/>
      <c r="D101" s="203"/>
      <c r="E101" s="203"/>
      <c r="F101" s="3"/>
      <c r="G101" s="3"/>
      <c r="H101" s="1"/>
      <c r="I101" s="1"/>
      <c r="J101" s="1"/>
      <c r="K101" s="1"/>
      <c r="L101" s="3"/>
      <c r="M101" s="3"/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203"/>
      <c r="D102" s="203"/>
      <c r="E102" s="203"/>
      <c r="F102" s="3"/>
      <c r="G102" s="3"/>
      <c r="H102" s="1"/>
      <c r="I102" s="1"/>
      <c r="J102" s="1"/>
      <c r="K102" s="1"/>
      <c r="L102" s="3"/>
      <c r="M102" s="3"/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203"/>
      <c r="D103" s="203"/>
      <c r="E103" s="203"/>
      <c r="F103" s="3"/>
      <c r="G103" s="3"/>
      <c r="H103" s="1"/>
      <c r="I103" s="1"/>
      <c r="J103" s="1"/>
      <c r="K103" s="1"/>
      <c r="L103" s="3"/>
      <c r="M103" s="3"/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203"/>
      <c r="D104" s="203"/>
      <c r="E104" s="203"/>
      <c r="F104" s="3"/>
      <c r="G104" s="3"/>
      <c r="H104" s="1"/>
      <c r="I104" s="1"/>
      <c r="J104" s="1"/>
      <c r="K104" s="1"/>
      <c r="L104" s="3"/>
      <c r="M104" s="3"/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203"/>
      <c r="D105" s="203"/>
      <c r="E105" s="203"/>
      <c r="F105" s="3"/>
      <c r="G105" s="3"/>
      <c r="H105" s="1"/>
      <c r="I105" s="1"/>
      <c r="J105" s="1"/>
      <c r="K105" s="1"/>
      <c r="L105" s="3"/>
      <c r="M105" s="3"/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203"/>
      <c r="D106" s="203"/>
      <c r="E106" s="203"/>
      <c r="F106" s="3"/>
      <c r="G106" s="3"/>
      <c r="H106" s="1"/>
      <c r="I106" s="1"/>
      <c r="J106" s="1"/>
      <c r="K106" s="1"/>
      <c r="L106" s="3"/>
      <c r="M106" s="3"/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203"/>
      <c r="D107" s="203"/>
      <c r="E107" s="203"/>
      <c r="F107" s="3"/>
      <c r="G107" s="3"/>
      <c r="H107" s="1"/>
      <c r="I107" s="1"/>
      <c r="J107" s="1"/>
      <c r="K107" s="1"/>
      <c r="L107" s="3"/>
      <c r="M107" s="3"/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203"/>
      <c r="D108" s="203"/>
      <c r="E108" s="203"/>
      <c r="F108" s="3"/>
      <c r="G108" s="3"/>
      <c r="H108" s="1"/>
      <c r="I108" s="1"/>
      <c r="J108" s="1"/>
      <c r="K108" s="1"/>
      <c r="L108" s="3"/>
      <c r="M108" s="3"/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203"/>
      <c r="D109" s="203"/>
      <c r="E109" s="203"/>
      <c r="F109" s="3"/>
      <c r="G109" s="3"/>
      <c r="H109" s="1"/>
      <c r="I109" s="1"/>
      <c r="J109" s="1"/>
      <c r="K109" s="1"/>
      <c r="L109" s="3"/>
      <c r="M109" s="3"/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203"/>
      <c r="D110" s="203"/>
      <c r="E110" s="203"/>
      <c r="F110" s="3"/>
      <c r="G110" s="3"/>
      <c r="H110" s="1"/>
      <c r="I110" s="1"/>
      <c r="J110" s="1"/>
      <c r="K110" s="1"/>
      <c r="L110" s="3"/>
      <c r="M110" s="3"/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203"/>
      <c r="D111" s="203"/>
      <c r="E111" s="203"/>
      <c r="F111" s="3"/>
      <c r="G111" s="3"/>
      <c r="H111" s="1"/>
      <c r="I111" s="1"/>
      <c r="J111" s="1"/>
      <c r="K111" s="1"/>
      <c r="L111" s="3"/>
      <c r="M111" s="3"/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203"/>
      <c r="D112" s="203"/>
      <c r="E112" s="203"/>
      <c r="F112" s="3"/>
      <c r="G112" s="3"/>
      <c r="H112" s="1"/>
      <c r="I112" s="1"/>
      <c r="J112" s="1"/>
      <c r="K112" s="1"/>
      <c r="L112" s="3"/>
      <c r="M112" s="3"/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203"/>
      <c r="D113" s="203"/>
      <c r="E113" s="203"/>
      <c r="F113" s="3"/>
      <c r="G113" s="3"/>
      <c r="H113" s="1"/>
      <c r="I113" s="1"/>
      <c r="J113" s="1"/>
      <c r="K113" s="1"/>
      <c r="L113" s="3"/>
      <c r="M113" s="3"/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203"/>
      <c r="D114" s="203"/>
      <c r="E114" s="203"/>
      <c r="F114" s="3"/>
      <c r="G114" s="3"/>
      <c r="H114" s="1"/>
      <c r="I114" s="1"/>
      <c r="J114" s="1"/>
      <c r="K114" s="1"/>
      <c r="L114" s="3"/>
      <c r="M114" s="3"/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203"/>
      <c r="D115" s="203"/>
      <c r="E115" s="203"/>
      <c r="F115" s="3"/>
      <c r="G115" s="3"/>
      <c r="H115" s="1"/>
      <c r="I115" s="1"/>
      <c r="J115" s="1"/>
      <c r="K115" s="1"/>
      <c r="L115" s="3"/>
      <c r="M115" s="3"/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203"/>
      <c r="D116" s="203"/>
      <c r="E116" s="203"/>
      <c r="F116" s="3"/>
      <c r="G116" s="3"/>
      <c r="H116" s="1"/>
      <c r="I116" s="1"/>
      <c r="J116" s="1"/>
      <c r="K116" s="1"/>
      <c r="L116" s="3"/>
      <c r="M116" s="3"/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203"/>
      <c r="D117" s="203"/>
      <c r="E117" s="203"/>
      <c r="F117" s="3"/>
      <c r="G117" s="3"/>
      <c r="H117" s="1"/>
      <c r="I117" s="1"/>
      <c r="J117" s="1"/>
      <c r="K117" s="1"/>
      <c r="L117" s="3"/>
      <c r="M117" s="3"/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203"/>
      <c r="D118" s="203"/>
      <c r="E118" s="203"/>
      <c r="F118" s="3"/>
      <c r="G118" s="3"/>
      <c r="H118" s="1"/>
      <c r="I118" s="1"/>
      <c r="J118" s="1"/>
      <c r="K118" s="1"/>
      <c r="L118" s="3"/>
      <c r="M118" s="3"/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203"/>
      <c r="D119" s="203"/>
      <c r="E119" s="203"/>
      <c r="F119" s="3"/>
      <c r="G119" s="3"/>
      <c r="H119" s="1"/>
      <c r="I119" s="1"/>
      <c r="J119" s="1"/>
      <c r="K119" s="1"/>
      <c r="L119" s="3"/>
      <c r="M119" s="3"/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203"/>
      <c r="D120" s="203"/>
      <c r="E120" s="203"/>
      <c r="F120" s="3"/>
      <c r="G120" s="3"/>
      <c r="H120" s="1"/>
      <c r="I120" s="1"/>
      <c r="J120" s="1"/>
      <c r="K120" s="1"/>
      <c r="L120" s="3"/>
      <c r="M120" s="3"/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203"/>
      <c r="D121" s="203"/>
      <c r="E121" s="203"/>
      <c r="F121" s="3"/>
      <c r="G121" s="3"/>
      <c r="H121" s="1"/>
      <c r="I121" s="1"/>
      <c r="J121" s="1"/>
      <c r="K121" s="1"/>
      <c r="L121" s="3"/>
      <c r="M121" s="3"/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203"/>
      <c r="D122" s="203"/>
      <c r="E122" s="203"/>
      <c r="F122" s="3"/>
      <c r="G122" s="3"/>
      <c r="H122" s="1"/>
      <c r="I122" s="1"/>
      <c r="J122" s="1"/>
      <c r="K122" s="1"/>
      <c r="L122" s="3"/>
      <c r="M122" s="3"/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203"/>
      <c r="D123" s="203"/>
      <c r="E123" s="203"/>
      <c r="F123" s="3"/>
      <c r="G123" s="3"/>
      <c r="H123" s="1"/>
      <c r="I123" s="1"/>
      <c r="J123" s="1"/>
      <c r="K123" s="1"/>
      <c r="L123" s="3"/>
      <c r="M123" s="3"/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203"/>
      <c r="D124" s="203"/>
      <c r="E124" s="203"/>
      <c r="F124" s="3"/>
      <c r="G124" s="3"/>
      <c r="H124" s="1"/>
      <c r="I124" s="1"/>
      <c r="J124" s="1"/>
      <c r="K124" s="1"/>
      <c r="L124" s="3"/>
      <c r="M124" s="3"/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203"/>
      <c r="D125" s="203"/>
      <c r="E125" s="203"/>
      <c r="F125" s="3"/>
      <c r="G125" s="3"/>
      <c r="H125" s="1"/>
      <c r="I125" s="1"/>
      <c r="J125" s="1"/>
      <c r="K125" s="1"/>
      <c r="L125" s="3"/>
      <c r="M125" s="3"/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203"/>
      <c r="D126" s="203"/>
      <c r="E126" s="203"/>
      <c r="F126" s="3"/>
      <c r="G126" s="3"/>
      <c r="H126" s="1"/>
      <c r="I126" s="1"/>
      <c r="J126" s="1"/>
      <c r="K126" s="1"/>
      <c r="L126" s="3"/>
      <c r="M126" s="3"/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203"/>
      <c r="D127" s="203"/>
      <c r="E127" s="203"/>
      <c r="F127" s="3"/>
      <c r="G127" s="3"/>
      <c r="H127" s="1"/>
      <c r="I127" s="1"/>
      <c r="J127" s="1"/>
      <c r="K127" s="1"/>
      <c r="L127" s="3"/>
      <c r="M127" s="3"/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203"/>
      <c r="D128" s="203"/>
      <c r="E128" s="203"/>
      <c r="F128" s="3"/>
      <c r="G128" s="3"/>
      <c r="H128" s="1"/>
      <c r="I128" s="1"/>
      <c r="J128" s="1"/>
      <c r="K128" s="1"/>
      <c r="L128" s="3"/>
      <c r="M128" s="3"/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203"/>
      <c r="D129" s="203"/>
      <c r="E129" s="203"/>
      <c r="F129" s="3"/>
      <c r="G129" s="3"/>
      <c r="H129" s="1"/>
      <c r="I129" s="1"/>
      <c r="J129" s="1"/>
      <c r="K129" s="1"/>
      <c r="L129" s="3"/>
      <c r="M129" s="3"/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203"/>
      <c r="D130" s="203"/>
      <c r="E130" s="203"/>
      <c r="F130" s="3"/>
      <c r="G130" s="3"/>
      <c r="H130" s="1"/>
      <c r="I130" s="1"/>
      <c r="J130" s="1"/>
      <c r="K130" s="1"/>
      <c r="L130" s="3"/>
      <c r="M130" s="3"/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203"/>
      <c r="D131" s="203"/>
      <c r="E131" s="203"/>
      <c r="F131" s="3"/>
      <c r="G131" s="3"/>
      <c r="H131" s="1"/>
      <c r="I131" s="1"/>
      <c r="J131" s="1"/>
      <c r="K131" s="1"/>
      <c r="L131" s="3"/>
      <c r="M131" s="3"/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203"/>
      <c r="D132" s="203"/>
      <c r="E132" s="203"/>
      <c r="F132" s="3"/>
      <c r="G132" s="3"/>
      <c r="H132" s="1"/>
      <c r="I132" s="1"/>
      <c r="J132" s="1"/>
      <c r="K132" s="1"/>
      <c r="L132" s="3"/>
      <c r="M132" s="3"/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203"/>
      <c r="D133" s="203"/>
      <c r="E133" s="203"/>
      <c r="F133" s="3"/>
      <c r="G133" s="3"/>
      <c r="H133" s="1"/>
      <c r="I133" s="1"/>
      <c r="J133" s="1"/>
      <c r="K133" s="1"/>
      <c r="L133" s="3"/>
      <c r="M133" s="3"/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203"/>
      <c r="D134" s="203"/>
      <c r="E134" s="203"/>
      <c r="F134" s="3"/>
      <c r="G134" s="3"/>
      <c r="H134" s="1"/>
      <c r="I134" s="1"/>
      <c r="J134" s="1"/>
      <c r="K134" s="1"/>
      <c r="L134" s="3"/>
      <c r="M134" s="3"/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203"/>
      <c r="D135" s="203"/>
      <c r="E135" s="203"/>
      <c r="F135" s="3"/>
      <c r="G135" s="3"/>
      <c r="H135" s="1"/>
      <c r="I135" s="1"/>
      <c r="J135" s="1"/>
      <c r="K135" s="1"/>
      <c r="L135" s="3"/>
      <c r="M135" s="3"/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203"/>
      <c r="D136" s="203"/>
      <c r="E136" s="203"/>
      <c r="F136" s="3"/>
      <c r="G136" s="3"/>
      <c r="H136" s="1"/>
      <c r="I136" s="1"/>
      <c r="J136" s="1"/>
      <c r="K136" s="1"/>
      <c r="L136" s="3"/>
      <c r="M136" s="3"/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203"/>
      <c r="D137" s="203"/>
      <c r="E137" s="203"/>
      <c r="F137" s="3"/>
      <c r="G137" s="3"/>
      <c r="H137" s="1"/>
      <c r="I137" s="1"/>
      <c r="J137" s="1"/>
      <c r="K137" s="1"/>
      <c r="L137" s="3"/>
      <c r="M137" s="3"/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203"/>
      <c r="D138" s="203"/>
      <c r="E138" s="203"/>
      <c r="F138" s="3"/>
      <c r="G138" s="3"/>
      <c r="H138" s="1"/>
      <c r="I138" s="1"/>
      <c r="J138" s="1"/>
      <c r="K138" s="1"/>
      <c r="L138" s="3"/>
      <c r="M138" s="3"/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203"/>
      <c r="D139" s="203"/>
      <c r="E139" s="203"/>
      <c r="F139" s="3"/>
      <c r="G139" s="3"/>
      <c r="H139" s="1"/>
      <c r="I139" s="1"/>
      <c r="J139" s="1"/>
      <c r="K139" s="1"/>
      <c r="L139" s="3"/>
      <c r="M139" s="3"/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203"/>
      <c r="D140" s="203"/>
      <c r="E140" s="203"/>
      <c r="F140" s="3"/>
      <c r="G140" s="3"/>
      <c r="H140" s="1"/>
      <c r="I140" s="1"/>
      <c r="J140" s="1"/>
      <c r="K140" s="1"/>
      <c r="L140" s="3"/>
      <c r="M140" s="3"/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203"/>
      <c r="D141" s="203"/>
      <c r="E141" s="203"/>
      <c r="F141" s="3"/>
      <c r="G141" s="3"/>
      <c r="H141" s="1"/>
      <c r="I141" s="1"/>
      <c r="J141" s="1"/>
      <c r="K141" s="1"/>
      <c r="L141" s="3"/>
      <c r="M141" s="3"/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203"/>
      <c r="D142" s="203"/>
      <c r="E142" s="203"/>
      <c r="F142" s="3"/>
      <c r="G142" s="3"/>
      <c r="H142" s="1"/>
      <c r="I142" s="1"/>
      <c r="J142" s="1"/>
      <c r="K142" s="1"/>
      <c r="L142" s="3"/>
      <c r="M142" s="3"/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203"/>
      <c r="D143" s="203"/>
      <c r="E143" s="203"/>
      <c r="F143" s="3"/>
      <c r="G143" s="3"/>
      <c r="H143" s="1"/>
      <c r="I143" s="1"/>
      <c r="J143" s="1"/>
      <c r="K143" s="1"/>
      <c r="L143" s="3"/>
      <c r="M143" s="3"/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203"/>
      <c r="D144" s="203"/>
      <c r="E144" s="203"/>
      <c r="F144" s="3"/>
      <c r="G144" s="3"/>
      <c r="H144" s="1"/>
      <c r="I144" s="1"/>
      <c r="J144" s="1"/>
      <c r="K144" s="1"/>
      <c r="L144" s="3"/>
      <c r="M144" s="3"/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203"/>
      <c r="D145" s="203"/>
      <c r="E145" s="203"/>
      <c r="F145" s="3"/>
      <c r="G145" s="3"/>
      <c r="H145" s="1"/>
      <c r="I145" s="1"/>
      <c r="J145" s="1"/>
      <c r="K145" s="1"/>
      <c r="L145" s="3"/>
      <c r="M145" s="3"/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203"/>
      <c r="D146" s="203"/>
      <c r="E146" s="203"/>
      <c r="F146" s="3"/>
      <c r="G146" s="3"/>
      <c r="H146" s="1"/>
      <c r="I146" s="1"/>
      <c r="J146" s="1"/>
      <c r="K146" s="1"/>
      <c r="L146" s="3"/>
      <c r="M146" s="3"/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203"/>
      <c r="D147" s="203"/>
      <c r="E147" s="203"/>
      <c r="F147" s="3"/>
      <c r="G147" s="3"/>
      <c r="H147" s="1"/>
      <c r="I147" s="1"/>
      <c r="J147" s="1"/>
      <c r="K147" s="1"/>
      <c r="L147" s="3"/>
      <c r="M147" s="3"/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203"/>
      <c r="D148" s="203"/>
      <c r="E148" s="203"/>
      <c r="F148" s="3"/>
      <c r="G148" s="3"/>
      <c r="H148" s="1"/>
      <c r="I148" s="1"/>
      <c r="J148" s="1"/>
      <c r="K148" s="1"/>
      <c r="L148" s="3"/>
      <c r="M148" s="3"/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203"/>
      <c r="D149" s="203"/>
      <c r="E149" s="203"/>
      <c r="F149" s="3"/>
      <c r="G149" s="3"/>
      <c r="H149" s="1"/>
      <c r="I149" s="1"/>
      <c r="J149" s="1"/>
      <c r="K149" s="1"/>
      <c r="L149" s="3"/>
      <c r="M149" s="3"/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203"/>
      <c r="D150" s="203"/>
      <c r="E150" s="203"/>
      <c r="F150" s="3"/>
      <c r="G150" s="3"/>
      <c r="H150" s="1"/>
      <c r="I150" s="1"/>
      <c r="J150" s="1"/>
      <c r="K150" s="1"/>
      <c r="L150" s="3"/>
      <c r="M150" s="3"/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203"/>
      <c r="D151" s="203"/>
      <c r="E151" s="203"/>
      <c r="F151" s="3"/>
      <c r="G151" s="3"/>
      <c r="H151" s="1"/>
      <c r="I151" s="1"/>
      <c r="J151" s="1"/>
      <c r="K151" s="1"/>
      <c r="L151" s="3"/>
      <c r="M151" s="3"/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203"/>
      <c r="D152" s="203"/>
      <c r="E152" s="203"/>
      <c r="F152" s="3"/>
      <c r="G152" s="3"/>
      <c r="H152" s="1"/>
      <c r="I152" s="1"/>
      <c r="J152" s="1"/>
      <c r="K152" s="1"/>
      <c r="L152" s="3"/>
      <c r="M152" s="3"/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203"/>
      <c r="D153" s="203"/>
      <c r="E153" s="203"/>
      <c r="F153" s="3"/>
      <c r="G153" s="3"/>
      <c r="H153" s="1"/>
      <c r="I153" s="1"/>
      <c r="J153" s="1"/>
      <c r="K153" s="1"/>
      <c r="L153" s="3"/>
      <c r="M153" s="3"/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203"/>
      <c r="D154" s="203"/>
      <c r="E154" s="203"/>
      <c r="F154" s="3"/>
      <c r="G154" s="3"/>
      <c r="H154" s="1"/>
      <c r="I154" s="1"/>
      <c r="J154" s="1"/>
      <c r="K154" s="1"/>
      <c r="L154" s="3"/>
      <c r="M154" s="3"/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203"/>
      <c r="D155" s="203"/>
      <c r="E155" s="203"/>
      <c r="F155" s="3"/>
      <c r="G155" s="3"/>
      <c r="H155" s="1"/>
      <c r="I155" s="1"/>
      <c r="J155" s="1"/>
      <c r="K155" s="1"/>
      <c r="L155" s="3"/>
      <c r="M155" s="3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203"/>
      <c r="D156" s="203"/>
      <c r="E156" s="203"/>
      <c r="F156" s="3"/>
      <c r="G156" s="3"/>
      <c r="H156" s="1"/>
      <c r="I156" s="1"/>
      <c r="J156" s="1"/>
      <c r="K156" s="1"/>
      <c r="L156" s="3"/>
      <c r="M156" s="3"/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203"/>
      <c r="D157" s="203"/>
      <c r="E157" s="203"/>
      <c r="F157" s="3"/>
      <c r="G157" s="3"/>
      <c r="H157" s="1"/>
      <c r="I157" s="1"/>
      <c r="J157" s="1"/>
      <c r="K157" s="1"/>
      <c r="L157" s="3"/>
      <c r="M157" s="3"/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203"/>
      <c r="D158" s="203"/>
      <c r="E158" s="203"/>
      <c r="F158" s="3"/>
      <c r="G158" s="3"/>
      <c r="H158" s="1"/>
      <c r="I158" s="1"/>
      <c r="J158" s="1"/>
      <c r="K158" s="1"/>
      <c r="L158" s="3"/>
      <c r="M158" s="3"/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203"/>
      <c r="D159" s="203"/>
      <c r="E159" s="203"/>
      <c r="F159" s="3"/>
      <c r="G159" s="3"/>
      <c r="H159" s="1"/>
      <c r="I159" s="1"/>
      <c r="J159" s="1"/>
      <c r="K159" s="1"/>
      <c r="L159" s="3"/>
      <c r="M159" s="3"/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203"/>
      <c r="D160" s="203"/>
      <c r="E160" s="203"/>
      <c r="F160" s="3"/>
      <c r="G160" s="3"/>
      <c r="H160" s="1"/>
      <c r="I160" s="1"/>
      <c r="J160" s="1"/>
      <c r="K160" s="1"/>
      <c r="L160" s="3"/>
      <c r="M160" s="3"/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203"/>
      <c r="D161" s="203"/>
      <c r="E161" s="203"/>
      <c r="F161" s="3"/>
      <c r="G161" s="3"/>
      <c r="H161" s="1"/>
      <c r="I161" s="1"/>
      <c r="J161" s="1"/>
      <c r="K161" s="1"/>
      <c r="L161" s="3"/>
      <c r="M161" s="3"/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203"/>
      <c r="D162" s="203"/>
      <c r="E162" s="203"/>
      <c r="F162" s="3"/>
      <c r="G162" s="3"/>
      <c r="H162" s="1"/>
      <c r="I162" s="1"/>
      <c r="J162" s="1"/>
      <c r="K162" s="1"/>
      <c r="L162" s="3"/>
      <c r="M162" s="3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203"/>
      <c r="D163" s="203"/>
      <c r="E163" s="203"/>
      <c r="F163" s="3"/>
      <c r="G163" s="3"/>
      <c r="H163" s="1"/>
      <c r="I163" s="1"/>
      <c r="J163" s="1"/>
      <c r="K163" s="1"/>
      <c r="L163" s="3"/>
      <c r="M163" s="3"/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203"/>
      <c r="D164" s="203"/>
      <c r="E164" s="203"/>
      <c r="F164" s="3"/>
      <c r="G164" s="3"/>
      <c r="H164" s="1"/>
      <c r="I164" s="1"/>
      <c r="J164" s="1"/>
      <c r="K164" s="1"/>
      <c r="L164" s="3"/>
      <c r="M164" s="3"/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203"/>
      <c r="D165" s="203"/>
      <c r="E165" s="203"/>
      <c r="F165" s="3"/>
      <c r="G165" s="3"/>
      <c r="H165" s="1"/>
      <c r="I165" s="1"/>
      <c r="J165" s="1"/>
      <c r="K165" s="1"/>
      <c r="L165" s="3"/>
      <c r="M165" s="3"/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203"/>
      <c r="D166" s="203"/>
      <c r="E166" s="203"/>
      <c r="F166" s="3"/>
      <c r="G166" s="3"/>
      <c r="H166" s="1"/>
      <c r="I166" s="1"/>
      <c r="J166" s="1"/>
      <c r="K166" s="1"/>
      <c r="L166" s="3"/>
      <c r="M166" s="3"/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203"/>
      <c r="D167" s="203"/>
      <c r="E167" s="203"/>
      <c r="F167" s="3"/>
      <c r="G167" s="3"/>
      <c r="H167" s="1"/>
      <c r="I167" s="1"/>
      <c r="J167" s="1"/>
      <c r="K167" s="1"/>
      <c r="L167" s="3"/>
      <c r="M167" s="3"/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203"/>
      <c r="D168" s="203"/>
      <c r="E168" s="203"/>
      <c r="F168" s="3"/>
      <c r="G168" s="3"/>
      <c r="H168" s="1"/>
      <c r="I168" s="1"/>
      <c r="J168" s="1"/>
      <c r="K168" s="1"/>
      <c r="L168" s="3"/>
      <c r="M168" s="3"/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203"/>
      <c r="D169" s="203"/>
      <c r="E169" s="203"/>
      <c r="F169" s="3"/>
      <c r="G169" s="3"/>
      <c r="H169" s="1"/>
      <c r="I169" s="1"/>
      <c r="J169" s="1"/>
      <c r="K169" s="1"/>
      <c r="L169" s="3"/>
      <c r="M169" s="3"/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203"/>
      <c r="D170" s="203"/>
      <c r="E170" s="203"/>
      <c r="F170" s="3"/>
      <c r="G170" s="3"/>
      <c r="H170" s="1"/>
      <c r="I170" s="1"/>
      <c r="J170" s="1"/>
      <c r="K170" s="1"/>
      <c r="L170" s="3"/>
      <c r="M170" s="3"/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203"/>
      <c r="D171" s="203"/>
      <c r="E171" s="203"/>
      <c r="F171" s="3"/>
      <c r="G171" s="3"/>
      <c r="H171" s="1"/>
      <c r="I171" s="1"/>
      <c r="J171" s="1"/>
      <c r="K171" s="1"/>
      <c r="L171" s="3"/>
      <c r="M171" s="3"/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203"/>
      <c r="D172" s="203"/>
      <c r="E172" s="203"/>
      <c r="F172" s="3"/>
      <c r="G172" s="3"/>
      <c r="H172" s="1"/>
      <c r="I172" s="1"/>
      <c r="J172" s="1"/>
      <c r="K172" s="1"/>
      <c r="L172" s="3"/>
      <c r="M172" s="3"/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203"/>
      <c r="D173" s="203"/>
      <c r="E173" s="203"/>
      <c r="F173" s="3"/>
      <c r="G173" s="3"/>
      <c r="H173" s="1"/>
      <c r="I173" s="1"/>
      <c r="J173" s="1"/>
      <c r="K173" s="1"/>
      <c r="L173" s="3"/>
      <c r="M173" s="3"/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203"/>
      <c r="D174" s="203"/>
      <c r="E174" s="203"/>
      <c r="F174" s="3"/>
      <c r="G174" s="3"/>
      <c r="H174" s="1"/>
      <c r="I174" s="1"/>
      <c r="J174" s="1"/>
      <c r="K174" s="1"/>
      <c r="L174" s="3"/>
      <c r="M174" s="3"/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203"/>
      <c r="D175" s="203"/>
      <c r="E175" s="203"/>
      <c r="F175" s="3"/>
      <c r="G175" s="3"/>
      <c r="H175" s="1"/>
      <c r="I175" s="1"/>
      <c r="J175" s="1"/>
      <c r="K175" s="1"/>
      <c r="L175" s="3"/>
      <c r="M175" s="3"/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203"/>
      <c r="D176" s="203"/>
      <c r="E176" s="203"/>
      <c r="F176" s="3"/>
      <c r="G176" s="3"/>
      <c r="H176" s="1"/>
      <c r="I176" s="1"/>
      <c r="J176" s="1"/>
      <c r="K176" s="1"/>
      <c r="L176" s="3"/>
      <c r="M176" s="3"/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203"/>
      <c r="D177" s="203"/>
      <c r="E177" s="203"/>
      <c r="F177" s="3"/>
      <c r="G177" s="3"/>
      <c r="H177" s="1"/>
      <c r="I177" s="1"/>
      <c r="J177" s="1"/>
      <c r="K177" s="1"/>
      <c r="L177" s="3"/>
      <c r="M177" s="3"/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203"/>
      <c r="D178" s="203"/>
      <c r="E178" s="203"/>
      <c r="F178" s="3"/>
      <c r="G178" s="3"/>
      <c r="H178" s="1"/>
      <c r="I178" s="1"/>
      <c r="J178" s="1"/>
      <c r="K178" s="1"/>
      <c r="L178" s="3"/>
      <c r="M178" s="3"/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203"/>
      <c r="D179" s="203"/>
      <c r="E179" s="203"/>
      <c r="F179" s="3"/>
      <c r="G179" s="3"/>
      <c r="H179" s="1"/>
      <c r="I179" s="1"/>
      <c r="J179" s="1"/>
      <c r="K179" s="1"/>
      <c r="L179" s="3"/>
      <c r="M179" s="3"/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203"/>
      <c r="D180" s="203"/>
      <c r="E180" s="203"/>
      <c r="F180" s="3"/>
      <c r="G180" s="3"/>
      <c r="H180" s="1"/>
      <c r="I180" s="1"/>
      <c r="J180" s="1"/>
      <c r="K180" s="1"/>
      <c r="L180" s="3"/>
      <c r="M180" s="3"/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203"/>
      <c r="D181" s="203"/>
      <c r="E181" s="203"/>
      <c r="F181" s="3"/>
      <c r="G181" s="3"/>
      <c r="H181" s="1"/>
      <c r="I181" s="1"/>
      <c r="J181" s="1"/>
      <c r="K181" s="1"/>
      <c r="L181" s="3"/>
      <c r="M181" s="3"/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203"/>
      <c r="D182" s="203"/>
      <c r="E182" s="203"/>
      <c r="F182" s="3"/>
      <c r="G182" s="3"/>
      <c r="H182" s="1"/>
      <c r="I182" s="1"/>
      <c r="J182" s="1"/>
      <c r="K182" s="1"/>
      <c r="L182" s="3"/>
      <c r="M182" s="3"/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203"/>
      <c r="D183" s="203"/>
      <c r="E183" s="203"/>
      <c r="F183" s="3"/>
      <c r="G183" s="3"/>
      <c r="H183" s="1"/>
      <c r="I183" s="1"/>
      <c r="J183" s="1"/>
      <c r="K183" s="1"/>
      <c r="L183" s="3"/>
      <c r="M183" s="3"/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203"/>
      <c r="D184" s="203"/>
      <c r="E184" s="203"/>
      <c r="F184" s="3"/>
      <c r="G184" s="3"/>
      <c r="H184" s="1"/>
      <c r="I184" s="1"/>
      <c r="J184" s="1"/>
      <c r="K184" s="1"/>
      <c r="L184" s="3"/>
      <c r="M184" s="3"/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203"/>
      <c r="D185" s="203"/>
      <c r="E185" s="203"/>
      <c r="F185" s="3"/>
      <c r="G185" s="3"/>
      <c r="H185" s="1"/>
      <c r="I185" s="1"/>
      <c r="J185" s="1"/>
      <c r="K185" s="1"/>
      <c r="L185" s="3"/>
      <c r="M185" s="3"/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203"/>
      <c r="D186" s="203"/>
      <c r="E186" s="203"/>
      <c r="F186" s="3"/>
      <c r="G186" s="3"/>
      <c r="H186" s="1"/>
      <c r="I186" s="1"/>
      <c r="J186" s="1"/>
      <c r="K186" s="1"/>
      <c r="L186" s="3"/>
      <c r="M186" s="3"/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203"/>
      <c r="D187" s="203"/>
      <c r="E187" s="203"/>
      <c r="F187" s="3"/>
      <c r="G187" s="3"/>
      <c r="H187" s="1"/>
      <c r="I187" s="1"/>
      <c r="J187" s="1"/>
      <c r="K187" s="1"/>
      <c r="L187" s="3"/>
      <c r="M187" s="3"/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203"/>
      <c r="D188" s="203"/>
      <c r="E188" s="203"/>
      <c r="F188" s="3"/>
      <c r="G188" s="3"/>
      <c r="H188" s="1"/>
      <c r="I188" s="1"/>
      <c r="J188" s="1"/>
      <c r="K188" s="1"/>
      <c r="L188" s="3"/>
      <c r="M188" s="3"/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203"/>
      <c r="D189" s="203"/>
      <c r="E189" s="203"/>
      <c r="F189" s="3"/>
      <c r="G189" s="3"/>
      <c r="H189" s="1"/>
      <c r="I189" s="1"/>
      <c r="J189" s="1"/>
      <c r="K189" s="1"/>
      <c r="L189" s="3"/>
      <c r="M189" s="3"/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203"/>
      <c r="D190" s="203"/>
      <c r="E190" s="203"/>
      <c r="F190" s="3"/>
      <c r="G190" s="3"/>
      <c r="H190" s="1"/>
      <c r="I190" s="1"/>
      <c r="J190" s="1"/>
      <c r="K190" s="1"/>
      <c r="L190" s="3"/>
      <c r="M190" s="3"/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203"/>
      <c r="D191" s="203"/>
      <c r="E191" s="203"/>
      <c r="F191" s="3"/>
      <c r="G191" s="3"/>
      <c r="H191" s="1"/>
      <c r="I191" s="1"/>
      <c r="J191" s="1"/>
      <c r="K191" s="1"/>
      <c r="L191" s="3"/>
      <c r="M191" s="3"/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203"/>
      <c r="D192" s="203"/>
      <c r="E192" s="203"/>
      <c r="F192" s="3"/>
      <c r="G192" s="3"/>
      <c r="H192" s="1"/>
      <c r="I192" s="1"/>
      <c r="J192" s="1"/>
      <c r="K192" s="1"/>
      <c r="L192" s="3"/>
      <c r="M192" s="3"/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203"/>
      <c r="D193" s="203"/>
      <c r="E193" s="203"/>
      <c r="F193" s="3"/>
      <c r="G193" s="3"/>
      <c r="H193" s="1"/>
      <c r="I193" s="1"/>
      <c r="J193" s="1"/>
      <c r="K193" s="1"/>
      <c r="L193" s="3"/>
      <c r="M193" s="3"/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203"/>
      <c r="D194" s="203"/>
      <c r="E194" s="203"/>
      <c r="F194" s="3"/>
      <c r="G194" s="3"/>
      <c r="H194" s="1"/>
      <c r="I194" s="1"/>
      <c r="J194" s="1"/>
      <c r="K194" s="1"/>
      <c r="L194" s="3"/>
      <c r="M194" s="3"/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203"/>
      <c r="D195" s="203"/>
      <c r="E195" s="203"/>
      <c r="F195" s="3"/>
      <c r="G195" s="3"/>
      <c r="H195" s="1"/>
      <c r="I195" s="1"/>
      <c r="J195" s="1"/>
      <c r="K195" s="1"/>
      <c r="L195" s="3"/>
      <c r="M195" s="3"/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203"/>
      <c r="D196" s="203"/>
      <c r="E196" s="203"/>
      <c r="F196" s="3"/>
      <c r="G196" s="3"/>
      <c r="H196" s="1"/>
      <c r="I196" s="1"/>
      <c r="J196" s="1"/>
      <c r="K196" s="1"/>
      <c r="L196" s="3"/>
      <c r="M196" s="3"/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203"/>
      <c r="D197" s="203"/>
      <c r="E197" s="203"/>
      <c r="F197" s="3"/>
      <c r="G197" s="3"/>
      <c r="H197" s="1"/>
      <c r="I197" s="1"/>
      <c r="J197" s="1"/>
      <c r="K197" s="1"/>
      <c r="L197" s="3"/>
      <c r="M197" s="3"/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203"/>
      <c r="D198" s="203"/>
      <c r="E198" s="203"/>
      <c r="F198" s="3"/>
      <c r="G198" s="3"/>
      <c r="H198" s="1"/>
      <c r="I198" s="1"/>
      <c r="J198" s="1"/>
      <c r="K198" s="1"/>
      <c r="L198" s="3"/>
      <c r="M198" s="3"/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203"/>
      <c r="D199" s="203"/>
      <c r="E199" s="203"/>
      <c r="F199" s="3"/>
      <c r="G199" s="3"/>
      <c r="H199" s="1"/>
      <c r="I199" s="1"/>
      <c r="J199" s="1"/>
      <c r="K199" s="1"/>
      <c r="L199" s="3"/>
      <c r="M199" s="3"/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203"/>
      <c r="D200" s="203"/>
      <c r="E200" s="203"/>
      <c r="F200" s="3"/>
      <c r="G200" s="3"/>
      <c r="H200" s="1"/>
      <c r="I200" s="1"/>
      <c r="J200" s="1"/>
      <c r="K200" s="1"/>
      <c r="L200" s="3"/>
      <c r="M200" s="3"/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203"/>
      <c r="D201" s="203"/>
      <c r="E201" s="203"/>
      <c r="F201" s="3"/>
      <c r="G201" s="3"/>
      <c r="H201" s="1"/>
      <c r="I201" s="1"/>
      <c r="J201" s="1"/>
      <c r="K201" s="1"/>
      <c r="L201" s="3"/>
      <c r="M201" s="3"/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203"/>
      <c r="D202" s="203"/>
      <c r="E202" s="203"/>
      <c r="F202" s="3"/>
      <c r="G202" s="3"/>
      <c r="H202" s="1"/>
      <c r="I202" s="1"/>
      <c r="J202" s="1"/>
      <c r="K202" s="1"/>
      <c r="L202" s="3"/>
      <c r="M202" s="3"/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203"/>
      <c r="D203" s="203"/>
      <c r="E203" s="203"/>
      <c r="F203" s="3"/>
      <c r="G203" s="3"/>
      <c r="H203" s="1"/>
      <c r="I203" s="1"/>
      <c r="J203" s="1"/>
      <c r="K203" s="1"/>
      <c r="L203" s="3"/>
      <c r="M203" s="3"/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203"/>
      <c r="D204" s="203"/>
      <c r="E204" s="203"/>
      <c r="F204" s="3"/>
      <c r="G204" s="3"/>
      <c r="H204" s="1"/>
      <c r="I204" s="1"/>
      <c r="J204" s="1"/>
      <c r="K204" s="1"/>
      <c r="L204" s="3"/>
      <c r="M204" s="3"/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203"/>
      <c r="D205" s="203"/>
      <c r="E205" s="203"/>
      <c r="F205" s="3"/>
      <c r="G205" s="3"/>
      <c r="H205" s="1"/>
      <c r="I205" s="1"/>
      <c r="J205" s="1"/>
      <c r="K205" s="1"/>
      <c r="L205" s="3"/>
      <c r="M205" s="3"/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203"/>
      <c r="D206" s="203"/>
      <c r="E206" s="203"/>
      <c r="F206" s="3"/>
      <c r="G206" s="3"/>
      <c r="H206" s="1"/>
      <c r="I206" s="1"/>
      <c r="J206" s="1"/>
      <c r="K206" s="1"/>
      <c r="L206" s="3"/>
      <c r="M206" s="3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203"/>
      <c r="D207" s="203"/>
      <c r="E207" s="203"/>
      <c r="F207" s="3"/>
      <c r="G207" s="3"/>
      <c r="H207" s="1"/>
      <c r="I207" s="1"/>
      <c r="J207" s="1"/>
      <c r="K207" s="1"/>
      <c r="L207" s="3"/>
      <c r="M207" s="3"/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203"/>
      <c r="D208" s="203"/>
      <c r="E208" s="203"/>
      <c r="F208" s="3"/>
      <c r="G208" s="3"/>
      <c r="H208" s="1"/>
      <c r="I208" s="1"/>
      <c r="J208" s="1"/>
      <c r="K208" s="1"/>
      <c r="L208" s="3"/>
      <c r="M208" s="3"/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203"/>
      <c r="D209" s="203"/>
      <c r="E209" s="203"/>
      <c r="F209" s="3"/>
      <c r="G209" s="3"/>
      <c r="H209" s="1"/>
      <c r="I209" s="1"/>
      <c r="J209" s="1"/>
      <c r="K209" s="1"/>
      <c r="L209" s="3"/>
      <c r="M209" s="3"/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203"/>
      <c r="D210" s="203"/>
      <c r="E210" s="203"/>
      <c r="F210" s="3"/>
      <c r="G210" s="3"/>
      <c r="H210" s="1"/>
      <c r="I210" s="1"/>
      <c r="J210" s="1"/>
      <c r="K210" s="1"/>
      <c r="L210" s="3"/>
      <c r="M210" s="3"/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203"/>
      <c r="D211" s="203"/>
      <c r="E211" s="203"/>
      <c r="F211" s="3"/>
      <c r="G211" s="3"/>
      <c r="H211" s="1"/>
      <c r="I211" s="1"/>
      <c r="J211" s="1"/>
      <c r="K211" s="1"/>
      <c r="L211" s="3"/>
      <c r="M211" s="3"/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203"/>
      <c r="D212" s="203"/>
      <c r="E212" s="203"/>
      <c r="F212" s="3"/>
      <c r="G212" s="3"/>
      <c r="H212" s="1"/>
      <c r="I212" s="1"/>
      <c r="J212" s="1"/>
      <c r="K212" s="1"/>
      <c r="L212" s="3"/>
      <c r="M212" s="3"/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203"/>
      <c r="D213" s="203"/>
      <c r="E213" s="203"/>
      <c r="F213" s="3"/>
      <c r="G213" s="3"/>
      <c r="H213" s="1"/>
      <c r="I213" s="1"/>
      <c r="J213" s="1"/>
      <c r="K213" s="1"/>
      <c r="L213" s="3"/>
      <c r="M213" s="3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203"/>
      <c r="D214" s="203"/>
      <c r="E214" s="203"/>
      <c r="F214" s="3"/>
      <c r="G214" s="3"/>
      <c r="H214" s="1"/>
      <c r="I214" s="1"/>
      <c r="J214" s="1"/>
      <c r="K214" s="1"/>
      <c r="L214" s="3"/>
      <c r="M214" s="3"/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203"/>
      <c r="D215" s="203"/>
      <c r="E215" s="203"/>
      <c r="F215" s="3"/>
      <c r="G215" s="3"/>
      <c r="H215" s="1"/>
      <c r="I215" s="1"/>
      <c r="J215" s="1"/>
      <c r="K215" s="1"/>
      <c r="L215" s="3"/>
      <c r="M215" s="3"/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203"/>
      <c r="D216" s="203"/>
      <c r="E216" s="203"/>
      <c r="F216" s="3"/>
      <c r="G216" s="3"/>
      <c r="H216" s="1"/>
      <c r="I216" s="1"/>
      <c r="J216" s="1"/>
      <c r="K216" s="1"/>
      <c r="L216" s="3"/>
      <c r="M216" s="3"/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203"/>
      <c r="D217" s="203"/>
      <c r="E217" s="203"/>
      <c r="F217" s="3"/>
      <c r="G217" s="3"/>
      <c r="H217" s="1"/>
      <c r="I217" s="1"/>
      <c r="J217" s="1"/>
      <c r="K217" s="1"/>
      <c r="L217" s="3"/>
      <c r="M217" s="3"/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203"/>
      <c r="D218" s="203"/>
      <c r="E218" s="203"/>
      <c r="F218" s="3"/>
      <c r="G218" s="3"/>
      <c r="H218" s="1"/>
      <c r="I218" s="1"/>
      <c r="J218" s="1"/>
      <c r="K218" s="1"/>
      <c r="L218" s="3"/>
      <c r="M218" s="3"/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203"/>
      <c r="D219" s="203"/>
      <c r="E219" s="203"/>
      <c r="F219" s="3"/>
      <c r="G219" s="3"/>
      <c r="H219" s="1"/>
      <c r="I219" s="1"/>
      <c r="J219" s="1"/>
      <c r="K219" s="1"/>
      <c r="L219" s="3"/>
      <c r="M219" s="3"/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203"/>
      <c r="D220" s="203"/>
      <c r="E220" s="203"/>
      <c r="F220" s="3"/>
      <c r="G220" s="3"/>
      <c r="H220" s="1"/>
      <c r="I220" s="1"/>
      <c r="J220" s="1"/>
      <c r="K220" s="1"/>
      <c r="L220" s="3"/>
      <c r="M220" s="3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03"/>
      <c r="D221" s="203"/>
      <c r="E221" s="203"/>
      <c r="F221" s="3"/>
      <c r="G221" s="3"/>
      <c r="H221" s="1"/>
      <c r="I221" s="1"/>
      <c r="J221" s="1"/>
      <c r="K221" s="1"/>
      <c r="L221" s="3"/>
      <c r="M221" s="3"/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03"/>
      <c r="D222" s="203"/>
      <c r="E222" s="203"/>
      <c r="F222" s="3"/>
      <c r="G222" s="3"/>
      <c r="H222" s="1"/>
      <c r="I222" s="1"/>
      <c r="J222" s="1"/>
      <c r="K222" s="1"/>
      <c r="L222" s="3"/>
      <c r="M222" s="3"/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03"/>
      <c r="D223" s="203"/>
      <c r="E223" s="203"/>
      <c r="F223" s="3"/>
      <c r="G223" s="3"/>
      <c r="H223" s="1"/>
      <c r="I223" s="1"/>
      <c r="J223" s="1"/>
      <c r="K223" s="1"/>
      <c r="L223" s="3"/>
      <c r="M223" s="3"/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03"/>
      <c r="D224" s="203"/>
      <c r="E224" s="203"/>
      <c r="F224" s="3"/>
      <c r="G224" s="3"/>
      <c r="H224" s="1"/>
      <c r="I224" s="1"/>
      <c r="J224" s="1"/>
      <c r="K224" s="1"/>
      <c r="L224" s="3"/>
      <c r="M224" s="3"/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03"/>
      <c r="D225" s="203"/>
      <c r="E225" s="203"/>
      <c r="F225" s="3"/>
      <c r="G225" s="3"/>
      <c r="H225" s="1"/>
      <c r="I225" s="1"/>
      <c r="J225" s="1"/>
      <c r="K225" s="1"/>
      <c r="L225" s="3"/>
      <c r="M225" s="3"/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03"/>
      <c r="D226" s="203"/>
      <c r="E226" s="203"/>
      <c r="F226" s="3"/>
      <c r="G226" s="3"/>
      <c r="H226" s="1"/>
      <c r="I226" s="1"/>
      <c r="J226" s="1"/>
      <c r="K226" s="1"/>
      <c r="L226" s="3"/>
      <c r="M226" s="3"/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03"/>
      <c r="D227" s="203"/>
      <c r="E227" s="203"/>
      <c r="F227" s="3"/>
      <c r="G227" s="3"/>
      <c r="H227" s="1"/>
      <c r="I227" s="1"/>
      <c r="J227" s="1"/>
      <c r="K227" s="1"/>
      <c r="L227" s="3"/>
      <c r="M227" s="3"/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03"/>
      <c r="D228" s="203"/>
      <c r="E228" s="203"/>
      <c r="F228" s="3"/>
      <c r="G228" s="3"/>
      <c r="H228" s="1"/>
      <c r="I228" s="1"/>
      <c r="J228" s="1"/>
      <c r="K228" s="1"/>
      <c r="L228" s="3"/>
      <c r="M228" s="3"/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03"/>
      <c r="D229" s="203"/>
      <c r="E229" s="203"/>
      <c r="F229" s="3"/>
      <c r="G229" s="3"/>
      <c r="H229" s="1"/>
      <c r="I229" s="1"/>
      <c r="J229" s="1"/>
      <c r="K229" s="1"/>
      <c r="L229" s="3"/>
      <c r="M229" s="3"/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03"/>
      <c r="D230" s="203"/>
      <c r="E230" s="203"/>
      <c r="F230" s="3"/>
      <c r="G230" s="3"/>
      <c r="H230" s="1"/>
      <c r="I230" s="1"/>
      <c r="J230" s="1"/>
      <c r="K230" s="1"/>
      <c r="L230" s="3"/>
      <c r="M230" s="3"/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03"/>
      <c r="D231" s="203"/>
      <c r="E231" s="203"/>
      <c r="F231" s="3"/>
      <c r="G231" s="3"/>
      <c r="H231" s="1"/>
      <c r="I231" s="1"/>
      <c r="J231" s="1"/>
      <c r="K231" s="1"/>
      <c r="L231" s="3"/>
      <c r="M231" s="3"/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203"/>
      <c r="D232" s="203"/>
      <c r="E232" s="203"/>
      <c r="F232" s="3"/>
      <c r="G232" s="3"/>
      <c r="H232" s="1"/>
      <c r="I232" s="1"/>
      <c r="J232" s="1"/>
      <c r="K232" s="1"/>
      <c r="L232" s="3"/>
      <c r="M232" s="3"/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203"/>
      <c r="D233" s="203"/>
      <c r="E233" s="203"/>
      <c r="F233" s="3"/>
      <c r="G233" s="3"/>
      <c r="H233" s="1"/>
      <c r="I233" s="1"/>
      <c r="J233" s="1"/>
      <c r="K233" s="1"/>
      <c r="L233" s="3"/>
      <c r="M233" s="3"/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203"/>
      <c r="D234" s="203"/>
      <c r="E234" s="203"/>
      <c r="F234" s="3"/>
      <c r="G234" s="3"/>
      <c r="H234" s="1"/>
      <c r="I234" s="1"/>
      <c r="J234" s="1"/>
      <c r="K234" s="1"/>
      <c r="L234" s="3"/>
      <c r="M234" s="3"/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203"/>
      <c r="D235" s="203"/>
      <c r="E235" s="203"/>
      <c r="F235" s="3"/>
      <c r="G235" s="3"/>
      <c r="H235" s="1"/>
      <c r="I235" s="1"/>
      <c r="J235" s="1"/>
      <c r="K235" s="1"/>
      <c r="L235" s="3"/>
      <c r="M235" s="3"/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203"/>
      <c r="D236" s="203"/>
      <c r="E236" s="203"/>
      <c r="F236" s="3"/>
      <c r="G236" s="3"/>
      <c r="H236" s="1"/>
      <c r="I236" s="1"/>
      <c r="J236" s="1"/>
      <c r="K236" s="1"/>
      <c r="L236" s="3"/>
      <c r="M236" s="3"/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203"/>
      <c r="D237" s="203"/>
      <c r="E237" s="203"/>
      <c r="F237" s="3"/>
      <c r="G237" s="3"/>
      <c r="H237" s="1"/>
      <c r="I237" s="1"/>
      <c r="J237" s="1"/>
      <c r="K237" s="1"/>
      <c r="L237" s="3"/>
      <c r="M237" s="3"/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203"/>
      <c r="D238" s="203"/>
      <c r="E238" s="203"/>
      <c r="F238" s="3"/>
      <c r="G238" s="3"/>
      <c r="H238" s="1"/>
      <c r="I238" s="1"/>
      <c r="J238" s="1"/>
      <c r="K238" s="1"/>
      <c r="L238" s="3"/>
      <c r="M238" s="3"/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203"/>
      <c r="D239" s="203"/>
      <c r="E239" s="203"/>
      <c r="F239" s="3"/>
      <c r="G239" s="3"/>
      <c r="H239" s="1"/>
      <c r="I239" s="1"/>
      <c r="J239" s="1"/>
      <c r="K239" s="1"/>
      <c r="L239" s="3"/>
      <c r="M239" s="3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203"/>
      <c r="D240" s="203"/>
      <c r="E240" s="203"/>
      <c r="F240" s="3"/>
      <c r="G240" s="3"/>
      <c r="H240" s="1"/>
      <c r="I240" s="1"/>
      <c r="J240" s="1"/>
      <c r="K240" s="1"/>
      <c r="L240" s="3"/>
      <c r="M240" s="3"/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203"/>
      <c r="D241" s="203"/>
      <c r="E241" s="203"/>
      <c r="F241" s="3"/>
      <c r="G241" s="3"/>
      <c r="H241" s="1"/>
      <c r="I241" s="1"/>
      <c r="J241" s="1"/>
      <c r="K241" s="1"/>
      <c r="L241" s="3"/>
      <c r="M241" s="3"/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203"/>
      <c r="D242" s="203"/>
      <c r="E242" s="203"/>
      <c r="F242" s="3"/>
      <c r="G242" s="3"/>
      <c r="H242" s="1"/>
      <c r="I242" s="1"/>
      <c r="J242" s="1"/>
      <c r="K242" s="1"/>
      <c r="L242" s="3"/>
      <c r="M242" s="3"/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203"/>
      <c r="D243" s="203"/>
      <c r="E243" s="203"/>
      <c r="F243" s="3"/>
      <c r="G243" s="3"/>
      <c r="H243" s="1"/>
      <c r="I243" s="1"/>
      <c r="J243" s="1"/>
      <c r="K243" s="1"/>
      <c r="L243" s="3"/>
      <c r="M243" s="3"/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203"/>
      <c r="D244" s="203"/>
      <c r="E244" s="203"/>
      <c r="F244" s="3"/>
      <c r="G244" s="3"/>
      <c r="H244" s="1"/>
      <c r="I244" s="1"/>
      <c r="J244" s="1"/>
      <c r="K244" s="1"/>
      <c r="L244" s="3"/>
      <c r="M244" s="3"/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203"/>
      <c r="D245" s="203"/>
      <c r="E245" s="203"/>
      <c r="F245" s="3"/>
      <c r="G245" s="3"/>
      <c r="H245" s="1"/>
      <c r="I245" s="1"/>
      <c r="J245" s="1"/>
      <c r="K245" s="1"/>
      <c r="L245" s="3"/>
      <c r="M245" s="3"/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203"/>
      <c r="D246" s="203"/>
      <c r="E246" s="203"/>
      <c r="F246" s="3"/>
      <c r="G246" s="3"/>
      <c r="H246" s="1"/>
      <c r="I246" s="1"/>
      <c r="J246" s="1"/>
      <c r="K246" s="1"/>
      <c r="L246" s="3"/>
      <c r="M246" s="3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203"/>
      <c r="D247" s="203"/>
      <c r="E247" s="203"/>
      <c r="F247" s="3"/>
      <c r="G247" s="3"/>
      <c r="H247" s="1"/>
      <c r="I247" s="1"/>
      <c r="J247" s="1"/>
      <c r="K247" s="1"/>
      <c r="L247" s="3"/>
      <c r="M247" s="3"/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203"/>
      <c r="D248" s="203"/>
      <c r="E248" s="203"/>
      <c r="F248" s="3"/>
      <c r="G248" s="3"/>
      <c r="H248" s="1"/>
      <c r="I248" s="1"/>
      <c r="J248" s="1"/>
      <c r="K248" s="1"/>
      <c r="L248" s="3"/>
      <c r="M248" s="3"/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203"/>
      <c r="D249" s="203"/>
      <c r="E249" s="203"/>
      <c r="F249" s="3"/>
      <c r="G249" s="3"/>
      <c r="H249" s="1"/>
      <c r="I249" s="1"/>
      <c r="J249" s="1"/>
      <c r="K249" s="1"/>
      <c r="L249" s="3"/>
      <c r="M249" s="3"/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203"/>
      <c r="D250" s="203"/>
      <c r="E250" s="203"/>
      <c r="F250" s="3"/>
      <c r="G250" s="3"/>
      <c r="H250" s="1"/>
      <c r="I250" s="1"/>
      <c r="J250" s="1"/>
      <c r="K250" s="1"/>
      <c r="L250" s="3"/>
      <c r="M250" s="3"/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203"/>
      <c r="D251" s="203"/>
      <c r="E251" s="203"/>
      <c r="F251" s="3"/>
      <c r="G251" s="3"/>
      <c r="H251" s="1"/>
      <c r="I251" s="1"/>
      <c r="J251" s="1"/>
      <c r="K251" s="1"/>
      <c r="L251" s="3"/>
      <c r="M251" s="3"/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203"/>
      <c r="D252" s="203"/>
      <c r="E252" s="203"/>
      <c r="F252" s="3"/>
      <c r="G252" s="3"/>
      <c r="H252" s="1"/>
      <c r="I252" s="1"/>
      <c r="J252" s="1"/>
      <c r="K252" s="1"/>
      <c r="L252" s="3"/>
      <c r="M252" s="3"/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203"/>
      <c r="D253" s="203"/>
      <c r="E253" s="203"/>
      <c r="F253" s="3"/>
      <c r="G253" s="3"/>
      <c r="H253" s="1"/>
      <c r="I253" s="1"/>
      <c r="J253" s="1"/>
      <c r="K253" s="1"/>
      <c r="L253" s="3"/>
      <c r="M253" s="3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203"/>
      <c r="D254" s="203"/>
      <c r="E254" s="203"/>
      <c r="F254" s="3"/>
      <c r="G254" s="3"/>
      <c r="H254" s="1"/>
      <c r="I254" s="1"/>
      <c r="J254" s="1"/>
      <c r="K254" s="1"/>
      <c r="L254" s="3"/>
      <c r="M254" s="3"/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203"/>
      <c r="D255" s="203"/>
      <c r="E255" s="203"/>
      <c r="F255" s="3"/>
      <c r="G255" s="3"/>
      <c r="H255" s="1"/>
      <c r="I255" s="1"/>
      <c r="J255" s="1"/>
      <c r="K255" s="1"/>
      <c r="L255" s="3"/>
      <c r="M255" s="3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203"/>
      <c r="D256" s="203"/>
      <c r="E256" s="203"/>
      <c r="F256" s="3"/>
      <c r="G256" s="3"/>
      <c r="H256" s="1"/>
      <c r="I256" s="1"/>
      <c r="J256" s="1"/>
      <c r="K256" s="1"/>
      <c r="L256" s="3"/>
      <c r="M256" s="3"/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203"/>
      <c r="D257" s="203"/>
      <c r="E257" s="203"/>
      <c r="F257" s="3"/>
      <c r="G257" s="3"/>
      <c r="H257" s="1"/>
      <c r="I257" s="1"/>
      <c r="J257" s="1"/>
      <c r="K257" s="1"/>
      <c r="L257" s="3"/>
      <c r="M257" s="3"/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203"/>
      <c r="D258" s="203"/>
      <c r="E258" s="203"/>
      <c r="F258" s="3"/>
      <c r="G258" s="3"/>
      <c r="H258" s="1"/>
      <c r="I258" s="1"/>
      <c r="J258" s="1"/>
      <c r="K258" s="1"/>
      <c r="L258" s="3"/>
      <c r="M258" s="3"/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203"/>
      <c r="D259" s="203"/>
      <c r="E259" s="203"/>
      <c r="F259" s="3"/>
      <c r="G259" s="3"/>
      <c r="H259" s="1"/>
      <c r="I259" s="1"/>
      <c r="J259" s="1"/>
      <c r="K259" s="1"/>
      <c r="L259" s="3"/>
      <c r="M259" s="3"/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203"/>
      <c r="D260" s="203"/>
      <c r="E260" s="203"/>
      <c r="F260" s="3"/>
      <c r="G260" s="3"/>
      <c r="H260" s="1"/>
      <c r="I260" s="1"/>
      <c r="J260" s="1"/>
      <c r="K260" s="1"/>
      <c r="L260" s="3"/>
      <c r="M260" s="3"/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203"/>
      <c r="D261" s="203"/>
      <c r="E261" s="203"/>
      <c r="F261" s="3"/>
      <c r="G261" s="3"/>
      <c r="H261" s="1"/>
      <c r="I261" s="1"/>
      <c r="J261" s="1"/>
      <c r="K261" s="1"/>
      <c r="L261" s="3"/>
      <c r="M261" s="3"/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203"/>
      <c r="D262" s="203"/>
      <c r="E262" s="203"/>
      <c r="F262" s="3"/>
      <c r="G262" s="3"/>
      <c r="H262" s="1"/>
      <c r="I262" s="1"/>
      <c r="J262" s="1"/>
      <c r="K262" s="1"/>
      <c r="L262" s="3"/>
      <c r="M262" s="3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203"/>
      <c r="D263" s="203"/>
      <c r="E263" s="203"/>
      <c r="F263" s="3"/>
      <c r="G263" s="3"/>
      <c r="H263" s="1"/>
      <c r="I263" s="1"/>
      <c r="J263" s="1"/>
      <c r="K263" s="1"/>
      <c r="L263" s="3"/>
      <c r="M263" s="3"/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203"/>
      <c r="D264" s="203"/>
      <c r="E264" s="203"/>
      <c r="F264" s="3"/>
      <c r="G264" s="3"/>
      <c r="H264" s="1"/>
      <c r="I264" s="1"/>
      <c r="J264" s="1"/>
      <c r="K264" s="1"/>
      <c r="L264" s="3"/>
      <c r="M264" s="3"/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203"/>
      <c r="D265" s="203"/>
      <c r="E265" s="203"/>
      <c r="F265" s="3"/>
      <c r="G265" s="3"/>
      <c r="H265" s="1"/>
      <c r="I265" s="1"/>
      <c r="J265" s="1"/>
      <c r="K265" s="1"/>
      <c r="L265" s="3"/>
      <c r="M265" s="3"/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203"/>
      <c r="D266" s="203"/>
      <c r="E266" s="203"/>
      <c r="F266" s="3"/>
      <c r="G266" s="3"/>
      <c r="H266" s="1"/>
      <c r="I266" s="1"/>
      <c r="J266" s="1"/>
      <c r="K266" s="1"/>
      <c r="L266" s="3"/>
      <c r="M266" s="3"/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203"/>
      <c r="D267" s="203"/>
      <c r="E267" s="203"/>
      <c r="F267" s="3"/>
      <c r="G267" s="3"/>
      <c r="H267" s="1"/>
      <c r="I267" s="1"/>
      <c r="J267" s="1"/>
      <c r="K267" s="1"/>
      <c r="L267" s="3"/>
      <c r="M267" s="3"/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203"/>
      <c r="D268" s="203"/>
      <c r="E268" s="203"/>
      <c r="F268" s="3"/>
      <c r="G268" s="3"/>
      <c r="H268" s="1"/>
      <c r="I268" s="1"/>
      <c r="J268" s="1"/>
      <c r="K268" s="1"/>
      <c r="L268" s="3"/>
      <c r="M268" s="3"/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203"/>
      <c r="D269" s="203"/>
      <c r="E269" s="203"/>
      <c r="F269" s="3"/>
      <c r="G269" s="3"/>
      <c r="H269" s="1"/>
      <c r="I269" s="1"/>
      <c r="J269" s="1"/>
      <c r="K269" s="1"/>
      <c r="L269" s="3"/>
      <c r="M269" s="3"/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203"/>
      <c r="D270" s="203"/>
      <c r="E270" s="203"/>
      <c r="F270" s="3"/>
      <c r="G270" s="3"/>
      <c r="H270" s="1"/>
      <c r="I270" s="1"/>
      <c r="J270" s="1"/>
      <c r="K270" s="1"/>
      <c r="L270" s="3"/>
      <c r="M270" s="3"/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203"/>
      <c r="D271" s="203"/>
      <c r="E271" s="203"/>
      <c r="F271" s="3"/>
      <c r="G271" s="3"/>
      <c r="H271" s="1"/>
      <c r="I271" s="1"/>
      <c r="J271" s="1"/>
      <c r="K271" s="1"/>
      <c r="L271" s="3"/>
      <c r="M271" s="3"/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203"/>
      <c r="D272" s="203"/>
      <c r="E272" s="203"/>
      <c r="F272" s="3"/>
      <c r="G272" s="3"/>
      <c r="H272" s="1"/>
      <c r="I272" s="1"/>
      <c r="J272" s="1"/>
      <c r="K272" s="1"/>
      <c r="L272" s="3"/>
      <c r="M272" s="3"/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203"/>
      <c r="D273" s="203"/>
      <c r="E273" s="203"/>
      <c r="F273" s="3"/>
      <c r="G273" s="3"/>
      <c r="H273" s="1"/>
      <c r="I273" s="1"/>
      <c r="J273" s="1"/>
      <c r="K273" s="1"/>
      <c r="L273" s="3"/>
      <c r="M273" s="3"/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203"/>
      <c r="D274" s="203"/>
      <c r="E274" s="203"/>
      <c r="F274" s="3"/>
      <c r="G274" s="3"/>
      <c r="H274" s="1"/>
      <c r="I274" s="1"/>
      <c r="J274" s="1"/>
      <c r="K274" s="1"/>
      <c r="L274" s="3"/>
      <c r="M274" s="3"/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203"/>
      <c r="D275" s="203"/>
      <c r="E275" s="203"/>
      <c r="F275" s="3"/>
      <c r="G275" s="3"/>
      <c r="H275" s="1"/>
      <c r="I275" s="1"/>
      <c r="J275" s="1"/>
      <c r="K275" s="1"/>
      <c r="L275" s="3"/>
      <c r="M275" s="3"/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203"/>
      <c r="D276" s="203"/>
      <c r="E276" s="203"/>
      <c r="F276" s="3"/>
      <c r="G276" s="3"/>
      <c r="H276" s="1"/>
      <c r="I276" s="1"/>
      <c r="J276" s="1"/>
      <c r="K276" s="1"/>
      <c r="L276" s="3"/>
      <c r="M276" s="3"/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203"/>
      <c r="D277" s="203"/>
      <c r="E277" s="203"/>
      <c r="F277" s="3"/>
      <c r="G277" s="3"/>
      <c r="H277" s="1"/>
      <c r="I277" s="1"/>
      <c r="J277" s="1"/>
      <c r="K277" s="1"/>
      <c r="L277" s="3"/>
      <c r="M277" s="3"/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203"/>
      <c r="D278" s="203"/>
      <c r="E278" s="203"/>
      <c r="F278" s="3"/>
      <c r="G278" s="3"/>
      <c r="H278" s="1"/>
      <c r="I278" s="1"/>
      <c r="J278" s="1"/>
      <c r="K278" s="1"/>
      <c r="L278" s="3"/>
      <c r="M278" s="3"/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203"/>
      <c r="D279" s="203"/>
      <c r="E279" s="203"/>
      <c r="F279" s="3"/>
      <c r="G279" s="3"/>
      <c r="H279" s="1"/>
      <c r="I279" s="1"/>
      <c r="J279" s="1"/>
      <c r="K279" s="1"/>
      <c r="L279" s="3"/>
      <c r="M279" s="3"/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203"/>
      <c r="D280" s="203"/>
      <c r="E280" s="203"/>
      <c r="F280" s="3"/>
      <c r="G280" s="3"/>
      <c r="H280" s="1"/>
      <c r="I280" s="1"/>
      <c r="J280" s="1"/>
      <c r="K280" s="1"/>
      <c r="L280" s="3"/>
      <c r="M280" s="3"/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203"/>
      <c r="D281" s="203"/>
      <c r="E281" s="203"/>
      <c r="F281" s="3"/>
      <c r="G281" s="3"/>
      <c r="H281" s="1"/>
      <c r="I281" s="1"/>
      <c r="J281" s="1"/>
      <c r="K281" s="1"/>
      <c r="L281" s="3"/>
      <c r="M281" s="3"/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203"/>
      <c r="D282" s="203"/>
      <c r="E282" s="203"/>
      <c r="F282" s="3"/>
      <c r="G282" s="3"/>
      <c r="H282" s="1"/>
      <c r="I282" s="1"/>
      <c r="J282" s="1"/>
      <c r="K282" s="1"/>
      <c r="L282" s="3"/>
      <c r="M282" s="3"/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203"/>
      <c r="D283" s="203"/>
      <c r="E283" s="203"/>
      <c r="F283" s="3"/>
      <c r="G283" s="3"/>
      <c r="H283" s="1"/>
      <c r="I283" s="1"/>
      <c r="J283" s="1"/>
      <c r="K283" s="1"/>
      <c r="L283" s="3"/>
      <c r="M283" s="3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203"/>
      <c r="D284" s="203"/>
      <c r="E284" s="203"/>
      <c r="F284" s="3"/>
      <c r="G284" s="3"/>
      <c r="H284" s="1"/>
      <c r="I284" s="1"/>
      <c r="J284" s="1"/>
      <c r="K284" s="1"/>
      <c r="L284" s="3"/>
      <c r="M284" s="3"/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203"/>
      <c r="D285" s="203"/>
      <c r="E285" s="203"/>
      <c r="F285" s="3"/>
      <c r="G285" s="3"/>
      <c r="H285" s="1"/>
      <c r="I285" s="1"/>
      <c r="J285" s="1"/>
      <c r="K285" s="1"/>
      <c r="L285" s="3"/>
      <c r="M285" s="3"/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203"/>
      <c r="D286" s="203"/>
      <c r="E286" s="203"/>
      <c r="F286" s="3"/>
      <c r="G286" s="3"/>
      <c r="H286" s="1"/>
      <c r="I286" s="1"/>
      <c r="J286" s="1"/>
      <c r="K286" s="1"/>
      <c r="L286" s="3"/>
      <c r="M286" s="3"/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203"/>
      <c r="D287" s="203"/>
      <c r="E287" s="203"/>
      <c r="F287" s="3"/>
      <c r="G287" s="3"/>
      <c r="H287" s="1"/>
      <c r="I287" s="1"/>
      <c r="J287" s="1"/>
      <c r="K287" s="1"/>
      <c r="L287" s="3"/>
      <c r="M287" s="3"/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203"/>
      <c r="D288" s="203"/>
      <c r="E288" s="203"/>
      <c r="F288" s="3"/>
      <c r="G288" s="3"/>
      <c r="H288" s="1"/>
      <c r="I288" s="1"/>
      <c r="J288" s="1"/>
      <c r="K288" s="1"/>
      <c r="L288" s="3"/>
      <c r="M288" s="3"/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203"/>
      <c r="D289" s="203"/>
      <c r="E289" s="203"/>
      <c r="F289" s="3"/>
      <c r="G289" s="3"/>
      <c r="H289" s="1"/>
      <c r="I289" s="1"/>
      <c r="J289" s="1"/>
      <c r="K289" s="1"/>
      <c r="L289" s="3"/>
      <c r="M289" s="3"/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203"/>
      <c r="D290" s="203"/>
      <c r="E290" s="203"/>
      <c r="F290" s="3"/>
      <c r="G290" s="3"/>
      <c r="H290" s="1"/>
      <c r="I290" s="1"/>
      <c r="J290" s="1"/>
      <c r="K290" s="1"/>
      <c r="L290" s="3"/>
      <c r="M290" s="3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203"/>
      <c r="D291" s="203"/>
      <c r="E291" s="203"/>
      <c r="F291" s="3"/>
      <c r="G291" s="3"/>
      <c r="H291" s="1"/>
      <c r="I291" s="1"/>
      <c r="J291" s="1"/>
      <c r="K291" s="1"/>
      <c r="L291" s="3"/>
      <c r="M291" s="3"/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203"/>
      <c r="D292" s="203"/>
      <c r="E292" s="203"/>
      <c r="F292" s="3"/>
      <c r="G292" s="3"/>
      <c r="H292" s="1"/>
      <c r="I292" s="1"/>
      <c r="J292" s="1"/>
      <c r="K292" s="1"/>
      <c r="L292" s="3"/>
      <c r="M292" s="3"/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203"/>
      <c r="D293" s="203"/>
      <c r="E293" s="203"/>
      <c r="F293" s="3"/>
      <c r="G293" s="3"/>
      <c r="H293" s="1"/>
      <c r="I293" s="1"/>
      <c r="J293" s="1"/>
      <c r="K293" s="1"/>
      <c r="L293" s="3"/>
      <c r="M293" s="3"/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203"/>
      <c r="D294" s="203"/>
      <c r="E294" s="203"/>
      <c r="F294" s="3"/>
      <c r="G294" s="3"/>
      <c r="H294" s="1"/>
      <c r="I294" s="1"/>
      <c r="J294" s="1"/>
      <c r="K294" s="1"/>
      <c r="L294" s="3"/>
      <c r="M294" s="3"/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203"/>
      <c r="D295" s="203"/>
      <c r="E295" s="203"/>
      <c r="F295" s="3"/>
      <c r="G295" s="3"/>
      <c r="H295" s="1"/>
      <c r="I295" s="1"/>
      <c r="J295" s="1"/>
      <c r="K295" s="1"/>
      <c r="L295" s="3"/>
      <c r="M295" s="3"/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203"/>
      <c r="D296" s="203"/>
      <c r="E296" s="203"/>
      <c r="F296" s="3"/>
      <c r="G296" s="3"/>
      <c r="H296" s="1"/>
      <c r="I296" s="1"/>
      <c r="J296" s="1"/>
      <c r="K296" s="1"/>
      <c r="L296" s="3"/>
      <c r="M296" s="3"/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203"/>
      <c r="D297" s="203"/>
      <c r="E297" s="203"/>
      <c r="F297" s="3"/>
      <c r="G297" s="3"/>
      <c r="H297" s="1"/>
      <c r="I297" s="1"/>
      <c r="J297" s="1"/>
      <c r="K297" s="1"/>
      <c r="L297" s="3"/>
      <c r="M297" s="3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203"/>
      <c r="D298" s="203"/>
      <c r="E298" s="203"/>
      <c r="F298" s="3"/>
      <c r="G298" s="3"/>
      <c r="H298" s="1"/>
      <c r="I298" s="1"/>
      <c r="J298" s="1"/>
      <c r="K298" s="1"/>
      <c r="L298" s="3"/>
      <c r="M298" s="3"/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203"/>
      <c r="D299" s="203"/>
      <c r="E299" s="203"/>
      <c r="F299" s="3"/>
      <c r="G299" s="3"/>
      <c r="H299" s="1"/>
      <c r="I299" s="1"/>
      <c r="J299" s="1"/>
      <c r="K299" s="1"/>
      <c r="L299" s="3"/>
      <c r="M299" s="3"/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203"/>
      <c r="D300" s="203"/>
      <c r="E300" s="203"/>
      <c r="F300" s="3"/>
      <c r="G300" s="3"/>
      <c r="H300" s="1"/>
      <c r="I300" s="1"/>
      <c r="J300" s="1"/>
      <c r="K300" s="1"/>
      <c r="L300" s="3"/>
      <c r="M300" s="3"/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203"/>
      <c r="D301" s="203"/>
      <c r="E301" s="203"/>
      <c r="F301" s="3"/>
      <c r="G301" s="3"/>
      <c r="H301" s="1"/>
      <c r="I301" s="1"/>
      <c r="J301" s="1"/>
      <c r="K301" s="1"/>
      <c r="L301" s="3"/>
      <c r="M301" s="3"/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203"/>
      <c r="D302" s="203"/>
      <c r="E302" s="203"/>
      <c r="F302" s="3"/>
      <c r="G302" s="3"/>
      <c r="H302" s="1"/>
      <c r="I302" s="1"/>
      <c r="J302" s="1"/>
      <c r="K302" s="1"/>
      <c r="L302" s="3"/>
      <c r="M302" s="3"/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203"/>
      <c r="D303" s="203"/>
      <c r="E303" s="203"/>
      <c r="F303" s="3"/>
      <c r="G303" s="3"/>
      <c r="H303" s="1"/>
      <c r="I303" s="1"/>
      <c r="J303" s="1"/>
      <c r="K303" s="1"/>
      <c r="L303" s="3"/>
      <c r="M303" s="3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203"/>
      <c r="D304" s="203"/>
      <c r="E304" s="203"/>
      <c r="F304" s="3"/>
      <c r="G304" s="3"/>
      <c r="H304" s="1"/>
      <c r="I304" s="1"/>
      <c r="J304" s="1"/>
      <c r="K304" s="1"/>
      <c r="L304" s="3"/>
      <c r="M304" s="3"/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203"/>
      <c r="D305" s="203"/>
      <c r="E305" s="203"/>
      <c r="F305" s="3"/>
      <c r="G305" s="3"/>
      <c r="H305" s="1"/>
      <c r="I305" s="1"/>
      <c r="J305" s="1"/>
      <c r="K305" s="1"/>
      <c r="L305" s="3"/>
      <c r="M305" s="3"/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203"/>
      <c r="D306" s="203"/>
      <c r="E306" s="203"/>
      <c r="F306" s="3"/>
      <c r="G306" s="3"/>
      <c r="H306" s="1"/>
      <c r="I306" s="1"/>
      <c r="J306" s="1"/>
      <c r="K306" s="1"/>
      <c r="L306" s="3"/>
      <c r="M306" s="3"/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203"/>
      <c r="D307" s="203"/>
      <c r="E307" s="203"/>
      <c r="F307" s="3"/>
      <c r="G307" s="3"/>
      <c r="H307" s="1"/>
      <c r="I307" s="1"/>
      <c r="J307" s="1"/>
      <c r="K307" s="1"/>
      <c r="L307" s="3"/>
      <c r="M307" s="3"/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203"/>
      <c r="D308" s="203"/>
      <c r="E308" s="203"/>
      <c r="F308" s="3"/>
      <c r="G308" s="3"/>
      <c r="H308" s="1"/>
      <c r="I308" s="1"/>
      <c r="J308" s="1"/>
      <c r="K308" s="1"/>
      <c r="L308" s="3"/>
      <c r="M308" s="3"/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203"/>
      <c r="D309" s="203"/>
      <c r="E309" s="203"/>
      <c r="F309" s="3"/>
      <c r="G309" s="3"/>
      <c r="H309" s="1"/>
      <c r="I309" s="1"/>
      <c r="J309" s="1"/>
      <c r="K309" s="1"/>
      <c r="L309" s="3"/>
      <c r="M309" s="3"/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203"/>
      <c r="D310" s="203"/>
      <c r="E310" s="203"/>
      <c r="F310" s="3"/>
      <c r="G310" s="3"/>
      <c r="H310" s="1"/>
      <c r="I310" s="1"/>
      <c r="J310" s="1"/>
      <c r="K310" s="1"/>
      <c r="L310" s="3"/>
      <c r="M310" s="3"/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203"/>
      <c r="D311" s="203"/>
      <c r="E311" s="203"/>
      <c r="F311" s="3"/>
      <c r="G311" s="3"/>
      <c r="H311" s="1"/>
      <c r="I311" s="1"/>
      <c r="J311" s="1"/>
      <c r="K311" s="1"/>
      <c r="L311" s="3"/>
      <c r="M311" s="3"/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203"/>
      <c r="D312" s="203"/>
      <c r="E312" s="203"/>
      <c r="F312" s="3"/>
      <c r="G312" s="3"/>
      <c r="H312" s="1"/>
      <c r="I312" s="1"/>
      <c r="J312" s="1"/>
      <c r="K312" s="1"/>
      <c r="L312" s="3"/>
      <c r="M312" s="3"/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203"/>
      <c r="D313" s="203"/>
      <c r="E313" s="203"/>
      <c r="F313" s="3"/>
      <c r="G313" s="3"/>
      <c r="H313" s="1"/>
      <c r="I313" s="1"/>
      <c r="J313" s="1"/>
      <c r="K313" s="1"/>
      <c r="L313" s="3"/>
      <c r="M313" s="3"/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203"/>
      <c r="D314" s="203"/>
      <c r="E314" s="203"/>
      <c r="F314" s="3"/>
      <c r="G314" s="3"/>
      <c r="H314" s="1"/>
      <c r="I314" s="1"/>
      <c r="J314" s="1"/>
      <c r="K314" s="1"/>
      <c r="L314" s="3"/>
      <c r="M314" s="3"/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203"/>
      <c r="D315" s="203"/>
      <c r="E315" s="203"/>
      <c r="F315" s="3"/>
      <c r="G315" s="3"/>
      <c r="H315" s="1"/>
      <c r="I315" s="1"/>
      <c r="J315" s="1"/>
      <c r="K315" s="1"/>
      <c r="L315" s="3"/>
      <c r="M315" s="3"/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203"/>
      <c r="D316" s="203"/>
      <c r="E316" s="203"/>
      <c r="F316" s="3"/>
      <c r="G316" s="3"/>
      <c r="H316" s="1"/>
      <c r="I316" s="1"/>
      <c r="J316" s="1"/>
      <c r="K316" s="1"/>
      <c r="L316" s="3"/>
      <c r="M316" s="3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203"/>
      <c r="D317" s="203"/>
      <c r="E317" s="203"/>
      <c r="F317" s="3"/>
      <c r="G317" s="3"/>
      <c r="H317" s="1"/>
      <c r="I317" s="1"/>
      <c r="J317" s="1"/>
      <c r="K317" s="1"/>
      <c r="L317" s="3"/>
      <c r="M317" s="3"/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203"/>
      <c r="D318" s="203"/>
      <c r="E318" s="203"/>
      <c r="F318" s="3"/>
      <c r="G318" s="3"/>
      <c r="H318" s="1"/>
      <c r="I318" s="1"/>
      <c r="J318" s="1"/>
      <c r="K318" s="1"/>
      <c r="L318" s="3"/>
      <c r="M318" s="3"/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203"/>
      <c r="D319" s="203"/>
      <c r="E319" s="203"/>
      <c r="F319" s="3"/>
      <c r="G319" s="3"/>
      <c r="H319" s="1"/>
      <c r="I319" s="1"/>
      <c r="J319" s="1"/>
      <c r="K319" s="1"/>
      <c r="L319" s="3"/>
      <c r="M319" s="3"/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203"/>
      <c r="D320" s="203"/>
      <c r="E320" s="203"/>
      <c r="F320" s="3"/>
      <c r="G320" s="3"/>
      <c r="H320" s="1"/>
      <c r="I320" s="1"/>
      <c r="J320" s="1"/>
      <c r="K320" s="1"/>
      <c r="L320" s="3"/>
      <c r="M320" s="3"/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203"/>
      <c r="D321" s="203"/>
      <c r="E321" s="203"/>
      <c r="F321" s="3"/>
      <c r="G321" s="3"/>
      <c r="H321" s="1"/>
      <c r="I321" s="1"/>
      <c r="J321" s="1"/>
      <c r="K321" s="1"/>
      <c r="L321" s="3"/>
      <c r="M321" s="3"/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203"/>
      <c r="D322" s="203"/>
      <c r="E322" s="203"/>
      <c r="F322" s="3"/>
      <c r="G322" s="3"/>
      <c r="H322" s="1"/>
      <c r="I322" s="1"/>
      <c r="J322" s="1"/>
      <c r="K322" s="1"/>
      <c r="L322" s="3"/>
      <c r="M322" s="3"/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203"/>
      <c r="D323" s="203"/>
      <c r="E323" s="203"/>
      <c r="F323" s="3"/>
      <c r="G323" s="3"/>
      <c r="H323" s="1"/>
      <c r="I323" s="1"/>
      <c r="J323" s="1"/>
      <c r="K323" s="1"/>
      <c r="L323" s="3"/>
      <c r="M323" s="3"/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203"/>
      <c r="D324" s="203"/>
      <c r="E324" s="203"/>
      <c r="F324" s="3"/>
      <c r="G324" s="3"/>
      <c r="H324" s="1"/>
      <c r="I324" s="1"/>
      <c r="J324" s="1"/>
      <c r="K324" s="1"/>
      <c r="L324" s="3"/>
      <c r="M324" s="3"/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203"/>
      <c r="D325" s="203"/>
      <c r="E325" s="203"/>
      <c r="F325" s="3"/>
      <c r="G325" s="3"/>
      <c r="H325" s="1"/>
      <c r="I325" s="1"/>
      <c r="J325" s="1"/>
      <c r="K325" s="1"/>
      <c r="L325" s="3"/>
      <c r="M325" s="3"/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203"/>
      <c r="D326" s="203"/>
      <c r="E326" s="203"/>
      <c r="F326" s="3"/>
      <c r="G326" s="3"/>
      <c r="H326" s="1"/>
      <c r="I326" s="1"/>
      <c r="J326" s="1"/>
      <c r="K326" s="1"/>
      <c r="L326" s="3"/>
      <c r="M326" s="3"/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203"/>
      <c r="D327" s="203"/>
      <c r="E327" s="203"/>
      <c r="F327" s="3"/>
      <c r="G327" s="3"/>
      <c r="H327" s="1"/>
      <c r="I327" s="1"/>
      <c r="J327" s="1"/>
      <c r="K327" s="1"/>
      <c r="L327" s="3"/>
      <c r="M327" s="3"/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203"/>
      <c r="D328" s="203"/>
      <c r="E328" s="203"/>
      <c r="F328" s="3"/>
      <c r="G328" s="3"/>
      <c r="H328" s="1"/>
      <c r="I328" s="1"/>
      <c r="J328" s="1"/>
      <c r="K328" s="1"/>
      <c r="L328" s="3"/>
      <c r="M328" s="3"/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203"/>
      <c r="D329" s="203"/>
      <c r="E329" s="203"/>
      <c r="F329" s="3"/>
      <c r="G329" s="3"/>
      <c r="H329" s="1"/>
      <c r="I329" s="1"/>
      <c r="J329" s="1"/>
      <c r="K329" s="1"/>
      <c r="L329" s="3"/>
      <c r="M329" s="3"/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203"/>
      <c r="D330" s="203"/>
      <c r="E330" s="203"/>
      <c r="F330" s="3"/>
      <c r="G330" s="3"/>
      <c r="H330" s="1"/>
      <c r="I330" s="1"/>
      <c r="J330" s="1"/>
      <c r="K330" s="1"/>
      <c r="L330" s="3"/>
      <c r="M330" s="3"/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203"/>
      <c r="D331" s="203"/>
      <c r="E331" s="203"/>
      <c r="F331" s="3"/>
      <c r="G331" s="3"/>
      <c r="H331" s="1"/>
      <c r="I331" s="1"/>
      <c r="J331" s="1"/>
      <c r="K331" s="1"/>
      <c r="L331" s="3"/>
      <c r="M331" s="3"/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203"/>
      <c r="D332" s="203"/>
      <c r="E332" s="203"/>
      <c r="F332" s="3"/>
      <c r="G332" s="3"/>
      <c r="H332" s="1"/>
      <c r="I332" s="1"/>
      <c r="J332" s="1"/>
      <c r="K332" s="1"/>
      <c r="L332" s="3"/>
      <c r="M332" s="3"/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203"/>
      <c r="D333" s="203"/>
      <c r="E333" s="203"/>
      <c r="F333" s="3"/>
      <c r="G333" s="3"/>
      <c r="H333" s="1"/>
      <c r="I333" s="1"/>
      <c r="J333" s="1"/>
      <c r="K333" s="1"/>
      <c r="L333" s="3"/>
      <c r="M333" s="3"/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203"/>
      <c r="D334" s="203"/>
      <c r="E334" s="203"/>
      <c r="F334" s="3"/>
      <c r="G334" s="3"/>
      <c r="H334" s="1"/>
      <c r="I334" s="1"/>
      <c r="J334" s="1"/>
      <c r="K334" s="1"/>
      <c r="L334" s="3"/>
      <c r="M334" s="3"/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203"/>
      <c r="D335" s="203"/>
      <c r="E335" s="203"/>
      <c r="F335" s="3"/>
      <c r="G335" s="3"/>
      <c r="H335" s="1"/>
      <c r="I335" s="1"/>
      <c r="J335" s="1"/>
      <c r="K335" s="1"/>
      <c r="L335" s="3"/>
      <c r="M335" s="3"/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203"/>
      <c r="D336" s="203"/>
      <c r="E336" s="203"/>
      <c r="F336" s="3"/>
      <c r="G336" s="3"/>
      <c r="H336" s="1"/>
      <c r="I336" s="1"/>
      <c r="J336" s="1"/>
      <c r="K336" s="1"/>
      <c r="L336" s="3"/>
      <c r="M336" s="3"/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203"/>
      <c r="D337" s="203"/>
      <c r="E337" s="203"/>
      <c r="F337" s="3"/>
      <c r="G337" s="3"/>
      <c r="H337" s="1"/>
      <c r="I337" s="1"/>
      <c r="J337" s="1"/>
      <c r="K337" s="1"/>
      <c r="L337" s="3"/>
      <c r="M337" s="3"/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203"/>
      <c r="D338" s="203"/>
      <c r="E338" s="203"/>
      <c r="F338" s="3"/>
      <c r="G338" s="3"/>
      <c r="H338" s="1"/>
      <c r="I338" s="1"/>
      <c r="J338" s="1"/>
      <c r="K338" s="1"/>
      <c r="L338" s="3"/>
      <c r="M338" s="3"/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203"/>
      <c r="D339" s="203"/>
      <c r="E339" s="203"/>
      <c r="F339" s="3"/>
      <c r="G339" s="3"/>
      <c r="H339" s="1"/>
      <c r="I339" s="1"/>
      <c r="J339" s="1"/>
      <c r="K339" s="1"/>
      <c r="L339" s="3"/>
      <c r="M339" s="3"/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203"/>
      <c r="D340" s="203"/>
      <c r="E340" s="203"/>
      <c r="F340" s="3"/>
      <c r="G340" s="3"/>
      <c r="H340" s="1"/>
      <c r="I340" s="1"/>
      <c r="J340" s="1"/>
      <c r="K340" s="1"/>
      <c r="L340" s="3"/>
      <c r="M340" s="3"/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203"/>
      <c r="D341" s="203"/>
      <c r="E341" s="203"/>
      <c r="F341" s="3"/>
      <c r="G341" s="3"/>
      <c r="H341" s="1"/>
      <c r="I341" s="1"/>
      <c r="J341" s="1"/>
      <c r="K341" s="1"/>
      <c r="L341" s="3"/>
      <c r="M341" s="3"/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203"/>
      <c r="D342" s="203"/>
      <c r="E342" s="203"/>
      <c r="F342" s="3"/>
      <c r="G342" s="3"/>
      <c r="H342" s="1"/>
      <c r="I342" s="1"/>
      <c r="J342" s="1"/>
      <c r="K342" s="1"/>
      <c r="L342" s="3"/>
      <c r="M342" s="3"/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203"/>
      <c r="D343" s="203"/>
      <c r="E343" s="203"/>
      <c r="F343" s="3"/>
      <c r="G343" s="3"/>
      <c r="H343" s="1"/>
      <c r="I343" s="1"/>
      <c r="J343" s="1"/>
      <c r="K343" s="1"/>
      <c r="L343" s="3"/>
      <c r="M343" s="3"/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203"/>
      <c r="D344" s="203"/>
      <c r="E344" s="203"/>
      <c r="F344" s="3"/>
      <c r="G344" s="3"/>
      <c r="H344" s="1"/>
      <c r="I344" s="1"/>
      <c r="J344" s="1"/>
      <c r="K344" s="1"/>
      <c r="L344" s="3"/>
      <c r="M344" s="3"/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203"/>
      <c r="D345" s="203"/>
      <c r="E345" s="203"/>
      <c r="F345" s="3"/>
      <c r="G345" s="3"/>
      <c r="H345" s="1"/>
      <c r="I345" s="1"/>
      <c r="J345" s="1"/>
      <c r="K345" s="1"/>
      <c r="L345" s="3"/>
      <c r="M345" s="3"/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203"/>
      <c r="D346" s="203"/>
      <c r="E346" s="203"/>
      <c r="F346" s="3"/>
      <c r="G346" s="3"/>
      <c r="H346" s="1"/>
      <c r="I346" s="1"/>
      <c r="J346" s="1"/>
      <c r="K346" s="1"/>
      <c r="L346" s="3"/>
      <c r="M346" s="3"/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203"/>
      <c r="D347" s="203"/>
      <c r="E347" s="203"/>
      <c r="F347" s="3"/>
      <c r="G347" s="3"/>
      <c r="H347" s="1"/>
      <c r="I347" s="1"/>
      <c r="J347" s="1"/>
      <c r="K347" s="1"/>
      <c r="L347" s="3"/>
      <c r="M347" s="3"/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203"/>
      <c r="D348" s="203"/>
      <c r="E348" s="203"/>
      <c r="F348" s="3"/>
      <c r="G348" s="3"/>
      <c r="H348" s="1"/>
      <c r="I348" s="1"/>
      <c r="J348" s="1"/>
      <c r="K348" s="1"/>
      <c r="L348" s="3"/>
      <c r="M348" s="3"/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203"/>
      <c r="D349" s="203"/>
      <c r="E349" s="203"/>
      <c r="F349" s="3"/>
      <c r="G349" s="3"/>
      <c r="H349" s="1"/>
      <c r="I349" s="1"/>
      <c r="J349" s="1"/>
      <c r="K349" s="1"/>
      <c r="L349" s="3"/>
      <c r="M349" s="3"/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203"/>
      <c r="D350" s="203"/>
      <c r="E350" s="203"/>
      <c r="F350" s="3"/>
      <c r="G350" s="3"/>
      <c r="H350" s="1"/>
      <c r="I350" s="1"/>
      <c r="J350" s="1"/>
      <c r="K350" s="1"/>
      <c r="L350" s="3"/>
      <c r="M350" s="3"/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203"/>
      <c r="D351" s="203"/>
      <c r="E351" s="203"/>
      <c r="F351" s="3"/>
      <c r="G351" s="3"/>
      <c r="H351" s="1"/>
      <c r="I351" s="1"/>
      <c r="J351" s="1"/>
      <c r="K351" s="1"/>
      <c r="L351" s="3"/>
      <c r="M351" s="3"/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203"/>
      <c r="D352" s="203"/>
      <c r="E352" s="203"/>
      <c r="F352" s="3"/>
      <c r="G352" s="3"/>
      <c r="H352" s="1"/>
      <c r="I352" s="1"/>
      <c r="J352" s="1"/>
      <c r="K352" s="1"/>
      <c r="L352" s="3"/>
      <c r="M352" s="3"/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203"/>
      <c r="D353" s="203"/>
      <c r="E353" s="203"/>
      <c r="F353" s="3"/>
      <c r="G353" s="3"/>
      <c r="H353" s="1"/>
      <c r="I353" s="1"/>
      <c r="J353" s="1"/>
      <c r="K353" s="1"/>
      <c r="L353" s="3"/>
      <c r="M353" s="3"/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203"/>
      <c r="D354" s="203"/>
      <c r="E354" s="203"/>
      <c r="F354" s="3"/>
      <c r="G354" s="3"/>
      <c r="H354" s="1"/>
      <c r="I354" s="1"/>
      <c r="J354" s="1"/>
      <c r="K354" s="1"/>
      <c r="L354" s="3"/>
      <c r="M354" s="3"/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203"/>
      <c r="D355" s="203"/>
      <c r="E355" s="203"/>
      <c r="F355" s="3"/>
      <c r="G355" s="3"/>
      <c r="H355" s="1"/>
      <c r="I355" s="1"/>
      <c r="J355" s="1"/>
      <c r="K355" s="1"/>
      <c r="L355" s="3"/>
      <c r="M355" s="3"/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203"/>
      <c r="D356" s="203"/>
      <c r="E356" s="203"/>
      <c r="F356" s="3"/>
      <c r="G356" s="3"/>
      <c r="H356" s="1"/>
      <c r="I356" s="1"/>
      <c r="J356" s="1"/>
      <c r="K356" s="1"/>
      <c r="L356" s="3"/>
      <c r="M356" s="3"/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203"/>
      <c r="D357" s="203"/>
      <c r="E357" s="203"/>
      <c r="F357" s="3"/>
      <c r="G357" s="3"/>
      <c r="H357" s="1"/>
      <c r="I357" s="1"/>
      <c r="J357" s="1"/>
      <c r="K357" s="1"/>
      <c r="L357" s="3"/>
      <c r="M357" s="3"/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203"/>
      <c r="D358" s="203"/>
      <c r="E358" s="203"/>
      <c r="F358" s="3"/>
      <c r="G358" s="3"/>
      <c r="H358" s="1"/>
      <c r="I358" s="1"/>
      <c r="J358" s="1"/>
      <c r="K358" s="1"/>
      <c r="L358" s="3"/>
      <c r="M358" s="3"/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203"/>
      <c r="D359" s="203"/>
      <c r="E359" s="203"/>
      <c r="F359" s="3"/>
      <c r="G359" s="3"/>
      <c r="H359" s="1"/>
      <c r="I359" s="1"/>
      <c r="J359" s="1"/>
      <c r="K359" s="1"/>
      <c r="L359" s="3"/>
      <c r="M359" s="3"/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203"/>
      <c r="D360" s="203"/>
      <c r="E360" s="203"/>
      <c r="F360" s="3"/>
      <c r="G360" s="3"/>
      <c r="H360" s="1"/>
      <c r="I360" s="1"/>
      <c r="J360" s="1"/>
      <c r="K360" s="1"/>
      <c r="L360" s="3"/>
      <c r="M360" s="3"/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203"/>
      <c r="D361" s="203"/>
      <c r="E361" s="203"/>
      <c r="F361" s="3"/>
      <c r="G361" s="3"/>
      <c r="H361" s="1"/>
      <c r="I361" s="1"/>
      <c r="J361" s="1"/>
      <c r="K361" s="1"/>
      <c r="L361" s="3"/>
      <c r="M361" s="3"/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203"/>
      <c r="D362" s="203"/>
      <c r="E362" s="203"/>
      <c r="F362" s="3"/>
      <c r="G362" s="3"/>
      <c r="H362" s="1"/>
      <c r="I362" s="1"/>
      <c r="J362" s="1"/>
      <c r="K362" s="1"/>
      <c r="L362" s="3"/>
      <c r="M362" s="3"/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203"/>
      <c r="D363" s="203"/>
      <c r="E363" s="203"/>
      <c r="F363" s="3"/>
      <c r="G363" s="3"/>
      <c r="H363" s="1"/>
      <c r="I363" s="1"/>
      <c r="J363" s="1"/>
      <c r="K363" s="1"/>
      <c r="L363" s="3"/>
      <c r="M363" s="3"/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203"/>
      <c r="D364" s="203"/>
      <c r="E364" s="203"/>
      <c r="F364" s="3"/>
      <c r="G364" s="3"/>
      <c r="H364" s="1"/>
      <c r="I364" s="1"/>
      <c r="J364" s="1"/>
      <c r="K364" s="1"/>
      <c r="L364" s="3"/>
      <c r="M364" s="3"/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203"/>
      <c r="D365" s="203"/>
      <c r="E365" s="203"/>
      <c r="F365" s="3"/>
      <c r="G365" s="3"/>
      <c r="H365" s="1"/>
      <c r="I365" s="1"/>
      <c r="J365" s="1"/>
      <c r="K365" s="1"/>
      <c r="L365" s="3"/>
      <c r="M365" s="3"/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203"/>
      <c r="D366" s="203"/>
      <c r="E366" s="203"/>
      <c r="F366" s="3"/>
      <c r="G366" s="3"/>
      <c r="H366" s="1"/>
      <c r="I366" s="1"/>
      <c r="J366" s="1"/>
      <c r="K366" s="1"/>
      <c r="L366" s="3"/>
      <c r="M366" s="3"/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203"/>
      <c r="D367" s="203"/>
      <c r="E367" s="203"/>
      <c r="F367" s="3"/>
      <c r="G367" s="3"/>
      <c r="H367" s="1"/>
      <c r="I367" s="1"/>
      <c r="J367" s="1"/>
      <c r="K367" s="1"/>
      <c r="L367" s="3"/>
      <c r="M367" s="3"/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203"/>
      <c r="D368" s="203"/>
      <c r="E368" s="203"/>
      <c r="F368" s="3"/>
      <c r="G368" s="3"/>
      <c r="H368" s="1"/>
      <c r="I368" s="1"/>
      <c r="J368" s="1"/>
      <c r="K368" s="1"/>
      <c r="L368" s="3"/>
      <c r="M368" s="3"/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203"/>
      <c r="D369" s="203"/>
      <c r="E369" s="203"/>
      <c r="F369" s="3"/>
      <c r="G369" s="3"/>
      <c r="H369" s="1"/>
      <c r="I369" s="1"/>
      <c r="J369" s="1"/>
      <c r="K369" s="1"/>
      <c r="L369" s="3"/>
      <c r="M369" s="3"/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203"/>
      <c r="D370" s="203"/>
      <c r="E370" s="203"/>
      <c r="F370" s="3"/>
      <c r="G370" s="3"/>
      <c r="H370" s="1"/>
      <c r="I370" s="1"/>
      <c r="J370" s="1"/>
      <c r="K370" s="1"/>
      <c r="L370" s="3"/>
      <c r="M370" s="3"/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203"/>
      <c r="D371" s="203"/>
      <c r="E371" s="203"/>
      <c r="F371" s="3"/>
      <c r="G371" s="3"/>
      <c r="H371" s="1"/>
      <c r="I371" s="1"/>
      <c r="J371" s="1"/>
      <c r="K371" s="1"/>
      <c r="L371" s="3"/>
      <c r="M371" s="3"/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203"/>
      <c r="D372" s="203"/>
      <c r="E372" s="203"/>
      <c r="F372" s="3"/>
      <c r="G372" s="3"/>
      <c r="H372" s="1"/>
      <c r="I372" s="1"/>
      <c r="J372" s="1"/>
      <c r="K372" s="1"/>
      <c r="L372" s="3"/>
      <c r="M372" s="3"/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203"/>
      <c r="D373" s="203"/>
      <c r="E373" s="203"/>
      <c r="F373" s="3"/>
      <c r="G373" s="3"/>
      <c r="H373" s="1"/>
      <c r="I373" s="1"/>
      <c r="J373" s="1"/>
      <c r="K373" s="1"/>
      <c r="L373" s="3"/>
      <c r="M373" s="3"/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203"/>
      <c r="D374" s="203"/>
      <c r="E374" s="203"/>
      <c r="F374" s="3"/>
      <c r="G374" s="3"/>
      <c r="H374" s="1"/>
      <c r="I374" s="1"/>
      <c r="J374" s="1"/>
      <c r="K374" s="1"/>
      <c r="L374" s="3"/>
      <c r="M374" s="3"/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203"/>
      <c r="D375" s="203"/>
      <c r="E375" s="203"/>
      <c r="F375" s="3"/>
      <c r="G375" s="3"/>
      <c r="H375" s="1"/>
      <c r="I375" s="1"/>
      <c r="J375" s="1"/>
      <c r="K375" s="1"/>
      <c r="L375" s="3"/>
      <c r="M375" s="3"/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203"/>
      <c r="D376" s="203"/>
      <c r="E376" s="203"/>
      <c r="F376" s="3"/>
      <c r="G376" s="3"/>
      <c r="H376" s="1"/>
      <c r="I376" s="1"/>
      <c r="J376" s="1"/>
      <c r="K376" s="1"/>
      <c r="L376" s="3"/>
      <c r="M376" s="3"/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203"/>
      <c r="D377" s="203"/>
      <c r="E377" s="203"/>
      <c r="F377" s="3"/>
      <c r="G377" s="3"/>
      <c r="H377" s="1"/>
      <c r="I377" s="1"/>
      <c r="J377" s="1"/>
      <c r="K377" s="1"/>
      <c r="L377" s="3"/>
      <c r="M377" s="3"/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203"/>
      <c r="D378" s="203"/>
      <c r="E378" s="203"/>
      <c r="F378" s="3"/>
      <c r="G378" s="3"/>
      <c r="H378" s="1"/>
      <c r="I378" s="1"/>
      <c r="J378" s="1"/>
      <c r="K378" s="1"/>
      <c r="L378" s="3"/>
      <c r="M378" s="3"/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203"/>
      <c r="D379" s="203"/>
      <c r="E379" s="203"/>
      <c r="F379" s="3"/>
      <c r="G379" s="3"/>
      <c r="H379" s="1"/>
      <c r="I379" s="1"/>
      <c r="J379" s="1"/>
      <c r="K379" s="1"/>
      <c r="L379" s="3"/>
      <c r="M379" s="3"/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203"/>
      <c r="D380" s="203"/>
      <c r="E380" s="203"/>
      <c r="F380" s="3"/>
      <c r="G380" s="3"/>
      <c r="H380" s="1"/>
      <c r="I380" s="1"/>
      <c r="J380" s="1"/>
      <c r="K380" s="1"/>
      <c r="L380" s="3"/>
      <c r="M380" s="3"/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203"/>
      <c r="D381" s="203"/>
      <c r="E381" s="203"/>
      <c r="F381" s="3"/>
      <c r="G381" s="3"/>
      <c r="H381" s="1"/>
      <c r="I381" s="1"/>
      <c r="J381" s="1"/>
      <c r="K381" s="1"/>
      <c r="L381" s="3"/>
      <c r="M381" s="3"/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203"/>
      <c r="D382" s="203"/>
      <c r="E382" s="203"/>
      <c r="F382" s="3"/>
      <c r="G382" s="3"/>
      <c r="H382" s="1"/>
      <c r="I382" s="1"/>
      <c r="J382" s="1"/>
      <c r="K382" s="1"/>
      <c r="L382" s="3"/>
      <c r="M382" s="3"/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203"/>
      <c r="D383" s="203"/>
      <c r="E383" s="203"/>
      <c r="F383" s="3"/>
      <c r="G383" s="3"/>
      <c r="H383" s="1"/>
      <c r="I383" s="1"/>
      <c r="J383" s="1"/>
      <c r="K383" s="1"/>
      <c r="L383" s="3"/>
      <c r="M383" s="3"/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203"/>
      <c r="D384" s="203"/>
      <c r="E384" s="203"/>
      <c r="F384" s="3"/>
      <c r="G384" s="3"/>
      <c r="H384" s="1"/>
      <c r="I384" s="1"/>
      <c r="J384" s="1"/>
      <c r="K384" s="1"/>
      <c r="L384" s="3"/>
      <c r="M384" s="3"/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203"/>
      <c r="D385" s="203"/>
      <c r="E385" s="203"/>
      <c r="F385" s="3"/>
      <c r="G385" s="3"/>
      <c r="H385" s="1"/>
      <c r="I385" s="1"/>
      <c r="J385" s="1"/>
      <c r="K385" s="1"/>
      <c r="L385" s="3"/>
      <c r="M385" s="3"/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203"/>
      <c r="D386" s="203"/>
      <c r="E386" s="203"/>
      <c r="F386" s="3"/>
      <c r="G386" s="3"/>
      <c r="H386" s="1"/>
      <c r="I386" s="1"/>
      <c r="J386" s="1"/>
      <c r="K386" s="1"/>
      <c r="L386" s="3"/>
      <c r="M386" s="3"/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203"/>
      <c r="D387" s="203"/>
      <c r="E387" s="203"/>
      <c r="F387" s="3"/>
      <c r="G387" s="3"/>
      <c r="H387" s="1"/>
      <c r="I387" s="1"/>
      <c r="J387" s="1"/>
      <c r="K387" s="1"/>
      <c r="L387" s="3"/>
      <c r="M387" s="3"/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203"/>
      <c r="D388" s="203"/>
      <c r="E388" s="203"/>
      <c r="F388" s="3"/>
      <c r="G388" s="3"/>
      <c r="H388" s="1"/>
      <c r="I388" s="1"/>
      <c r="J388" s="1"/>
      <c r="K388" s="1"/>
      <c r="L388" s="3"/>
      <c r="M388" s="3"/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203"/>
      <c r="D389" s="203"/>
      <c r="E389" s="203"/>
      <c r="F389" s="3"/>
      <c r="G389" s="3"/>
      <c r="H389" s="1"/>
      <c r="I389" s="1"/>
      <c r="J389" s="1"/>
      <c r="K389" s="1"/>
      <c r="L389" s="3"/>
      <c r="M389" s="3"/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203"/>
      <c r="D390" s="203"/>
      <c r="E390" s="203"/>
      <c r="F390" s="3"/>
      <c r="G390" s="3"/>
      <c r="H390" s="1"/>
      <c r="I390" s="1"/>
      <c r="J390" s="1"/>
      <c r="K390" s="1"/>
      <c r="L390" s="3"/>
      <c r="M390" s="3"/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203"/>
      <c r="D391" s="203"/>
      <c r="E391" s="203"/>
      <c r="F391" s="3"/>
      <c r="G391" s="3"/>
      <c r="H391" s="1"/>
      <c r="I391" s="1"/>
      <c r="J391" s="1"/>
      <c r="K391" s="1"/>
      <c r="L391" s="3"/>
      <c r="M391" s="3"/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203"/>
      <c r="D392" s="203"/>
      <c r="E392" s="203"/>
      <c r="F392" s="3"/>
      <c r="G392" s="3"/>
      <c r="H392" s="1"/>
      <c r="I392" s="1"/>
      <c r="J392" s="1"/>
      <c r="K392" s="1"/>
      <c r="L392" s="3"/>
      <c r="M392" s="3"/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203"/>
      <c r="D393" s="203"/>
      <c r="E393" s="203"/>
      <c r="F393" s="3"/>
      <c r="G393" s="3"/>
      <c r="H393" s="1"/>
      <c r="I393" s="1"/>
      <c r="J393" s="1"/>
      <c r="K393" s="1"/>
      <c r="L393" s="3"/>
      <c r="M393" s="3"/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203"/>
      <c r="D394" s="203"/>
      <c r="E394" s="203"/>
      <c r="F394" s="3"/>
      <c r="G394" s="3"/>
      <c r="H394" s="1"/>
      <c r="I394" s="1"/>
      <c r="J394" s="1"/>
      <c r="K394" s="1"/>
      <c r="L394" s="3"/>
      <c r="M394" s="3"/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203"/>
      <c r="D395" s="203"/>
      <c r="E395" s="203"/>
      <c r="F395" s="3"/>
      <c r="G395" s="3"/>
      <c r="H395" s="1"/>
      <c r="I395" s="1"/>
      <c r="J395" s="1"/>
      <c r="K395" s="1"/>
      <c r="L395" s="3"/>
      <c r="M395" s="3"/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203"/>
      <c r="D396" s="203"/>
      <c r="E396" s="203"/>
      <c r="F396" s="3"/>
      <c r="G396" s="3"/>
      <c r="H396" s="1"/>
      <c r="I396" s="1"/>
      <c r="J396" s="1"/>
      <c r="K396" s="1"/>
      <c r="L396" s="3"/>
      <c r="M396" s="3"/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203"/>
      <c r="D397" s="203"/>
      <c r="E397" s="203"/>
      <c r="F397" s="3"/>
      <c r="G397" s="3"/>
      <c r="H397" s="1"/>
      <c r="I397" s="1"/>
      <c r="J397" s="1"/>
      <c r="K397" s="1"/>
      <c r="L397" s="3"/>
      <c r="M397" s="3"/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203"/>
      <c r="D398" s="203"/>
      <c r="E398" s="203"/>
      <c r="F398" s="3"/>
      <c r="G398" s="3"/>
      <c r="H398" s="1"/>
      <c r="I398" s="1"/>
      <c r="J398" s="1"/>
      <c r="K398" s="1"/>
      <c r="L398" s="3"/>
      <c r="M398" s="3"/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203"/>
      <c r="D399" s="203"/>
      <c r="E399" s="203"/>
      <c r="F399" s="3"/>
      <c r="G399" s="3"/>
      <c r="H399" s="1"/>
      <c r="I399" s="1"/>
      <c r="J399" s="1"/>
      <c r="K399" s="1"/>
      <c r="L399" s="3"/>
      <c r="M399" s="3"/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203"/>
      <c r="D400" s="203"/>
      <c r="E400" s="203"/>
      <c r="F400" s="3"/>
      <c r="G400" s="3"/>
      <c r="H400" s="1"/>
      <c r="I400" s="1"/>
      <c r="J400" s="1"/>
      <c r="K400" s="1"/>
      <c r="L400" s="3"/>
      <c r="M400" s="3"/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203"/>
      <c r="D401" s="203"/>
      <c r="E401" s="203"/>
      <c r="F401" s="3"/>
      <c r="G401" s="3"/>
      <c r="H401" s="1"/>
      <c r="I401" s="1"/>
      <c r="J401" s="1"/>
      <c r="K401" s="1"/>
      <c r="L401" s="3"/>
      <c r="M401" s="3"/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203"/>
      <c r="D402" s="203"/>
      <c r="E402" s="203"/>
      <c r="F402" s="3"/>
      <c r="G402" s="3"/>
      <c r="H402" s="1"/>
      <c r="I402" s="1"/>
      <c r="J402" s="1"/>
      <c r="K402" s="1"/>
      <c r="L402" s="3"/>
      <c r="M402" s="3"/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203"/>
      <c r="D403" s="203"/>
      <c r="E403" s="203"/>
      <c r="F403" s="3"/>
      <c r="G403" s="3"/>
      <c r="H403" s="1"/>
      <c r="I403" s="1"/>
      <c r="J403" s="1"/>
      <c r="K403" s="1"/>
      <c r="L403" s="3"/>
      <c r="M403" s="3"/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203"/>
      <c r="D404" s="203"/>
      <c r="E404" s="203"/>
      <c r="F404" s="3"/>
      <c r="G404" s="3"/>
      <c r="H404" s="1"/>
      <c r="I404" s="1"/>
      <c r="J404" s="1"/>
      <c r="K404" s="1"/>
      <c r="L404" s="3"/>
      <c r="M404" s="3"/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203"/>
      <c r="D405" s="203"/>
      <c r="E405" s="203"/>
      <c r="F405" s="3"/>
      <c r="G405" s="3"/>
      <c r="H405" s="1"/>
      <c r="I405" s="1"/>
      <c r="J405" s="1"/>
      <c r="K405" s="1"/>
      <c r="L405" s="3"/>
      <c r="M405" s="3"/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203"/>
      <c r="D406" s="203"/>
      <c r="E406" s="203"/>
      <c r="F406" s="3"/>
      <c r="G406" s="3"/>
      <c r="H406" s="1"/>
      <c r="I406" s="1"/>
      <c r="J406" s="1"/>
      <c r="K406" s="1"/>
      <c r="L406" s="3"/>
      <c r="M406" s="3"/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203"/>
      <c r="D407" s="203"/>
      <c r="E407" s="203"/>
      <c r="F407" s="3"/>
      <c r="G407" s="3"/>
      <c r="H407" s="1"/>
      <c r="I407" s="1"/>
      <c r="J407" s="1"/>
      <c r="K407" s="1"/>
      <c r="L407" s="3"/>
      <c r="M407" s="3"/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203"/>
      <c r="D408" s="203"/>
      <c r="E408" s="203"/>
      <c r="F408" s="3"/>
      <c r="G408" s="3"/>
      <c r="H408" s="1"/>
      <c r="I408" s="1"/>
      <c r="J408" s="1"/>
      <c r="K408" s="1"/>
      <c r="L408" s="3"/>
      <c r="M408" s="3"/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203"/>
      <c r="D409" s="203"/>
      <c r="E409" s="203"/>
      <c r="F409" s="3"/>
      <c r="G409" s="3"/>
      <c r="H409" s="1"/>
      <c r="I409" s="1"/>
      <c r="J409" s="1"/>
      <c r="K409" s="1"/>
      <c r="L409" s="3"/>
      <c r="M409" s="3"/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203"/>
      <c r="D410" s="203"/>
      <c r="E410" s="203"/>
      <c r="F410" s="3"/>
      <c r="G410" s="3"/>
      <c r="H410" s="1"/>
      <c r="I410" s="1"/>
      <c r="J410" s="1"/>
      <c r="K410" s="1"/>
      <c r="L410" s="3"/>
      <c r="M410" s="3"/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203"/>
      <c r="D411" s="203"/>
      <c r="E411" s="203"/>
      <c r="F411" s="3"/>
      <c r="G411" s="3"/>
      <c r="H411" s="1"/>
      <c r="I411" s="1"/>
      <c r="J411" s="1"/>
      <c r="K411" s="1"/>
      <c r="L411" s="3"/>
      <c r="M411" s="3"/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203"/>
      <c r="D412" s="203"/>
      <c r="E412" s="203"/>
      <c r="F412" s="3"/>
      <c r="G412" s="3"/>
      <c r="H412" s="1"/>
      <c r="I412" s="1"/>
      <c r="J412" s="1"/>
      <c r="K412" s="1"/>
      <c r="L412" s="3"/>
      <c r="M412" s="3"/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203"/>
      <c r="D413" s="203"/>
      <c r="E413" s="203"/>
      <c r="F413" s="3"/>
      <c r="G413" s="3"/>
      <c r="H413" s="1"/>
      <c r="I413" s="1"/>
      <c r="J413" s="1"/>
      <c r="K413" s="1"/>
      <c r="L413" s="3"/>
      <c r="M413" s="3"/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203"/>
      <c r="D414" s="203"/>
      <c r="E414" s="203"/>
      <c r="F414" s="3"/>
      <c r="G414" s="3"/>
      <c r="H414" s="1"/>
      <c r="I414" s="1"/>
      <c r="J414" s="1"/>
      <c r="K414" s="1"/>
      <c r="L414" s="3"/>
      <c r="M414" s="3"/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203"/>
      <c r="D415" s="203"/>
      <c r="E415" s="203"/>
      <c r="F415" s="3"/>
      <c r="G415" s="3"/>
      <c r="H415" s="1"/>
      <c r="I415" s="1"/>
      <c r="J415" s="1"/>
      <c r="K415" s="1"/>
      <c r="L415" s="3"/>
      <c r="M415" s="3"/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203"/>
      <c r="D416" s="203"/>
      <c r="E416" s="203"/>
      <c r="F416" s="3"/>
      <c r="G416" s="3"/>
      <c r="H416" s="1"/>
      <c r="I416" s="1"/>
      <c r="J416" s="1"/>
      <c r="K416" s="1"/>
      <c r="L416" s="3"/>
      <c r="M416" s="3"/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203"/>
      <c r="D417" s="203"/>
      <c r="E417" s="203"/>
      <c r="F417" s="3"/>
      <c r="G417" s="3"/>
      <c r="H417" s="1"/>
      <c r="I417" s="1"/>
      <c r="J417" s="1"/>
      <c r="K417" s="1"/>
      <c r="L417" s="3"/>
      <c r="M417" s="3"/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203"/>
      <c r="D418" s="203"/>
      <c r="E418" s="203"/>
      <c r="F418" s="3"/>
      <c r="G418" s="3"/>
      <c r="H418" s="1"/>
      <c r="I418" s="1"/>
      <c r="J418" s="1"/>
      <c r="K418" s="1"/>
      <c r="L418" s="3"/>
      <c r="M418" s="3"/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203"/>
      <c r="D419" s="203"/>
      <c r="E419" s="203"/>
      <c r="F419" s="3"/>
      <c r="G419" s="3"/>
      <c r="H419" s="1"/>
      <c r="I419" s="1"/>
      <c r="J419" s="1"/>
      <c r="K419" s="1"/>
      <c r="L419" s="3"/>
      <c r="M419" s="3"/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203"/>
      <c r="D420" s="203"/>
      <c r="E420" s="203"/>
      <c r="F420" s="3"/>
      <c r="G420" s="3"/>
      <c r="H420" s="1"/>
      <c r="I420" s="1"/>
      <c r="J420" s="1"/>
      <c r="K420" s="1"/>
      <c r="L420" s="3"/>
      <c r="M420" s="3"/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203"/>
      <c r="D421" s="203"/>
      <c r="E421" s="203"/>
      <c r="F421" s="3"/>
      <c r="G421" s="3"/>
      <c r="H421" s="1"/>
      <c r="I421" s="1"/>
      <c r="J421" s="1"/>
      <c r="K421" s="1"/>
      <c r="L421" s="3"/>
      <c r="M421" s="3"/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203"/>
      <c r="D422" s="203"/>
      <c r="E422" s="203"/>
      <c r="F422" s="3"/>
      <c r="G422" s="3"/>
      <c r="H422" s="1"/>
      <c r="I422" s="1"/>
      <c r="J422" s="1"/>
      <c r="K422" s="1"/>
      <c r="L422" s="3"/>
      <c r="M422" s="3"/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203"/>
      <c r="D423" s="203"/>
      <c r="E423" s="203"/>
      <c r="F423" s="3"/>
      <c r="G423" s="3"/>
      <c r="H423" s="1"/>
      <c r="I423" s="1"/>
      <c r="J423" s="1"/>
      <c r="K423" s="1"/>
      <c r="L423" s="3"/>
      <c r="M423" s="3"/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203"/>
      <c r="D424" s="203"/>
      <c r="E424" s="203"/>
      <c r="F424" s="3"/>
      <c r="G424" s="3"/>
      <c r="H424" s="1"/>
      <c r="I424" s="1"/>
      <c r="J424" s="1"/>
      <c r="K424" s="1"/>
      <c r="L424" s="3"/>
      <c r="M424" s="3"/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203"/>
      <c r="D425" s="203"/>
      <c r="E425" s="203"/>
      <c r="F425" s="3"/>
      <c r="G425" s="3"/>
      <c r="H425" s="1"/>
      <c r="I425" s="1"/>
      <c r="J425" s="1"/>
      <c r="K425" s="1"/>
      <c r="L425" s="3"/>
      <c r="M425" s="3"/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203"/>
      <c r="D426" s="203"/>
      <c r="E426" s="203"/>
      <c r="F426" s="3"/>
      <c r="G426" s="3"/>
      <c r="H426" s="1"/>
      <c r="I426" s="1"/>
      <c r="J426" s="1"/>
      <c r="K426" s="1"/>
      <c r="L426" s="3"/>
      <c r="M426" s="3"/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203"/>
      <c r="D427" s="203"/>
      <c r="E427" s="203"/>
      <c r="F427" s="3"/>
      <c r="G427" s="3"/>
      <c r="H427" s="1"/>
      <c r="I427" s="1"/>
      <c r="J427" s="1"/>
      <c r="K427" s="1"/>
      <c r="L427" s="3"/>
      <c r="M427" s="3"/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203"/>
      <c r="D428" s="203"/>
      <c r="E428" s="203"/>
      <c r="F428" s="3"/>
      <c r="G428" s="3"/>
      <c r="H428" s="1"/>
      <c r="I428" s="1"/>
      <c r="J428" s="1"/>
      <c r="K428" s="1"/>
      <c r="L428" s="3"/>
      <c r="M428" s="3"/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203"/>
      <c r="D429" s="203"/>
      <c r="E429" s="203"/>
      <c r="F429" s="3"/>
      <c r="G429" s="3"/>
      <c r="H429" s="1"/>
      <c r="I429" s="1"/>
      <c r="J429" s="1"/>
      <c r="K429" s="1"/>
      <c r="L429" s="3"/>
      <c r="M429" s="3"/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203"/>
      <c r="D430" s="203"/>
      <c r="E430" s="203"/>
      <c r="F430" s="3"/>
      <c r="G430" s="3"/>
      <c r="H430" s="1"/>
      <c r="I430" s="1"/>
      <c r="J430" s="1"/>
      <c r="K430" s="1"/>
      <c r="L430" s="3"/>
      <c r="M430" s="3"/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203"/>
      <c r="D431" s="203"/>
      <c r="E431" s="203"/>
      <c r="F431" s="3"/>
      <c r="G431" s="3"/>
      <c r="H431" s="1"/>
      <c r="I431" s="1"/>
      <c r="J431" s="1"/>
      <c r="K431" s="1"/>
      <c r="L431" s="3"/>
      <c r="M431" s="3"/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203"/>
      <c r="D432" s="203"/>
      <c r="E432" s="203"/>
      <c r="F432" s="3"/>
      <c r="G432" s="3"/>
      <c r="H432" s="1"/>
      <c r="I432" s="1"/>
      <c r="J432" s="1"/>
      <c r="K432" s="1"/>
      <c r="L432" s="3"/>
      <c r="M432" s="3"/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203"/>
      <c r="D433" s="203"/>
      <c r="E433" s="203"/>
      <c r="F433" s="3"/>
      <c r="G433" s="3"/>
      <c r="H433" s="1"/>
      <c r="I433" s="1"/>
      <c r="J433" s="1"/>
      <c r="K433" s="1"/>
      <c r="L433" s="3"/>
      <c r="M433" s="3"/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203"/>
      <c r="D434" s="203"/>
      <c r="E434" s="203"/>
      <c r="F434" s="3"/>
      <c r="G434" s="3"/>
      <c r="H434" s="1"/>
      <c r="I434" s="1"/>
      <c r="J434" s="1"/>
      <c r="K434" s="1"/>
      <c r="L434" s="3"/>
      <c r="M434" s="3"/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203"/>
      <c r="D435" s="203"/>
      <c r="E435" s="203"/>
      <c r="F435" s="3"/>
      <c r="G435" s="3"/>
      <c r="H435" s="1"/>
      <c r="I435" s="1"/>
      <c r="J435" s="1"/>
      <c r="K435" s="1"/>
      <c r="L435" s="3"/>
      <c r="M435" s="3"/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203"/>
      <c r="D436" s="203"/>
      <c r="E436" s="203"/>
      <c r="F436" s="3"/>
      <c r="G436" s="3"/>
      <c r="H436" s="1"/>
      <c r="I436" s="1"/>
      <c r="J436" s="1"/>
      <c r="K436" s="1"/>
      <c r="L436" s="3"/>
      <c r="M436" s="3"/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203"/>
      <c r="D437" s="203"/>
      <c r="E437" s="203"/>
      <c r="F437" s="3"/>
      <c r="G437" s="3"/>
      <c r="H437" s="1"/>
      <c r="I437" s="1"/>
      <c r="J437" s="1"/>
      <c r="K437" s="1"/>
      <c r="L437" s="3"/>
      <c r="M437" s="3"/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203"/>
      <c r="D438" s="203"/>
      <c r="E438" s="203"/>
      <c r="F438" s="3"/>
      <c r="G438" s="3"/>
      <c r="H438" s="1"/>
      <c r="I438" s="1"/>
      <c r="J438" s="1"/>
      <c r="K438" s="1"/>
      <c r="L438" s="3"/>
      <c r="M438" s="3"/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203"/>
      <c r="D439" s="203"/>
      <c r="E439" s="203"/>
      <c r="F439" s="3"/>
      <c r="G439" s="3"/>
      <c r="H439" s="1"/>
      <c r="I439" s="1"/>
      <c r="J439" s="1"/>
      <c r="K439" s="1"/>
      <c r="L439" s="3"/>
      <c r="M439" s="3"/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203"/>
      <c r="D440" s="203"/>
      <c r="E440" s="203"/>
      <c r="F440" s="3"/>
      <c r="G440" s="3"/>
      <c r="H440" s="1"/>
      <c r="I440" s="1"/>
      <c r="J440" s="1"/>
      <c r="K440" s="1"/>
      <c r="L440" s="3"/>
      <c r="M440" s="3"/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203"/>
      <c r="D441" s="203"/>
      <c r="E441" s="203"/>
      <c r="F441" s="3"/>
      <c r="G441" s="3"/>
      <c r="H441" s="1"/>
      <c r="I441" s="1"/>
      <c r="J441" s="1"/>
      <c r="K441" s="1"/>
      <c r="L441" s="3"/>
      <c r="M441" s="3"/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203"/>
      <c r="D442" s="203"/>
      <c r="E442" s="203"/>
      <c r="F442" s="3"/>
      <c r="G442" s="3"/>
      <c r="H442" s="1"/>
      <c r="I442" s="1"/>
      <c r="J442" s="1"/>
      <c r="K442" s="1"/>
      <c r="L442" s="3"/>
      <c r="M442" s="3"/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203"/>
      <c r="D443" s="203"/>
      <c r="E443" s="203"/>
      <c r="F443" s="3"/>
      <c r="G443" s="3"/>
      <c r="H443" s="1"/>
      <c r="I443" s="1"/>
      <c r="J443" s="1"/>
      <c r="K443" s="1"/>
      <c r="L443" s="3"/>
      <c r="M443" s="3"/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203"/>
      <c r="D444" s="203"/>
      <c r="E444" s="203"/>
      <c r="F444" s="3"/>
      <c r="G444" s="3"/>
      <c r="H444" s="1"/>
      <c r="I444" s="1"/>
      <c r="J444" s="1"/>
      <c r="K444" s="1"/>
      <c r="L444" s="3"/>
      <c r="M444" s="3"/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203"/>
      <c r="D445" s="203"/>
      <c r="E445" s="203"/>
      <c r="F445" s="3"/>
      <c r="G445" s="3"/>
      <c r="H445" s="1"/>
      <c r="I445" s="1"/>
      <c r="J445" s="1"/>
      <c r="K445" s="1"/>
      <c r="L445" s="3"/>
      <c r="M445" s="3"/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203"/>
      <c r="D446" s="203"/>
      <c r="E446" s="203"/>
      <c r="F446" s="3"/>
      <c r="G446" s="3"/>
      <c r="H446" s="1"/>
      <c r="I446" s="1"/>
      <c r="J446" s="1"/>
      <c r="K446" s="1"/>
      <c r="L446" s="3"/>
      <c r="M446" s="3"/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203"/>
      <c r="D447" s="203"/>
      <c r="E447" s="203"/>
      <c r="F447" s="3"/>
      <c r="G447" s="3"/>
      <c r="H447" s="1"/>
      <c r="I447" s="1"/>
      <c r="J447" s="1"/>
      <c r="K447" s="1"/>
      <c r="L447" s="3"/>
      <c r="M447" s="3"/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203"/>
      <c r="D448" s="203"/>
      <c r="E448" s="203"/>
      <c r="F448" s="3"/>
      <c r="G448" s="3"/>
      <c r="H448" s="1"/>
      <c r="I448" s="1"/>
      <c r="J448" s="1"/>
      <c r="K448" s="1"/>
      <c r="L448" s="3"/>
      <c r="M448" s="3"/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203"/>
      <c r="D449" s="203"/>
      <c r="E449" s="203"/>
      <c r="F449" s="3"/>
      <c r="G449" s="3"/>
      <c r="H449" s="1"/>
      <c r="I449" s="1"/>
      <c r="J449" s="1"/>
      <c r="K449" s="1"/>
      <c r="L449" s="3"/>
      <c r="M449" s="3"/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203"/>
      <c r="D450" s="203"/>
      <c r="E450" s="203"/>
      <c r="F450" s="3"/>
      <c r="G450" s="3"/>
      <c r="H450" s="1"/>
      <c r="I450" s="1"/>
      <c r="J450" s="1"/>
      <c r="K450" s="1"/>
      <c r="L450" s="3"/>
      <c r="M450" s="3"/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203"/>
      <c r="D451" s="203"/>
      <c r="E451" s="203"/>
      <c r="F451" s="3"/>
      <c r="G451" s="3"/>
      <c r="H451" s="1"/>
      <c r="I451" s="1"/>
      <c r="J451" s="1"/>
      <c r="K451" s="1"/>
      <c r="L451" s="3"/>
      <c r="M451" s="3"/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203"/>
      <c r="D452" s="203"/>
      <c r="E452" s="203"/>
      <c r="F452" s="3"/>
      <c r="G452" s="3"/>
      <c r="H452" s="1"/>
      <c r="I452" s="1"/>
      <c r="J452" s="1"/>
      <c r="K452" s="1"/>
      <c r="L452" s="3"/>
      <c r="M452" s="3"/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203"/>
      <c r="D453" s="203"/>
      <c r="E453" s="203"/>
      <c r="F453" s="3"/>
      <c r="G453" s="3"/>
      <c r="H453" s="1"/>
      <c r="I453" s="1"/>
      <c r="J453" s="1"/>
      <c r="K453" s="1"/>
      <c r="L453" s="3"/>
      <c r="M453" s="3"/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203"/>
      <c r="D454" s="203"/>
      <c r="E454" s="203"/>
      <c r="F454" s="3"/>
      <c r="G454" s="3"/>
      <c r="H454" s="1"/>
      <c r="I454" s="1"/>
      <c r="J454" s="1"/>
      <c r="K454" s="1"/>
      <c r="L454" s="3"/>
      <c r="M454" s="3"/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203"/>
      <c r="D455" s="203"/>
      <c r="E455" s="203"/>
      <c r="F455" s="3"/>
      <c r="G455" s="3"/>
      <c r="H455" s="1"/>
      <c r="I455" s="1"/>
      <c r="J455" s="1"/>
      <c r="K455" s="1"/>
      <c r="L455" s="3"/>
      <c r="M455" s="3"/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203"/>
      <c r="D456" s="203"/>
      <c r="E456" s="203"/>
      <c r="F456" s="3"/>
      <c r="G456" s="3"/>
      <c r="H456" s="1"/>
      <c r="I456" s="1"/>
      <c r="J456" s="1"/>
      <c r="K456" s="1"/>
      <c r="L456" s="3"/>
      <c r="M456" s="3"/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203"/>
      <c r="D457" s="203"/>
      <c r="E457" s="203"/>
      <c r="F457" s="3"/>
      <c r="G457" s="3"/>
      <c r="H457" s="1"/>
      <c r="I457" s="1"/>
      <c r="J457" s="1"/>
      <c r="K457" s="1"/>
      <c r="L457" s="3"/>
      <c r="M457" s="3"/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203"/>
      <c r="D458" s="203"/>
      <c r="E458" s="203"/>
      <c r="F458" s="3"/>
      <c r="G458" s="3"/>
      <c r="H458" s="1"/>
      <c r="I458" s="1"/>
      <c r="J458" s="1"/>
      <c r="K458" s="1"/>
      <c r="L458" s="3"/>
      <c r="M458" s="3"/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203"/>
      <c r="D459" s="203"/>
      <c r="E459" s="203"/>
      <c r="F459" s="3"/>
      <c r="G459" s="3"/>
      <c r="H459" s="1"/>
      <c r="I459" s="1"/>
      <c r="J459" s="1"/>
      <c r="K459" s="1"/>
      <c r="L459" s="3"/>
      <c r="M459" s="3"/>
      <c r="N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203"/>
      <c r="D460" s="203"/>
      <c r="E460" s="203"/>
      <c r="F460" s="3"/>
      <c r="G460" s="3"/>
      <c r="H460" s="1"/>
      <c r="I460" s="1"/>
      <c r="J460" s="1"/>
      <c r="K460" s="1"/>
      <c r="L460" s="3"/>
      <c r="M460" s="3"/>
      <c r="N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203"/>
      <c r="D461" s="203"/>
      <c r="E461" s="203"/>
      <c r="F461" s="3"/>
      <c r="G461" s="3"/>
      <c r="H461" s="1"/>
      <c r="I461" s="1"/>
      <c r="J461" s="1"/>
      <c r="K461" s="1"/>
      <c r="L461" s="3"/>
      <c r="M461" s="3"/>
      <c r="N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203"/>
      <c r="D462" s="203"/>
      <c r="E462" s="203"/>
      <c r="F462" s="3"/>
      <c r="G462" s="3"/>
      <c r="H462" s="1"/>
      <c r="I462" s="1"/>
      <c r="J462" s="1"/>
      <c r="K462" s="1"/>
      <c r="L462" s="3"/>
      <c r="M462" s="3"/>
      <c r="N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203"/>
      <c r="D463" s="203"/>
      <c r="E463" s="203"/>
      <c r="F463" s="3"/>
      <c r="G463" s="3"/>
      <c r="H463" s="1"/>
      <c r="I463" s="1"/>
      <c r="J463" s="1"/>
      <c r="K463" s="1"/>
      <c r="L463" s="3"/>
      <c r="M463" s="3"/>
      <c r="N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203"/>
      <c r="D464" s="203"/>
      <c r="E464" s="203"/>
      <c r="F464" s="3"/>
      <c r="G464" s="3"/>
      <c r="H464" s="1"/>
      <c r="I464" s="1"/>
      <c r="J464" s="1"/>
      <c r="K464" s="1"/>
      <c r="L464" s="3"/>
      <c r="M464" s="3"/>
      <c r="N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203"/>
      <c r="D465" s="203"/>
      <c r="E465" s="203"/>
      <c r="F465" s="3"/>
      <c r="G465" s="3"/>
      <c r="H465" s="1"/>
      <c r="I465" s="1"/>
      <c r="J465" s="1"/>
      <c r="K465" s="1"/>
      <c r="L465" s="3"/>
      <c r="M465" s="3"/>
      <c r="N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203"/>
      <c r="D466" s="203"/>
      <c r="E466" s="203"/>
      <c r="F466" s="3"/>
      <c r="G466" s="3"/>
      <c r="H466" s="1"/>
      <c r="I466" s="1"/>
      <c r="J466" s="1"/>
      <c r="K466" s="1"/>
      <c r="L466" s="3"/>
      <c r="M466" s="3"/>
      <c r="N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203"/>
      <c r="D467" s="203"/>
      <c r="E467" s="203"/>
      <c r="F467" s="3"/>
      <c r="G467" s="3"/>
      <c r="H467" s="1"/>
      <c r="I467" s="1"/>
      <c r="J467" s="1"/>
      <c r="K467" s="1"/>
      <c r="L467" s="3"/>
      <c r="M467" s="3"/>
      <c r="N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203"/>
      <c r="D468" s="203"/>
      <c r="E468" s="203"/>
      <c r="F468" s="3"/>
      <c r="G468" s="3"/>
      <c r="H468" s="1"/>
      <c r="I468" s="1"/>
      <c r="J468" s="1"/>
      <c r="K468" s="1"/>
      <c r="L468" s="3"/>
      <c r="M468" s="3"/>
      <c r="N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203"/>
      <c r="D469" s="203"/>
      <c r="E469" s="203"/>
      <c r="F469" s="3"/>
      <c r="G469" s="3"/>
      <c r="H469" s="1"/>
      <c r="I469" s="1"/>
      <c r="J469" s="1"/>
      <c r="K469" s="1"/>
      <c r="L469" s="3"/>
      <c r="M469" s="3"/>
      <c r="N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203"/>
      <c r="D470" s="203"/>
      <c r="E470" s="203"/>
      <c r="F470" s="3"/>
      <c r="G470" s="3"/>
      <c r="H470" s="1"/>
      <c r="I470" s="1"/>
      <c r="J470" s="1"/>
      <c r="K470" s="1"/>
      <c r="L470" s="3"/>
      <c r="M470" s="3"/>
      <c r="N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203"/>
      <c r="D471" s="203"/>
      <c r="E471" s="203"/>
      <c r="F471" s="3"/>
      <c r="G471" s="3"/>
      <c r="H471" s="1"/>
      <c r="I471" s="1"/>
      <c r="J471" s="1"/>
      <c r="K471" s="1"/>
      <c r="L471" s="3"/>
      <c r="M471" s="3"/>
      <c r="N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203"/>
      <c r="D472" s="203"/>
      <c r="E472" s="203"/>
      <c r="F472" s="3"/>
      <c r="G472" s="3"/>
      <c r="H472" s="1"/>
      <c r="I472" s="1"/>
      <c r="J472" s="1"/>
      <c r="K472" s="1"/>
      <c r="L472" s="3"/>
      <c r="M472" s="3"/>
      <c r="N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203"/>
      <c r="D473" s="203"/>
      <c r="E473" s="203"/>
      <c r="F473" s="3"/>
      <c r="G473" s="3"/>
      <c r="H473" s="1"/>
      <c r="I473" s="1"/>
      <c r="J473" s="1"/>
      <c r="K473" s="1"/>
      <c r="L473" s="3"/>
      <c r="M473" s="3"/>
      <c r="N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203"/>
      <c r="D474" s="203"/>
      <c r="E474" s="203"/>
      <c r="F474" s="3"/>
      <c r="G474" s="3"/>
      <c r="H474" s="1"/>
      <c r="I474" s="1"/>
      <c r="J474" s="1"/>
      <c r="K474" s="1"/>
      <c r="L474" s="3"/>
      <c r="M474" s="3"/>
      <c r="N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203"/>
      <c r="D475" s="203"/>
      <c r="E475" s="203"/>
      <c r="F475" s="3"/>
      <c r="G475" s="3"/>
      <c r="H475" s="1"/>
      <c r="I475" s="1"/>
      <c r="J475" s="1"/>
      <c r="K475" s="1"/>
      <c r="L475" s="3"/>
      <c r="M475" s="3"/>
      <c r="N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203"/>
      <c r="D476" s="203"/>
      <c r="E476" s="203"/>
      <c r="F476" s="3"/>
      <c r="G476" s="3"/>
      <c r="H476" s="1"/>
      <c r="I476" s="1"/>
      <c r="J476" s="1"/>
      <c r="K476" s="1"/>
      <c r="L476" s="3"/>
      <c r="M476" s="3"/>
      <c r="N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203"/>
      <c r="D477" s="203"/>
      <c r="E477" s="203"/>
      <c r="F477" s="3"/>
      <c r="G477" s="3"/>
      <c r="H477" s="1"/>
      <c r="I477" s="1"/>
      <c r="J477" s="1"/>
      <c r="K477" s="1"/>
      <c r="L477" s="3"/>
      <c r="M477" s="3"/>
      <c r="N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203"/>
      <c r="D478" s="203"/>
      <c r="E478" s="203"/>
      <c r="F478" s="3"/>
      <c r="G478" s="3"/>
      <c r="H478" s="1"/>
      <c r="I478" s="1"/>
      <c r="J478" s="1"/>
      <c r="K478" s="1"/>
      <c r="L478" s="3"/>
      <c r="M478" s="3"/>
      <c r="N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203"/>
      <c r="D479" s="203"/>
      <c r="E479" s="203"/>
      <c r="F479" s="3"/>
      <c r="G479" s="3"/>
      <c r="H479" s="1"/>
      <c r="I479" s="1"/>
      <c r="J479" s="1"/>
      <c r="K479" s="1"/>
      <c r="L479" s="3"/>
      <c r="M479" s="3"/>
      <c r="N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203"/>
      <c r="D480" s="203"/>
      <c r="E480" s="203"/>
      <c r="F480" s="3"/>
      <c r="G480" s="3"/>
      <c r="H480" s="1"/>
      <c r="I480" s="1"/>
      <c r="J480" s="1"/>
      <c r="K480" s="1"/>
      <c r="L480" s="3"/>
      <c r="M480" s="3"/>
      <c r="N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203"/>
      <c r="D481" s="203"/>
      <c r="E481" s="203"/>
      <c r="F481" s="3"/>
      <c r="G481" s="3"/>
      <c r="H481" s="1"/>
      <c r="I481" s="1"/>
      <c r="J481" s="1"/>
      <c r="K481" s="1"/>
      <c r="L481" s="3"/>
      <c r="M481" s="3"/>
      <c r="N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203"/>
      <c r="D482" s="203"/>
      <c r="E482" s="203"/>
      <c r="F482" s="3"/>
      <c r="G482" s="3"/>
      <c r="H482" s="1"/>
      <c r="I482" s="1"/>
      <c r="J482" s="1"/>
      <c r="K482" s="1"/>
      <c r="L482" s="3"/>
      <c r="M482" s="3"/>
      <c r="N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203"/>
      <c r="D483" s="203"/>
      <c r="E483" s="203"/>
      <c r="F483" s="3"/>
      <c r="G483" s="3"/>
      <c r="H483" s="1"/>
      <c r="I483" s="1"/>
      <c r="J483" s="1"/>
      <c r="K483" s="1"/>
      <c r="L483" s="3"/>
      <c r="M483" s="3"/>
      <c r="N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203"/>
      <c r="D484" s="203"/>
      <c r="E484" s="203"/>
      <c r="F484" s="3"/>
      <c r="G484" s="3"/>
      <c r="H484" s="1"/>
      <c r="I484" s="1"/>
      <c r="J484" s="1"/>
      <c r="K484" s="1"/>
      <c r="L484" s="3"/>
      <c r="M484" s="3"/>
      <c r="N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203"/>
      <c r="D485" s="203"/>
      <c r="E485" s="203"/>
      <c r="F485" s="3"/>
      <c r="G485" s="3"/>
      <c r="H485" s="1"/>
      <c r="I485" s="1"/>
      <c r="J485" s="1"/>
      <c r="K485" s="1"/>
      <c r="L485" s="3"/>
      <c r="M485" s="3"/>
      <c r="N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203"/>
      <c r="D486" s="203"/>
      <c r="E486" s="203"/>
      <c r="F486" s="3"/>
      <c r="G486" s="3"/>
      <c r="H486" s="1"/>
      <c r="I486" s="1"/>
      <c r="J486" s="1"/>
      <c r="K486" s="1"/>
      <c r="L486" s="3"/>
      <c r="M486" s="3"/>
      <c r="N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203"/>
      <c r="D487" s="203"/>
      <c r="E487" s="203"/>
      <c r="F487" s="3"/>
      <c r="G487" s="3"/>
      <c r="H487" s="1"/>
      <c r="I487" s="1"/>
      <c r="J487" s="1"/>
      <c r="K487" s="1"/>
      <c r="L487" s="3"/>
      <c r="M487" s="3"/>
      <c r="N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203"/>
      <c r="D488" s="203"/>
      <c r="E488" s="203"/>
      <c r="F488" s="3"/>
      <c r="G488" s="3"/>
      <c r="H488" s="1"/>
      <c r="I488" s="1"/>
      <c r="J488" s="1"/>
      <c r="K488" s="1"/>
      <c r="L488" s="3"/>
      <c r="M488" s="3"/>
      <c r="N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203"/>
      <c r="D489" s="203"/>
      <c r="E489" s="203"/>
      <c r="F489" s="3"/>
      <c r="G489" s="3"/>
      <c r="H489" s="1"/>
      <c r="I489" s="1"/>
      <c r="J489" s="1"/>
      <c r="K489" s="1"/>
      <c r="L489" s="3"/>
      <c r="M489" s="3"/>
      <c r="N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203"/>
      <c r="D490" s="203"/>
      <c r="E490" s="203"/>
      <c r="F490" s="3"/>
      <c r="G490" s="3"/>
      <c r="H490" s="1"/>
      <c r="I490" s="1"/>
      <c r="J490" s="1"/>
      <c r="K490" s="1"/>
      <c r="L490" s="3"/>
      <c r="M490" s="3"/>
      <c r="N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203"/>
      <c r="D491" s="203"/>
      <c r="E491" s="203"/>
      <c r="F491" s="3"/>
      <c r="G491" s="3"/>
      <c r="H491" s="1"/>
      <c r="I491" s="1"/>
      <c r="J491" s="1"/>
      <c r="K491" s="1"/>
      <c r="L491" s="3"/>
      <c r="M491" s="3"/>
      <c r="N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203"/>
      <c r="D492" s="203"/>
      <c r="E492" s="203"/>
      <c r="F492" s="3"/>
      <c r="G492" s="3"/>
      <c r="H492" s="1"/>
      <c r="I492" s="1"/>
      <c r="J492" s="1"/>
      <c r="K492" s="1"/>
      <c r="L492" s="3"/>
      <c r="M492" s="3"/>
      <c r="N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203"/>
      <c r="D493" s="203"/>
      <c r="E493" s="203"/>
      <c r="F493" s="3"/>
      <c r="G493" s="3"/>
      <c r="H493" s="1"/>
      <c r="I493" s="1"/>
      <c r="J493" s="1"/>
      <c r="K493" s="1"/>
      <c r="L493" s="3"/>
      <c r="M493" s="3"/>
      <c r="N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203"/>
      <c r="D494" s="203"/>
      <c r="E494" s="203"/>
      <c r="F494" s="3"/>
      <c r="G494" s="3"/>
      <c r="H494" s="1"/>
      <c r="I494" s="1"/>
      <c r="J494" s="1"/>
      <c r="K494" s="1"/>
      <c r="L494" s="3"/>
      <c r="M494" s="3"/>
      <c r="N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203"/>
      <c r="D495" s="203"/>
      <c r="E495" s="203"/>
      <c r="F495" s="3"/>
      <c r="G495" s="3"/>
      <c r="H495" s="1"/>
      <c r="I495" s="1"/>
      <c r="J495" s="1"/>
      <c r="K495" s="1"/>
      <c r="L495" s="3"/>
      <c r="M495" s="3"/>
      <c r="N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203"/>
      <c r="D496" s="203"/>
      <c r="E496" s="203"/>
      <c r="F496" s="3"/>
      <c r="G496" s="3"/>
      <c r="H496" s="1"/>
      <c r="I496" s="1"/>
      <c r="J496" s="1"/>
      <c r="K496" s="1"/>
      <c r="L496" s="3"/>
      <c r="M496" s="3"/>
      <c r="N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203"/>
      <c r="D497" s="203"/>
      <c r="E497" s="203"/>
      <c r="F497" s="3"/>
      <c r="G497" s="3"/>
      <c r="H497" s="1"/>
      <c r="I497" s="1"/>
      <c r="J497" s="1"/>
      <c r="K497" s="1"/>
      <c r="L497" s="3"/>
      <c r="M497" s="3"/>
      <c r="N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203"/>
      <c r="D498" s="203"/>
      <c r="E498" s="203"/>
      <c r="F498" s="3"/>
      <c r="G498" s="3"/>
      <c r="H498" s="1"/>
      <c r="I498" s="1"/>
      <c r="J498" s="1"/>
      <c r="K498" s="1"/>
      <c r="L498" s="3"/>
      <c r="M498" s="3"/>
      <c r="N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203"/>
      <c r="D499" s="203"/>
      <c r="E499" s="203"/>
      <c r="F499" s="3"/>
      <c r="G499" s="3"/>
      <c r="H499" s="1"/>
      <c r="I499" s="1"/>
      <c r="J499" s="1"/>
      <c r="K499" s="1"/>
      <c r="L499" s="3"/>
      <c r="M499" s="3"/>
      <c r="N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203"/>
      <c r="D500" s="203"/>
      <c r="E500" s="203"/>
      <c r="F500" s="3"/>
      <c r="G500" s="3"/>
      <c r="H500" s="1"/>
      <c r="I500" s="1"/>
      <c r="J500" s="1"/>
      <c r="K500" s="1"/>
      <c r="L500" s="3"/>
      <c r="M500" s="3"/>
      <c r="N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203"/>
      <c r="D501" s="203"/>
      <c r="E501" s="203"/>
      <c r="F501" s="3"/>
      <c r="G501" s="3"/>
      <c r="H501" s="1"/>
      <c r="I501" s="1"/>
      <c r="J501" s="1"/>
      <c r="K501" s="1"/>
      <c r="L501" s="3"/>
      <c r="M501" s="3"/>
      <c r="N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203"/>
      <c r="D502" s="203"/>
      <c r="E502" s="203"/>
      <c r="F502" s="3"/>
      <c r="G502" s="3"/>
      <c r="H502" s="1"/>
      <c r="I502" s="1"/>
      <c r="J502" s="1"/>
      <c r="K502" s="1"/>
      <c r="L502" s="3"/>
      <c r="M502" s="3"/>
      <c r="N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203"/>
      <c r="D503" s="203"/>
      <c r="E503" s="203"/>
      <c r="F503" s="3"/>
      <c r="G503" s="3"/>
      <c r="H503" s="1"/>
      <c r="I503" s="1"/>
      <c r="J503" s="1"/>
      <c r="K503" s="1"/>
      <c r="L503" s="3"/>
      <c r="M503" s="3"/>
      <c r="N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203"/>
      <c r="D504" s="203"/>
      <c r="E504" s="203"/>
      <c r="F504" s="3"/>
      <c r="G504" s="3"/>
      <c r="H504" s="1"/>
      <c r="I504" s="1"/>
      <c r="J504" s="1"/>
      <c r="K504" s="1"/>
      <c r="L504" s="3"/>
      <c r="M504" s="3"/>
      <c r="N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203"/>
      <c r="D505" s="203"/>
      <c r="E505" s="203"/>
      <c r="F505" s="3"/>
      <c r="G505" s="3"/>
      <c r="H505" s="1"/>
      <c r="I505" s="1"/>
      <c r="J505" s="1"/>
      <c r="K505" s="1"/>
      <c r="L505" s="3"/>
      <c r="M505" s="3"/>
      <c r="N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203"/>
      <c r="D506" s="203"/>
      <c r="E506" s="203"/>
      <c r="F506" s="3"/>
      <c r="G506" s="3"/>
      <c r="H506" s="1"/>
      <c r="I506" s="1"/>
      <c r="J506" s="1"/>
      <c r="K506" s="1"/>
      <c r="L506" s="3"/>
      <c r="M506" s="3"/>
      <c r="N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203"/>
      <c r="D507" s="203"/>
      <c r="E507" s="203"/>
      <c r="F507" s="3"/>
      <c r="G507" s="3"/>
      <c r="H507" s="1"/>
      <c r="I507" s="1"/>
      <c r="J507" s="1"/>
      <c r="K507" s="1"/>
      <c r="L507" s="3"/>
      <c r="M507" s="3"/>
      <c r="N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203"/>
      <c r="D508" s="203"/>
      <c r="E508" s="203"/>
      <c r="F508" s="3"/>
      <c r="G508" s="3"/>
      <c r="H508" s="1"/>
      <c r="I508" s="1"/>
      <c r="J508" s="1"/>
      <c r="K508" s="1"/>
      <c r="L508" s="3"/>
      <c r="M508" s="3"/>
      <c r="N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203"/>
      <c r="D509" s="203"/>
      <c r="E509" s="203"/>
      <c r="F509" s="3"/>
      <c r="G509" s="3"/>
      <c r="H509" s="1"/>
      <c r="I509" s="1"/>
      <c r="J509" s="1"/>
      <c r="K509" s="1"/>
      <c r="L509" s="3"/>
      <c r="M509" s="3"/>
      <c r="N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203"/>
      <c r="D510" s="203"/>
      <c r="E510" s="203"/>
      <c r="F510" s="3"/>
      <c r="G510" s="3"/>
      <c r="H510" s="1"/>
      <c r="I510" s="1"/>
      <c r="J510" s="1"/>
      <c r="K510" s="1"/>
      <c r="L510" s="3"/>
      <c r="M510" s="3"/>
      <c r="N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203"/>
      <c r="D511" s="203"/>
      <c r="E511" s="203"/>
      <c r="F511" s="3"/>
      <c r="G511" s="3"/>
      <c r="H511" s="1"/>
      <c r="I511" s="1"/>
      <c r="J511" s="1"/>
      <c r="K511" s="1"/>
      <c r="L511" s="3"/>
      <c r="M511" s="3"/>
      <c r="N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203"/>
      <c r="D512" s="203"/>
      <c r="E512" s="203"/>
      <c r="F512" s="3"/>
      <c r="G512" s="3"/>
      <c r="H512" s="1"/>
      <c r="I512" s="1"/>
      <c r="J512" s="1"/>
      <c r="K512" s="1"/>
      <c r="L512" s="3"/>
      <c r="M512" s="3"/>
      <c r="N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203"/>
      <c r="D513" s="203"/>
      <c r="E513" s="203"/>
      <c r="F513" s="3"/>
      <c r="G513" s="3"/>
      <c r="H513" s="1"/>
      <c r="I513" s="1"/>
      <c r="J513" s="1"/>
      <c r="K513" s="1"/>
      <c r="L513" s="3"/>
      <c r="M513" s="3"/>
      <c r="N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203"/>
      <c r="D514" s="203"/>
      <c r="E514" s="203"/>
      <c r="F514" s="3"/>
      <c r="G514" s="3"/>
      <c r="H514" s="1"/>
      <c r="I514" s="1"/>
      <c r="J514" s="1"/>
      <c r="K514" s="1"/>
      <c r="L514" s="3"/>
      <c r="M514" s="3"/>
      <c r="N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203"/>
      <c r="D515" s="203"/>
      <c r="E515" s="203"/>
      <c r="F515" s="3"/>
      <c r="G515" s="3"/>
      <c r="H515" s="1"/>
      <c r="I515" s="1"/>
      <c r="J515" s="1"/>
      <c r="K515" s="1"/>
      <c r="L515" s="3"/>
      <c r="M515" s="3"/>
      <c r="N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203"/>
      <c r="D516" s="203"/>
      <c r="E516" s="203"/>
      <c r="F516" s="3"/>
      <c r="G516" s="3"/>
      <c r="H516" s="1"/>
      <c r="I516" s="1"/>
      <c r="J516" s="1"/>
      <c r="K516" s="1"/>
      <c r="L516" s="3"/>
      <c r="M516" s="3"/>
      <c r="N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203"/>
      <c r="D517" s="203"/>
      <c r="E517" s="203"/>
      <c r="F517" s="3"/>
      <c r="G517" s="3"/>
      <c r="H517" s="1"/>
      <c r="I517" s="1"/>
      <c r="J517" s="1"/>
      <c r="K517" s="1"/>
      <c r="L517" s="3"/>
      <c r="M517" s="3"/>
      <c r="N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203"/>
      <c r="D518" s="203"/>
      <c r="E518" s="203"/>
      <c r="F518" s="3"/>
      <c r="G518" s="3"/>
      <c r="H518" s="1"/>
      <c r="I518" s="1"/>
      <c r="J518" s="1"/>
      <c r="K518" s="1"/>
      <c r="L518" s="3"/>
      <c r="M518" s="3"/>
      <c r="N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203"/>
      <c r="D519" s="203"/>
      <c r="E519" s="203"/>
      <c r="F519" s="3"/>
      <c r="G519" s="3"/>
      <c r="H519" s="1"/>
      <c r="I519" s="1"/>
      <c r="J519" s="1"/>
      <c r="K519" s="1"/>
      <c r="L519" s="3"/>
      <c r="M519" s="3"/>
      <c r="N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203"/>
      <c r="D520" s="203"/>
      <c r="E520" s="203"/>
      <c r="F520" s="3"/>
      <c r="G520" s="3"/>
      <c r="H520" s="1"/>
      <c r="I520" s="1"/>
      <c r="J520" s="1"/>
      <c r="K520" s="1"/>
      <c r="L520" s="3"/>
      <c r="M520" s="3"/>
      <c r="N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203"/>
      <c r="D521" s="203"/>
      <c r="E521" s="203"/>
      <c r="F521" s="3"/>
      <c r="G521" s="3"/>
      <c r="H521" s="1"/>
      <c r="I521" s="1"/>
      <c r="J521" s="1"/>
      <c r="K521" s="1"/>
      <c r="L521" s="3"/>
      <c r="M521" s="3"/>
      <c r="N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203"/>
      <c r="D522" s="203"/>
      <c r="E522" s="203"/>
      <c r="F522" s="3"/>
      <c r="G522" s="3"/>
      <c r="H522" s="1"/>
      <c r="I522" s="1"/>
      <c r="J522" s="1"/>
      <c r="K522" s="1"/>
      <c r="L522" s="3"/>
      <c r="M522" s="3"/>
      <c r="N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203"/>
      <c r="D523" s="203"/>
      <c r="E523" s="203"/>
      <c r="F523" s="3"/>
      <c r="G523" s="3"/>
      <c r="H523" s="1"/>
      <c r="I523" s="1"/>
      <c r="J523" s="1"/>
      <c r="K523" s="1"/>
      <c r="L523" s="3"/>
      <c r="M523" s="3"/>
      <c r="N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203"/>
      <c r="D524" s="203"/>
      <c r="E524" s="203"/>
      <c r="F524" s="3"/>
      <c r="G524" s="3"/>
      <c r="H524" s="1"/>
      <c r="I524" s="1"/>
      <c r="J524" s="1"/>
      <c r="K524" s="1"/>
      <c r="L524" s="3"/>
      <c r="M524" s="3"/>
      <c r="N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203"/>
      <c r="D525" s="203"/>
      <c r="E525" s="203"/>
      <c r="F525" s="3"/>
      <c r="G525" s="3"/>
      <c r="H525" s="1"/>
      <c r="I525" s="1"/>
      <c r="J525" s="1"/>
      <c r="K525" s="1"/>
      <c r="L525" s="3"/>
      <c r="M525" s="3"/>
      <c r="N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203"/>
      <c r="D526" s="203"/>
      <c r="E526" s="203"/>
      <c r="F526" s="3"/>
      <c r="G526" s="3"/>
      <c r="H526" s="1"/>
      <c r="I526" s="1"/>
      <c r="J526" s="1"/>
      <c r="K526" s="1"/>
      <c r="L526" s="3"/>
      <c r="M526" s="3"/>
      <c r="N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203"/>
      <c r="D527" s="203"/>
      <c r="E527" s="203"/>
      <c r="F527" s="3"/>
      <c r="G527" s="3"/>
      <c r="H527" s="1"/>
      <c r="I527" s="1"/>
      <c r="J527" s="1"/>
      <c r="K527" s="1"/>
      <c r="L527" s="3"/>
      <c r="M527" s="3"/>
      <c r="N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203"/>
      <c r="D528" s="203"/>
      <c r="E528" s="203"/>
      <c r="F528" s="3"/>
      <c r="G528" s="3"/>
      <c r="H528" s="1"/>
      <c r="I528" s="1"/>
      <c r="J528" s="1"/>
      <c r="K528" s="1"/>
      <c r="L528" s="3"/>
      <c r="M528" s="3"/>
      <c r="N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203"/>
      <c r="D529" s="203"/>
      <c r="E529" s="203"/>
      <c r="F529" s="3"/>
      <c r="G529" s="3"/>
      <c r="H529" s="1"/>
      <c r="I529" s="1"/>
      <c r="J529" s="1"/>
      <c r="K529" s="1"/>
      <c r="L529" s="3"/>
      <c r="M529" s="3"/>
      <c r="N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203"/>
      <c r="D530" s="203"/>
      <c r="E530" s="203"/>
      <c r="F530" s="3"/>
      <c r="G530" s="3"/>
      <c r="H530" s="1"/>
      <c r="I530" s="1"/>
      <c r="J530" s="1"/>
      <c r="K530" s="1"/>
      <c r="L530" s="3"/>
      <c r="M530" s="3"/>
      <c r="N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203"/>
      <c r="D531" s="203"/>
      <c r="E531" s="203"/>
      <c r="F531" s="3"/>
      <c r="G531" s="3"/>
      <c r="H531" s="1"/>
      <c r="I531" s="1"/>
      <c r="J531" s="1"/>
      <c r="K531" s="1"/>
      <c r="L531" s="3"/>
      <c r="M531" s="3"/>
      <c r="N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203"/>
      <c r="D532" s="203"/>
      <c r="E532" s="203"/>
      <c r="F532" s="3"/>
      <c r="G532" s="3"/>
      <c r="H532" s="1"/>
      <c r="I532" s="1"/>
      <c r="J532" s="1"/>
      <c r="K532" s="1"/>
      <c r="L532" s="3"/>
      <c r="M532" s="3"/>
      <c r="N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203"/>
      <c r="D533" s="203"/>
      <c r="E533" s="203"/>
      <c r="F533" s="3"/>
      <c r="G533" s="3"/>
      <c r="H533" s="1"/>
      <c r="I533" s="1"/>
      <c r="J533" s="1"/>
      <c r="K533" s="1"/>
      <c r="L533" s="3"/>
      <c r="M533" s="3"/>
      <c r="N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203"/>
      <c r="D534" s="203"/>
      <c r="E534" s="203"/>
      <c r="F534" s="3"/>
      <c r="G534" s="3"/>
      <c r="H534" s="1"/>
      <c r="I534" s="1"/>
      <c r="J534" s="1"/>
      <c r="K534" s="1"/>
      <c r="L534" s="3"/>
      <c r="M534" s="3"/>
      <c r="N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203"/>
      <c r="D535" s="203"/>
      <c r="E535" s="203"/>
      <c r="F535" s="3"/>
      <c r="G535" s="3"/>
      <c r="H535" s="1"/>
      <c r="I535" s="1"/>
      <c r="J535" s="1"/>
      <c r="K535" s="1"/>
      <c r="L535" s="3"/>
      <c r="M535" s="3"/>
      <c r="N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203"/>
      <c r="D536" s="203"/>
      <c r="E536" s="203"/>
      <c r="F536" s="3"/>
      <c r="G536" s="3"/>
      <c r="H536" s="1"/>
      <c r="I536" s="1"/>
      <c r="J536" s="1"/>
      <c r="K536" s="1"/>
      <c r="L536" s="3"/>
      <c r="M536" s="3"/>
      <c r="N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203"/>
      <c r="D537" s="203"/>
      <c r="E537" s="203"/>
      <c r="F537" s="3"/>
      <c r="G537" s="3"/>
      <c r="H537" s="1"/>
      <c r="I537" s="1"/>
      <c r="J537" s="1"/>
      <c r="K537" s="1"/>
      <c r="L537" s="3"/>
      <c r="M537" s="3"/>
      <c r="N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203"/>
      <c r="D538" s="203"/>
      <c r="E538" s="203"/>
      <c r="F538" s="3"/>
      <c r="G538" s="3"/>
      <c r="H538" s="1"/>
      <c r="I538" s="1"/>
      <c r="J538" s="1"/>
      <c r="K538" s="1"/>
      <c r="L538" s="3"/>
      <c r="M538" s="3"/>
      <c r="N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203"/>
      <c r="D539" s="203"/>
      <c r="E539" s="203"/>
      <c r="F539" s="3"/>
      <c r="G539" s="3"/>
      <c r="H539" s="1"/>
      <c r="I539" s="1"/>
      <c r="J539" s="1"/>
      <c r="K539" s="1"/>
      <c r="L539" s="3"/>
      <c r="M539" s="3"/>
      <c r="N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203"/>
      <c r="D540" s="203"/>
      <c r="E540" s="203"/>
      <c r="F540" s="3"/>
      <c r="G540" s="3"/>
      <c r="H540" s="1"/>
      <c r="I540" s="1"/>
      <c r="J540" s="1"/>
      <c r="K540" s="1"/>
      <c r="L540" s="3"/>
      <c r="M540" s="3"/>
      <c r="N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203"/>
      <c r="D541" s="203"/>
      <c r="E541" s="203"/>
      <c r="F541" s="3"/>
      <c r="G541" s="3"/>
      <c r="H541" s="1"/>
      <c r="I541" s="1"/>
      <c r="J541" s="1"/>
      <c r="K541" s="1"/>
      <c r="L541" s="3"/>
      <c r="M541" s="3"/>
      <c r="N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203"/>
      <c r="D542" s="203"/>
      <c r="E542" s="203"/>
      <c r="F542" s="3"/>
      <c r="G542" s="3"/>
      <c r="H542" s="1"/>
      <c r="I542" s="1"/>
      <c r="J542" s="1"/>
      <c r="K542" s="1"/>
      <c r="L542" s="3"/>
      <c r="M542" s="3"/>
      <c r="N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203"/>
      <c r="D543" s="203"/>
      <c r="E543" s="203"/>
      <c r="F543" s="3"/>
      <c r="G543" s="3"/>
      <c r="H543" s="1"/>
      <c r="I543" s="1"/>
      <c r="J543" s="1"/>
      <c r="K543" s="1"/>
      <c r="L543" s="3"/>
      <c r="M543" s="3"/>
      <c r="N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203"/>
      <c r="D544" s="203"/>
      <c r="E544" s="203"/>
      <c r="F544" s="3"/>
      <c r="G544" s="3"/>
      <c r="H544" s="1"/>
      <c r="I544" s="1"/>
      <c r="J544" s="1"/>
      <c r="K544" s="1"/>
      <c r="L544" s="3"/>
      <c r="M544" s="3"/>
      <c r="N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203"/>
      <c r="D545" s="203"/>
      <c r="E545" s="203"/>
      <c r="F545" s="3"/>
      <c r="G545" s="3"/>
      <c r="H545" s="1"/>
      <c r="I545" s="1"/>
      <c r="J545" s="1"/>
      <c r="K545" s="1"/>
      <c r="L545" s="3"/>
      <c r="M545" s="3"/>
      <c r="N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203"/>
      <c r="D546" s="203"/>
      <c r="E546" s="203"/>
      <c r="F546" s="3"/>
      <c r="G546" s="3"/>
      <c r="H546" s="1"/>
      <c r="I546" s="1"/>
      <c r="J546" s="1"/>
      <c r="K546" s="1"/>
      <c r="L546" s="3"/>
      <c r="M546" s="3"/>
      <c r="N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203"/>
      <c r="D547" s="203"/>
      <c r="E547" s="203"/>
      <c r="F547" s="3"/>
      <c r="G547" s="3"/>
      <c r="H547" s="1"/>
      <c r="I547" s="1"/>
      <c r="J547" s="1"/>
      <c r="K547" s="1"/>
      <c r="L547" s="3"/>
      <c r="M547" s="3"/>
      <c r="N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203"/>
      <c r="D548" s="203"/>
      <c r="E548" s="203"/>
      <c r="F548" s="3"/>
      <c r="G548" s="3"/>
      <c r="H548" s="1"/>
      <c r="I548" s="1"/>
      <c r="J548" s="1"/>
      <c r="K548" s="1"/>
      <c r="L548" s="3"/>
      <c r="M548" s="3"/>
      <c r="N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203"/>
      <c r="D549" s="203"/>
      <c r="E549" s="203"/>
      <c r="F549" s="3"/>
      <c r="G549" s="3"/>
      <c r="H549" s="1"/>
      <c r="I549" s="1"/>
      <c r="J549" s="1"/>
      <c r="K549" s="1"/>
      <c r="L549" s="3"/>
      <c r="M549" s="3"/>
      <c r="N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203"/>
      <c r="D550" s="203"/>
      <c r="E550" s="203"/>
      <c r="F550" s="3"/>
      <c r="G550" s="3"/>
      <c r="H550" s="1"/>
      <c r="I550" s="1"/>
      <c r="J550" s="1"/>
      <c r="K550" s="1"/>
      <c r="L550" s="3"/>
      <c r="M550" s="3"/>
      <c r="N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203"/>
      <c r="D551" s="203"/>
      <c r="E551" s="203"/>
      <c r="F551" s="3"/>
      <c r="G551" s="3"/>
      <c r="H551" s="1"/>
      <c r="I551" s="1"/>
      <c r="J551" s="1"/>
      <c r="K551" s="1"/>
      <c r="L551" s="3"/>
      <c r="M551" s="3"/>
      <c r="N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203"/>
      <c r="D552" s="203"/>
      <c r="E552" s="203"/>
      <c r="F552" s="3"/>
      <c r="G552" s="3"/>
      <c r="H552" s="1"/>
      <c r="I552" s="1"/>
      <c r="J552" s="1"/>
      <c r="K552" s="1"/>
      <c r="L552" s="3"/>
      <c r="M552" s="3"/>
      <c r="N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203"/>
      <c r="D553" s="203"/>
      <c r="E553" s="203"/>
      <c r="F553" s="3"/>
      <c r="G553" s="3"/>
      <c r="H553" s="1"/>
      <c r="I553" s="1"/>
      <c r="J553" s="1"/>
      <c r="K553" s="1"/>
      <c r="L553" s="3"/>
      <c r="M553" s="3"/>
      <c r="N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203"/>
      <c r="D554" s="203"/>
      <c r="E554" s="203"/>
      <c r="F554" s="3"/>
      <c r="G554" s="3"/>
      <c r="H554" s="1"/>
      <c r="I554" s="1"/>
      <c r="J554" s="1"/>
      <c r="K554" s="1"/>
      <c r="L554" s="3"/>
      <c r="M554" s="3"/>
      <c r="N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203"/>
      <c r="D555" s="203"/>
      <c r="E555" s="203"/>
      <c r="F555" s="3"/>
      <c r="G555" s="3"/>
      <c r="H555" s="1"/>
      <c r="I555" s="1"/>
      <c r="J555" s="1"/>
      <c r="K555" s="1"/>
      <c r="L555" s="3"/>
      <c r="M555" s="3"/>
      <c r="N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203"/>
      <c r="D556" s="203"/>
      <c r="E556" s="203"/>
      <c r="F556" s="3"/>
      <c r="G556" s="3"/>
      <c r="H556" s="1"/>
      <c r="I556" s="1"/>
      <c r="J556" s="1"/>
      <c r="K556" s="1"/>
      <c r="L556" s="3"/>
      <c r="M556" s="3"/>
      <c r="N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203"/>
      <c r="D557" s="203"/>
      <c r="E557" s="203"/>
      <c r="F557" s="3"/>
      <c r="G557" s="3"/>
      <c r="H557" s="1"/>
      <c r="I557" s="1"/>
      <c r="J557" s="1"/>
      <c r="K557" s="1"/>
      <c r="L557" s="3"/>
      <c r="M557" s="3"/>
      <c r="N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203"/>
      <c r="D558" s="203"/>
      <c r="E558" s="203"/>
      <c r="F558" s="3"/>
      <c r="G558" s="3"/>
      <c r="H558" s="1"/>
      <c r="I558" s="1"/>
      <c r="J558" s="1"/>
      <c r="K558" s="1"/>
      <c r="L558" s="3"/>
      <c r="M558" s="3"/>
      <c r="N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203"/>
      <c r="D559" s="203"/>
      <c r="E559" s="203"/>
      <c r="F559" s="3"/>
      <c r="G559" s="3"/>
      <c r="H559" s="1"/>
      <c r="I559" s="1"/>
      <c r="J559" s="1"/>
      <c r="K559" s="1"/>
      <c r="L559" s="3"/>
      <c r="M559" s="3"/>
      <c r="N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203"/>
      <c r="D560" s="203"/>
      <c r="E560" s="203"/>
      <c r="F560" s="3"/>
      <c r="G560" s="3"/>
      <c r="H560" s="1"/>
      <c r="I560" s="1"/>
      <c r="J560" s="1"/>
      <c r="K560" s="1"/>
      <c r="L560" s="3"/>
      <c r="M560" s="3"/>
      <c r="N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203"/>
      <c r="D561" s="203"/>
      <c r="E561" s="203"/>
      <c r="F561" s="3"/>
      <c r="G561" s="3"/>
      <c r="H561" s="1"/>
      <c r="I561" s="1"/>
      <c r="J561" s="1"/>
      <c r="K561" s="1"/>
      <c r="L561" s="3"/>
      <c r="M561" s="3"/>
      <c r="N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203"/>
      <c r="D562" s="203"/>
      <c r="E562" s="203"/>
      <c r="F562" s="3"/>
      <c r="G562" s="3"/>
      <c r="H562" s="1"/>
      <c r="I562" s="1"/>
      <c r="J562" s="1"/>
      <c r="K562" s="1"/>
      <c r="L562" s="3"/>
      <c r="M562" s="3"/>
      <c r="N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203"/>
      <c r="D563" s="203"/>
      <c r="E563" s="203"/>
      <c r="F563" s="3"/>
      <c r="G563" s="3"/>
      <c r="H563" s="1"/>
      <c r="I563" s="1"/>
      <c r="J563" s="1"/>
      <c r="K563" s="1"/>
      <c r="L563" s="3"/>
      <c r="M563" s="3"/>
      <c r="N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203"/>
      <c r="D564" s="203"/>
      <c r="E564" s="203"/>
      <c r="F564" s="3"/>
      <c r="G564" s="3"/>
      <c r="H564" s="1"/>
      <c r="I564" s="1"/>
      <c r="J564" s="1"/>
      <c r="K564" s="1"/>
      <c r="L564" s="3"/>
      <c r="M564" s="3"/>
      <c r="N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203"/>
      <c r="D565" s="203"/>
      <c r="E565" s="203"/>
      <c r="F565" s="3"/>
      <c r="G565" s="3"/>
      <c r="H565" s="1"/>
      <c r="I565" s="1"/>
      <c r="J565" s="1"/>
      <c r="K565" s="1"/>
      <c r="L565" s="3"/>
      <c r="M565" s="3"/>
      <c r="N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203"/>
      <c r="D566" s="203"/>
      <c r="E566" s="203"/>
      <c r="F566" s="3"/>
      <c r="G566" s="3"/>
      <c r="H566" s="1"/>
      <c r="I566" s="1"/>
      <c r="J566" s="1"/>
      <c r="K566" s="1"/>
      <c r="L566" s="3"/>
      <c r="M566" s="3"/>
      <c r="N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203"/>
      <c r="D567" s="203"/>
      <c r="E567" s="203"/>
      <c r="F567" s="3"/>
      <c r="G567" s="3"/>
      <c r="H567" s="1"/>
      <c r="I567" s="1"/>
      <c r="J567" s="1"/>
      <c r="K567" s="1"/>
      <c r="L567" s="3"/>
      <c r="M567" s="3"/>
      <c r="N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203"/>
      <c r="D568" s="203"/>
      <c r="E568" s="203"/>
      <c r="F568" s="3"/>
      <c r="G568" s="3"/>
      <c r="H568" s="1"/>
      <c r="I568" s="1"/>
      <c r="J568" s="1"/>
      <c r="K568" s="1"/>
      <c r="L568" s="3"/>
      <c r="M568" s="3"/>
      <c r="N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203"/>
      <c r="D569" s="203"/>
      <c r="E569" s="203"/>
      <c r="F569" s="3"/>
      <c r="G569" s="3"/>
      <c r="H569" s="1"/>
      <c r="I569" s="1"/>
      <c r="J569" s="1"/>
      <c r="K569" s="1"/>
      <c r="L569" s="3"/>
      <c r="M569" s="3"/>
      <c r="N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203"/>
      <c r="D570" s="203"/>
      <c r="E570" s="203"/>
      <c r="F570" s="3"/>
      <c r="G570" s="3"/>
      <c r="H570" s="1"/>
      <c r="I570" s="1"/>
      <c r="J570" s="1"/>
      <c r="K570" s="1"/>
      <c r="L570" s="3"/>
      <c r="M570" s="3"/>
      <c r="N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203"/>
      <c r="D571" s="203"/>
      <c r="E571" s="203"/>
      <c r="F571" s="3"/>
      <c r="G571" s="3"/>
      <c r="H571" s="1"/>
      <c r="I571" s="1"/>
      <c r="J571" s="1"/>
      <c r="K571" s="1"/>
      <c r="L571" s="3"/>
      <c r="M571" s="3"/>
      <c r="N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203"/>
      <c r="D572" s="203"/>
      <c r="E572" s="203"/>
      <c r="F572" s="3"/>
      <c r="G572" s="3"/>
      <c r="H572" s="1"/>
      <c r="I572" s="1"/>
      <c r="J572" s="1"/>
      <c r="K572" s="1"/>
      <c r="L572" s="3"/>
      <c r="M572" s="3"/>
      <c r="N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203"/>
      <c r="D573" s="203"/>
      <c r="E573" s="203"/>
      <c r="F573" s="3"/>
      <c r="G573" s="3"/>
      <c r="H573" s="1"/>
      <c r="I573" s="1"/>
      <c r="J573" s="1"/>
      <c r="K573" s="1"/>
      <c r="L573" s="3"/>
      <c r="M573" s="3"/>
      <c r="N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203"/>
      <c r="D574" s="203"/>
      <c r="E574" s="203"/>
      <c r="F574" s="3"/>
      <c r="G574" s="3"/>
      <c r="H574" s="1"/>
      <c r="I574" s="1"/>
      <c r="J574" s="1"/>
      <c r="K574" s="1"/>
      <c r="L574" s="3"/>
      <c r="M574" s="3"/>
      <c r="N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203"/>
      <c r="D575" s="203"/>
      <c r="E575" s="203"/>
      <c r="F575" s="3"/>
      <c r="G575" s="3"/>
      <c r="H575" s="1"/>
      <c r="I575" s="1"/>
      <c r="J575" s="1"/>
      <c r="K575" s="1"/>
      <c r="L575" s="3"/>
      <c r="M575" s="3"/>
      <c r="N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203"/>
      <c r="D576" s="203"/>
      <c r="E576" s="203"/>
      <c r="F576" s="3"/>
      <c r="G576" s="3"/>
      <c r="H576" s="1"/>
      <c r="I576" s="1"/>
      <c r="J576" s="1"/>
      <c r="K576" s="1"/>
      <c r="L576" s="3"/>
      <c r="M576" s="3"/>
      <c r="N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203"/>
      <c r="D577" s="203"/>
      <c r="E577" s="203"/>
      <c r="F577" s="3"/>
      <c r="G577" s="3"/>
      <c r="H577" s="1"/>
      <c r="I577" s="1"/>
      <c r="J577" s="1"/>
      <c r="K577" s="1"/>
      <c r="L577" s="3"/>
      <c r="M577" s="3"/>
      <c r="N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203"/>
      <c r="D578" s="203"/>
      <c r="E578" s="203"/>
      <c r="F578" s="3"/>
      <c r="G578" s="3"/>
      <c r="H578" s="1"/>
      <c r="I578" s="1"/>
      <c r="J578" s="1"/>
      <c r="K578" s="1"/>
      <c r="L578" s="3"/>
      <c r="M578" s="3"/>
      <c r="N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203"/>
      <c r="D579" s="203"/>
      <c r="E579" s="203"/>
      <c r="F579" s="3"/>
      <c r="G579" s="3"/>
      <c r="H579" s="1"/>
      <c r="I579" s="1"/>
      <c r="J579" s="1"/>
      <c r="K579" s="1"/>
      <c r="L579" s="3"/>
      <c r="M579" s="3"/>
      <c r="N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203"/>
      <c r="D580" s="203"/>
      <c r="E580" s="203"/>
      <c r="F580" s="3"/>
      <c r="G580" s="3"/>
      <c r="H580" s="1"/>
      <c r="I580" s="1"/>
      <c r="J580" s="1"/>
      <c r="K580" s="1"/>
      <c r="L580" s="3"/>
      <c r="M580" s="3"/>
      <c r="N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203"/>
      <c r="D581" s="203"/>
      <c r="E581" s="203"/>
      <c r="F581" s="3"/>
      <c r="G581" s="3"/>
      <c r="H581" s="1"/>
      <c r="I581" s="1"/>
      <c r="J581" s="1"/>
      <c r="K581" s="1"/>
      <c r="L581" s="3"/>
      <c r="M581" s="3"/>
      <c r="N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203"/>
      <c r="D582" s="203"/>
      <c r="E582" s="203"/>
      <c r="F582" s="3"/>
      <c r="G582" s="3"/>
      <c r="H582" s="1"/>
      <c r="I582" s="1"/>
      <c r="J582" s="1"/>
      <c r="K582" s="1"/>
      <c r="L582" s="3"/>
      <c r="M582" s="3"/>
      <c r="N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203"/>
      <c r="D583" s="203"/>
      <c r="E583" s="203"/>
      <c r="F583" s="3"/>
      <c r="G583" s="3"/>
      <c r="H583" s="1"/>
      <c r="I583" s="1"/>
      <c r="J583" s="1"/>
      <c r="K583" s="1"/>
      <c r="L583" s="3"/>
      <c r="M583" s="3"/>
      <c r="N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203"/>
      <c r="D584" s="203"/>
      <c r="E584" s="203"/>
      <c r="F584" s="3"/>
      <c r="G584" s="3"/>
      <c r="H584" s="1"/>
      <c r="I584" s="1"/>
      <c r="J584" s="1"/>
      <c r="K584" s="1"/>
      <c r="L584" s="3"/>
      <c r="M584" s="3"/>
      <c r="N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203"/>
      <c r="D585" s="203"/>
      <c r="E585" s="203"/>
      <c r="F585" s="3"/>
      <c r="G585" s="3"/>
      <c r="H585" s="1"/>
      <c r="I585" s="1"/>
      <c r="J585" s="1"/>
      <c r="K585" s="1"/>
      <c r="L585" s="3"/>
      <c r="M585" s="3"/>
      <c r="N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203"/>
      <c r="D586" s="203"/>
      <c r="E586" s="203"/>
      <c r="F586" s="3"/>
      <c r="G586" s="3"/>
      <c r="H586" s="1"/>
      <c r="I586" s="1"/>
      <c r="J586" s="1"/>
      <c r="K586" s="1"/>
      <c r="L586" s="3"/>
      <c r="M586" s="3"/>
      <c r="N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203"/>
      <c r="D587" s="203"/>
      <c r="E587" s="203"/>
      <c r="F587" s="3"/>
      <c r="G587" s="3"/>
      <c r="H587" s="1"/>
      <c r="I587" s="1"/>
      <c r="J587" s="1"/>
      <c r="K587" s="1"/>
      <c r="L587" s="3"/>
      <c r="M587" s="3"/>
      <c r="N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203"/>
      <c r="D588" s="203"/>
      <c r="E588" s="203"/>
      <c r="F588" s="3"/>
      <c r="G588" s="3"/>
      <c r="H588" s="1"/>
      <c r="I588" s="1"/>
      <c r="J588" s="1"/>
      <c r="K588" s="1"/>
      <c r="L588" s="3"/>
      <c r="M588" s="3"/>
      <c r="N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203"/>
      <c r="D589" s="203"/>
      <c r="E589" s="203"/>
      <c r="F589" s="3"/>
      <c r="G589" s="3"/>
      <c r="H589" s="1"/>
      <c r="I589" s="1"/>
      <c r="J589" s="1"/>
      <c r="K589" s="1"/>
      <c r="L589" s="3"/>
      <c r="M589" s="3"/>
      <c r="N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203"/>
      <c r="D590" s="203"/>
      <c r="E590" s="203"/>
      <c r="F590" s="3"/>
      <c r="G590" s="3"/>
      <c r="H590" s="1"/>
      <c r="I590" s="1"/>
      <c r="J590" s="1"/>
      <c r="K590" s="1"/>
      <c r="L590" s="3"/>
      <c r="M590" s="3"/>
      <c r="N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203"/>
      <c r="D591" s="203"/>
      <c r="E591" s="203"/>
      <c r="F591" s="3"/>
      <c r="G591" s="3"/>
      <c r="H591" s="1"/>
      <c r="I591" s="1"/>
      <c r="J591" s="1"/>
      <c r="K591" s="1"/>
      <c r="L591" s="3"/>
      <c r="M591" s="3"/>
      <c r="N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203"/>
      <c r="D592" s="203"/>
      <c r="E592" s="203"/>
      <c r="F592" s="3"/>
      <c r="G592" s="3"/>
      <c r="H592" s="1"/>
      <c r="I592" s="1"/>
      <c r="J592" s="1"/>
      <c r="K592" s="1"/>
      <c r="L592" s="3"/>
      <c r="M592" s="3"/>
      <c r="N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203"/>
      <c r="D593" s="203"/>
      <c r="E593" s="203"/>
      <c r="F593" s="3"/>
      <c r="G593" s="3"/>
      <c r="H593" s="1"/>
      <c r="I593" s="1"/>
      <c r="J593" s="1"/>
      <c r="K593" s="1"/>
      <c r="L593" s="3"/>
      <c r="M593" s="3"/>
      <c r="N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203"/>
      <c r="D594" s="203"/>
      <c r="E594" s="203"/>
      <c r="F594" s="3"/>
      <c r="G594" s="3"/>
      <c r="H594" s="1"/>
      <c r="I594" s="1"/>
      <c r="J594" s="1"/>
      <c r="K594" s="1"/>
      <c r="L594" s="3"/>
      <c r="M594" s="3"/>
      <c r="N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203"/>
      <c r="D595" s="203"/>
      <c r="E595" s="203"/>
      <c r="F595" s="3"/>
      <c r="G595" s="3"/>
      <c r="H595" s="1"/>
      <c r="I595" s="1"/>
      <c r="J595" s="1"/>
      <c r="K595" s="1"/>
      <c r="L595" s="3"/>
      <c r="M595" s="3"/>
      <c r="N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203"/>
      <c r="D596" s="203"/>
      <c r="E596" s="203"/>
      <c r="F596" s="3"/>
      <c r="G596" s="3"/>
      <c r="H596" s="1"/>
      <c r="I596" s="1"/>
      <c r="J596" s="1"/>
      <c r="K596" s="1"/>
      <c r="L596" s="3"/>
      <c r="M596" s="3"/>
      <c r="N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203"/>
      <c r="D597" s="203"/>
      <c r="E597" s="203"/>
      <c r="F597" s="3"/>
      <c r="G597" s="3"/>
      <c r="H597" s="1"/>
      <c r="I597" s="1"/>
      <c r="J597" s="1"/>
      <c r="K597" s="1"/>
      <c r="L597" s="3"/>
      <c r="M597" s="3"/>
      <c r="N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203"/>
      <c r="D598" s="203"/>
      <c r="E598" s="203"/>
      <c r="F598" s="3"/>
      <c r="G598" s="3"/>
      <c r="H598" s="1"/>
      <c r="I598" s="1"/>
      <c r="J598" s="1"/>
      <c r="K598" s="1"/>
      <c r="L598" s="3"/>
      <c r="M598" s="3"/>
      <c r="N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203"/>
      <c r="D599" s="203"/>
      <c r="E599" s="203"/>
      <c r="F599" s="3"/>
      <c r="G599" s="3"/>
      <c r="H599" s="1"/>
      <c r="I599" s="1"/>
      <c r="J599" s="1"/>
      <c r="K599" s="1"/>
      <c r="L599" s="3"/>
      <c r="M599" s="3"/>
      <c r="N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203"/>
      <c r="D600" s="203"/>
      <c r="E600" s="203"/>
      <c r="F600" s="3"/>
      <c r="G600" s="3"/>
      <c r="H600" s="1"/>
      <c r="I600" s="1"/>
      <c r="J600" s="1"/>
      <c r="K600" s="1"/>
      <c r="L600" s="3"/>
      <c r="M600" s="3"/>
      <c r="N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203"/>
      <c r="D601" s="203"/>
      <c r="E601" s="203"/>
      <c r="F601" s="3"/>
      <c r="G601" s="3"/>
      <c r="H601" s="1"/>
      <c r="I601" s="1"/>
      <c r="J601" s="1"/>
      <c r="K601" s="1"/>
      <c r="L601" s="3"/>
      <c r="M601" s="3"/>
      <c r="N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203"/>
      <c r="D602" s="203"/>
      <c r="E602" s="203"/>
      <c r="F602" s="3"/>
      <c r="G602" s="3"/>
      <c r="H602" s="1"/>
      <c r="I602" s="1"/>
      <c r="J602" s="1"/>
      <c r="K602" s="1"/>
      <c r="L602" s="3"/>
      <c r="M602" s="3"/>
      <c r="N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203"/>
      <c r="D603" s="203"/>
      <c r="E603" s="203"/>
      <c r="F603" s="3"/>
      <c r="G603" s="3"/>
      <c r="H603" s="1"/>
      <c r="I603" s="1"/>
      <c r="J603" s="1"/>
      <c r="K603" s="1"/>
      <c r="L603" s="3"/>
      <c r="M603" s="3"/>
      <c r="N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203"/>
      <c r="D604" s="203"/>
      <c r="E604" s="203"/>
      <c r="F604" s="3"/>
      <c r="G604" s="3"/>
      <c r="H604" s="1"/>
      <c r="I604" s="1"/>
      <c r="J604" s="1"/>
      <c r="K604" s="1"/>
      <c r="L604" s="3"/>
      <c r="M604" s="3"/>
      <c r="N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203"/>
      <c r="D605" s="203"/>
      <c r="E605" s="203"/>
      <c r="F605" s="3"/>
      <c r="G605" s="3"/>
      <c r="H605" s="1"/>
      <c r="I605" s="1"/>
      <c r="J605" s="1"/>
      <c r="K605" s="1"/>
      <c r="L605" s="3"/>
      <c r="M605" s="3"/>
      <c r="N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203"/>
      <c r="D606" s="203"/>
      <c r="E606" s="203"/>
      <c r="F606" s="3"/>
      <c r="G606" s="3"/>
      <c r="H606" s="1"/>
      <c r="I606" s="1"/>
      <c r="J606" s="1"/>
      <c r="K606" s="1"/>
      <c r="L606" s="3"/>
      <c r="M606" s="3"/>
      <c r="N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203"/>
      <c r="D607" s="203"/>
      <c r="E607" s="203"/>
      <c r="F607" s="3"/>
      <c r="G607" s="3"/>
      <c r="H607" s="1"/>
      <c r="I607" s="1"/>
      <c r="J607" s="1"/>
      <c r="K607" s="1"/>
      <c r="L607" s="3"/>
      <c r="M607" s="3"/>
      <c r="N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203"/>
      <c r="D608" s="203"/>
      <c r="E608" s="203"/>
      <c r="F608" s="3"/>
      <c r="G608" s="3"/>
      <c r="H608" s="1"/>
      <c r="I608" s="1"/>
      <c r="J608" s="1"/>
      <c r="K608" s="1"/>
      <c r="L608" s="3"/>
      <c r="M608" s="3"/>
      <c r="N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203"/>
      <c r="D609" s="203"/>
      <c r="E609" s="203"/>
      <c r="F609" s="3"/>
      <c r="G609" s="3"/>
      <c r="H609" s="1"/>
      <c r="I609" s="1"/>
      <c r="J609" s="1"/>
      <c r="K609" s="1"/>
      <c r="L609" s="3"/>
      <c r="M609" s="3"/>
      <c r="N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203"/>
      <c r="D610" s="203"/>
      <c r="E610" s="203"/>
      <c r="F610" s="3"/>
      <c r="G610" s="3"/>
      <c r="H610" s="1"/>
      <c r="I610" s="1"/>
      <c r="J610" s="1"/>
      <c r="K610" s="1"/>
      <c r="L610" s="3"/>
      <c r="M610" s="3"/>
      <c r="N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203"/>
      <c r="D611" s="203"/>
      <c r="E611" s="203"/>
      <c r="F611" s="3"/>
      <c r="G611" s="3"/>
      <c r="H611" s="1"/>
      <c r="I611" s="1"/>
      <c r="J611" s="1"/>
      <c r="K611" s="1"/>
      <c r="L611" s="3"/>
      <c r="M611" s="3"/>
      <c r="N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203"/>
      <c r="D612" s="203"/>
      <c r="E612" s="203"/>
      <c r="F612" s="3"/>
      <c r="G612" s="3"/>
      <c r="H612" s="1"/>
      <c r="I612" s="1"/>
      <c r="J612" s="1"/>
      <c r="K612" s="1"/>
      <c r="L612" s="3"/>
      <c r="M612" s="3"/>
      <c r="N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203"/>
      <c r="D613" s="203"/>
      <c r="E613" s="203"/>
      <c r="F613" s="3"/>
      <c r="G613" s="3"/>
      <c r="H613" s="1"/>
      <c r="I613" s="1"/>
      <c r="J613" s="1"/>
      <c r="K613" s="1"/>
      <c r="L613" s="3"/>
      <c r="M613" s="3"/>
      <c r="N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203"/>
      <c r="D614" s="203"/>
      <c r="E614" s="203"/>
      <c r="F614" s="3"/>
      <c r="G614" s="3"/>
      <c r="H614" s="1"/>
      <c r="I614" s="1"/>
      <c r="J614" s="1"/>
      <c r="K614" s="1"/>
      <c r="L614" s="3"/>
      <c r="M614" s="3"/>
      <c r="N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203"/>
      <c r="D615" s="203"/>
      <c r="E615" s="203"/>
      <c r="F615" s="3"/>
      <c r="G615" s="3"/>
      <c r="H615" s="1"/>
      <c r="I615" s="1"/>
      <c r="J615" s="1"/>
      <c r="K615" s="1"/>
      <c r="L615" s="3"/>
      <c r="M615" s="3"/>
      <c r="N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203"/>
      <c r="D616" s="203"/>
      <c r="E616" s="203"/>
      <c r="F616" s="3"/>
      <c r="G616" s="3"/>
      <c r="H616" s="1"/>
      <c r="I616" s="1"/>
      <c r="J616" s="1"/>
      <c r="K616" s="1"/>
      <c r="L616" s="3"/>
      <c r="M616" s="3"/>
      <c r="N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203"/>
      <c r="D617" s="203"/>
      <c r="E617" s="203"/>
      <c r="F617" s="3"/>
      <c r="G617" s="3"/>
      <c r="H617" s="1"/>
      <c r="I617" s="1"/>
      <c r="J617" s="1"/>
      <c r="K617" s="1"/>
      <c r="L617" s="3"/>
      <c r="M617" s="3"/>
      <c r="N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203"/>
      <c r="D618" s="203"/>
      <c r="E618" s="203"/>
      <c r="F618" s="3"/>
      <c r="G618" s="3"/>
      <c r="H618" s="1"/>
      <c r="I618" s="1"/>
      <c r="J618" s="1"/>
      <c r="K618" s="1"/>
      <c r="L618" s="3"/>
      <c r="M618" s="3"/>
      <c r="N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203"/>
      <c r="D619" s="203"/>
      <c r="E619" s="203"/>
      <c r="F619" s="3"/>
      <c r="G619" s="3"/>
      <c r="H619" s="1"/>
      <c r="I619" s="1"/>
      <c r="J619" s="1"/>
      <c r="K619" s="1"/>
      <c r="L619" s="3"/>
      <c r="M619" s="3"/>
      <c r="N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203"/>
      <c r="D620" s="203"/>
      <c r="E620" s="203"/>
      <c r="F620" s="3"/>
      <c r="G620" s="3"/>
      <c r="H620" s="1"/>
      <c r="I620" s="1"/>
      <c r="J620" s="1"/>
      <c r="K620" s="1"/>
      <c r="L620" s="3"/>
      <c r="M620" s="3"/>
      <c r="N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203"/>
      <c r="D621" s="203"/>
      <c r="E621" s="203"/>
      <c r="F621" s="3"/>
      <c r="G621" s="3"/>
      <c r="H621" s="1"/>
      <c r="I621" s="1"/>
      <c r="J621" s="1"/>
      <c r="K621" s="1"/>
      <c r="L621" s="3"/>
      <c r="M621" s="3"/>
      <c r="N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203"/>
      <c r="D622" s="203"/>
      <c r="E622" s="203"/>
      <c r="F622" s="3"/>
      <c r="G622" s="3"/>
      <c r="H622" s="1"/>
      <c r="I622" s="1"/>
      <c r="J622" s="1"/>
      <c r="K622" s="1"/>
      <c r="L622" s="3"/>
      <c r="M622" s="3"/>
      <c r="N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203"/>
      <c r="D623" s="203"/>
      <c r="E623" s="203"/>
      <c r="F623" s="3"/>
      <c r="G623" s="3"/>
      <c r="H623" s="1"/>
      <c r="I623" s="1"/>
      <c r="J623" s="1"/>
      <c r="K623" s="1"/>
      <c r="L623" s="3"/>
      <c r="M623" s="3"/>
      <c r="N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203"/>
      <c r="D624" s="203"/>
      <c r="E624" s="203"/>
      <c r="F624" s="3"/>
      <c r="G624" s="3"/>
      <c r="H624" s="1"/>
      <c r="I624" s="1"/>
      <c r="J624" s="1"/>
      <c r="K624" s="1"/>
      <c r="L624" s="3"/>
      <c r="M624" s="3"/>
      <c r="N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203"/>
      <c r="D625" s="203"/>
      <c r="E625" s="203"/>
      <c r="F625" s="3"/>
      <c r="G625" s="3"/>
      <c r="H625" s="1"/>
      <c r="I625" s="1"/>
      <c r="J625" s="1"/>
      <c r="K625" s="1"/>
      <c r="L625" s="3"/>
      <c r="M625" s="3"/>
      <c r="N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203"/>
      <c r="D626" s="203"/>
      <c r="E626" s="203"/>
      <c r="F626" s="3"/>
      <c r="G626" s="3"/>
      <c r="H626" s="1"/>
      <c r="I626" s="1"/>
      <c r="J626" s="1"/>
      <c r="K626" s="1"/>
      <c r="L626" s="3"/>
      <c r="M626" s="3"/>
      <c r="N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203"/>
      <c r="D627" s="203"/>
      <c r="E627" s="203"/>
      <c r="F627" s="3"/>
      <c r="G627" s="3"/>
      <c r="H627" s="1"/>
      <c r="I627" s="1"/>
      <c r="J627" s="1"/>
      <c r="K627" s="1"/>
      <c r="L627" s="3"/>
      <c r="M627" s="3"/>
      <c r="N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203"/>
      <c r="D628" s="203"/>
      <c r="E628" s="203"/>
      <c r="F628" s="3"/>
      <c r="G628" s="3"/>
      <c r="H628" s="1"/>
      <c r="I628" s="1"/>
      <c r="J628" s="1"/>
      <c r="K628" s="1"/>
      <c r="L628" s="3"/>
      <c r="M628" s="3"/>
      <c r="N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203"/>
      <c r="D629" s="203"/>
      <c r="E629" s="203"/>
      <c r="F629" s="3"/>
      <c r="G629" s="3"/>
      <c r="H629" s="1"/>
      <c r="I629" s="1"/>
      <c r="J629" s="1"/>
      <c r="K629" s="1"/>
      <c r="L629" s="3"/>
      <c r="M629" s="3"/>
      <c r="N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203"/>
      <c r="D630" s="203"/>
      <c r="E630" s="203"/>
      <c r="F630" s="3"/>
      <c r="G630" s="3"/>
      <c r="H630" s="1"/>
      <c r="I630" s="1"/>
      <c r="J630" s="1"/>
      <c r="K630" s="1"/>
      <c r="L630" s="3"/>
      <c r="M630" s="3"/>
      <c r="N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203"/>
      <c r="D631" s="203"/>
      <c r="E631" s="203"/>
      <c r="F631" s="3"/>
      <c r="G631" s="3"/>
      <c r="H631" s="1"/>
      <c r="I631" s="1"/>
      <c r="J631" s="1"/>
      <c r="K631" s="1"/>
      <c r="L631" s="3"/>
      <c r="M631" s="3"/>
      <c r="N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203"/>
      <c r="D632" s="203"/>
      <c r="E632" s="203"/>
      <c r="F632" s="3"/>
      <c r="G632" s="3"/>
      <c r="H632" s="1"/>
      <c r="I632" s="1"/>
      <c r="J632" s="1"/>
      <c r="K632" s="1"/>
      <c r="L632" s="3"/>
      <c r="M632" s="3"/>
      <c r="N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203"/>
      <c r="D633" s="203"/>
      <c r="E633" s="203"/>
      <c r="F633" s="3"/>
      <c r="G633" s="3"/>
      <c r="H633" s="1"/>
      <c r="I633" s="1"/>
      <c r="J633" s="1"/>
      <c r="K633" s="1"/>
      <c r="L633" s="3"/>
      <c r="M633" s="3"/>
      <c r="N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203"/>
      <c r="D634" s="203"/>
      <c r="E634" s="203"/>
      <c r="F634" s="3"/>
      <c r="G634" s="3"/>
      <c r="H634" s="1"/>
      <c r="I634" s="1"/>
      <c r="J634" s="1"/>
      <c r="K634" s="1"/>
      <c r="L634" s="3"/>
      <c r="M634" s="3"/>
      <c r="N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203"/>
      <c r="D635" s="203"/>
      <c r="E635" s="203"/>
      <c r="F635" s="3"/>
      <c r="G635" s="3"/>
      <c r="H635" s="1"/>
      <c r="I635" s="1"/>
      <c r="J635" s="1"/>
      <c r="K635" s="1"/>
      <c r="L635" s="3"/>
      <c r="M635" s="3"/>
      <c r="N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203"/>
      <c r="D636" s="203"/>
      <c r="E636" s="203"/>
      <c r="F636" s="3"/>
      <c r="G636" s="3"/>
      <c r="H636" s="1"/>
      <c r="I636" s="1"/>
      <c r="J636" s="1"/>
      <c r="K636" s="1"/>
      <c r="L636" s="3"/>
      <c r="M636" s="3"/>
      <c r="N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203"/>
      <c r="D637" s="203"/>
      <c r="E637" s="203"/>
      <c r="F637" s="3"/>
      <c r="G637" s="3"/>
      <c r="H637" s="1"/>
      <c r="I637" s="1"/>
      <c r="J637" s="1"/>
      <c r="K637" s="1"/>
      <c r="L637" s="3"/>
      <c r="M637" s="3"/>
      <c r="N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203"/>
      <c r="D638" s="203"/>
      <c r="E638" s="203"/>
      <c r="F638" s="3"/>
      <c r="G638" s="3"/>
      <c r="H638" s="1"/>
      <c r="I638" s="1"/>
      <c r="J638" s="1"/>
      <c r="K638" s="1"/>
      <c r="L638" s="3"/>
      <c r="M638" s="3"/>
      <c r="N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203"/>
      <c r="D639" s="203"/>
      <c r="E639" s="203"/>
      <c r="F639" s="3"/>
      <c r="G639" s="3"/>
      <c r="H639" s="1"/>
      <c r="I639" s="1"/>
      <c r="J639" s="1"/>
      <c r="K639" s="1"/>
      <c r="L639" s="3"/>
      <c r="M639" s="3"/>
      <c r="N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203"/>
      <c r="D640" s="203"/>
      <c r="E640" s="203"/>
      <c r="F640" s="3"/>
      <c r="G640" s="3"/>
      <c r="H640" s="1"/>
      <c r="I640" s="1"/>
      <c r="J640" s="1"/>
      <c r="K640" s="1"/>
      <c r="L640" s="3"/>
      <c r="M640" s="3"/>
      <c r="N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203"/>
      <c r="D641" s="203"/>
      <c r="E641" s="203"/>
      <c r="F641" s="3"/>
      <c r="G641" s="3"/>
      <c r="H641" s="1"/>
      <c r="I641" s="1"/>
      <c r="J641" s="1"/>
      <c r="K641" s="1"/>
      <c r="L641" s="3"/>
      <c r="M641" s="3"/>
      <c r="N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203"/>
      <c r="D642" s="203"/>
      <c r="E642" s="203"/>
      <c r="F642" s="3"/>
      <c r="G642" s="3"/>
      <c r="H642" s="1"/>
      <c r="I642" s="1"/>
      <c r="J642" s="1"/>
      <c r="K642" s="1"/>
      <c r="L642" s="3"/>
      <c r="M642" s="3"/>
      <c r="N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203"/>
      <c r="D643" s="203"/>
      <c r="E643" s="203"/>
      <c r="F643" s="3"/>
      <c r="G643" s="3"/>
      <c r="H643" s="1"/>
      <c r="I643" s="1"/>
      <c r="J643" s="1"/>
      <c r="K643" s="1"/>
      <c r="L643" s="3"/>
      <c r="M643" s="3"/>
      <c r="N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203"/>
      <c r="D644" s="203"/>
      <c r="E644" s="203"/>
      <c r="F644" s="3"/>
      <c r="G644" s="3"/>
      <c r="H644" s="1"/>
      <c r="I644" s="1"/>
      <c r="J644" s="1"/>
      <c r="K644" s="1"/>
      <c r="L644" s="3"/>
      <c r="M644" s="3"/>
      <c r="N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203"/>
      <c r="D645" s="203"/>
      <c r="E645" s="203"/>
      <c r="F645" s="3"/>
      <c r="G645" s="3"/>
      <c r="H645" s="1"/>
      <c r="I645" s="1"/>
      <c r="J645" s="1"/>
      <c r="K645" s="1"/>
      <c r="L645" s="3"/>
      <c r="M645" s="3"/>
      <c r="N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203"/>
      <c r="D646" s="203"/>
      <c r="E646" s="203"/>
      <c r="F646" s="3"/>
      <c r="G646" s="3"/>
      <c r="H646" s="1"/>
      <c r="I646" s="1"/>
      <c r="J646" s="1"/>
      <c r="K646" s="1"/>
      <c r="L646" s="3"/>
      <c r="M646" s="3"/>
      <c r="N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203"/>
      <c r="D647" s="203"/>
      <c r="E647" s="203"/>
      <c r="F647" s="3"/>
      <c r="G647" s="3"/>
      <c r="H647" s="1"/>
      <c r="I647" s="1"/>
      <c r="J647" s="1"/>
      <c r="K647" s="1"/>
      <c r="L647" s="3"/>
      <c r="M647" s="3"/>
      <c r="N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203"/>
      <c r="D648" s="203"/>
      <c r="E648" s="203"/>
      <c r="F648" s="3"/>
      <c r="G648" s="3"/>
      <c r="H648" s="1"/>
      <c r="I648" s="1"/>
      <c r="J648" s="1"/>
      <c r="K648" s="1"/>
      <c r="L648" s="3"/>
      <c r="M648" s="3"/>
      <c r="N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203"/>
      <c r="D649" s="203"/>
      <c r="E649" s="203"/>
      <c r="F649" s="3"/>
      <c r="G649" s="3"/>
      <c r="H649" s="1"/>
      <c r="I649" s="1"/>
      <c r="J649" s="1"/>
      <c r="K649" s="1"/>
      <c r="L649" s="3"/>
      <c r="M649" s="3"/>
      <c r="N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203"/>
      <c r="D650" s="203"/>
      <c r="E650" s="203"/>
      <c r="F650" s="3"/>
      <c r="G650" s="3"/>
      <c r="H650" s="1"/>
      <c r="I650" s="1"/>
      <c r="J650" s="1"/>
      <c r="K650" s="1"/>
      <c r="L650" s="3"/>
      <c r="M650" s="3"/>
      <c r="N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203"/>
      <c r="D651" s="203"/>
      <c r="E651" s="203"/>
      <c r="F651" s="3"/>
      <c r="G651" s="3"/>
      <c r="H651" s="1"/>
      <c r="I651" s="1"/>
      <c r="J651" s="1"/>
      <c r="K651" s="1"/>
      <c r="L651" s="3"/>
      <c r="M651" s="3"/>
      <c r="N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203"/>
      <c r="D652" s="203"/>
      <c r="E652" s="203"/>
      <c r="F652" s="3"/>
      <c r="G652" s="3"/>
      <c r="H652" s="1"/>
      <c r="I652" s="1"/>
      <c r="J652" s="1"/>
      <c r="K652" s="1"/>
      <c r="L652" s="3"/>
      <c r="M652" s="3"/>
      <c r="N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203"/>
      <c r="D653" s="203"/>
      <c r="E653" s="203"/>
      <c r="F653" s="3"/>
      <c r="G653" s="3"/>
      <c r="H653" s="1"/>
      <c r="I653" s="1"/>
      <c r="J653" s="1"/>
      <c r="K653" s="1"/>
      <c r="L653" s="3"/>
      <c r="M653" s="3"/>
      <c r="N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203"/>
      <c r="D654" s="203"/>
      <c r="E654" s="203"/>
      <c r="F654" s="3"/>
      <c r="G654" s="3"/>
      <c r="H654" s="1"/>
      <c r="I654" s="1"/>
      <c r="J654" s="1"/>
      <c r="K654" s="1"/>
      <c r="L654" s="3"/>
      <c r="M654" s="3"/>
      <c r="N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203"/>
      <c r="D655" s="203"/>
      <c r="E655" s="203"/>
      <c r="F655" s="3"/>
      <c r="G655" s="3"/>
      <c r="H655" s="1"/>
      <c r="I655" s="1"/>
      <c r="J655" s="1"/>
      <c r="K655" s="1"/>
      <c r="L655" s="3"/>
      <c r="M655" s="3"/>
      <c r="N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203"/>
      <c r="D656" s="203"/>
      <c r="E656" s="203"/>
      <c r="F656" s="3"/>
      <c r="G656" s="3"/>
      <c r="H656" s="1"/>
      <c r="I656" s="1"/>
      <c r="J656" s="1"/>
      <c r="K656" s="1"/>
      <c r="L656" s="3"/>
      <c r="M656" s="3"/>
      <c r="N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203"/>
      <c r="D657" s="203"/>
      <c r="E657" s="203"/>
      <c r="F657" s="3"/>
      <c r="G657" s="3"/>
      <c r="H657" s="1"/>
      <c r="I657" s="1"/>
      <c r="J657" s="1"/>
      <c r="K657" s="1"/>
      <c r="L657" s="3"/>
      <c r="M657" s="3"/>
      <c r="N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203"/>
      <c r="D658" s="203"/>
      <c r="E658" s="203"/>
      <c r="F658" s="3"/>
      <c r="G658" s="3"/>
      <c r="H658" s="1"/>
      <c r="I658" s="1"/>
      <c r="J658" s="1"/>
      <c r="K658" s="1"/>
      <c r="L658" s="3"/>
      <c r="M658" s="3"/>
      <c r="N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203"/>
      <c r="D659" s="203"/>
      <c r="E659" s="203"/>
      <c r="F659" s="3"/>
      <c r="G659" s="3"/>
      <c r="H659" s="1"/>
      <c r="I659" s="1"/>
      <c r="J659" s="1"/>
      <c r="K659" s="1"/>
      <c r="L659" s="3"/>
      <c r="M659" s="3"/>
      <c r="N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203"/>
      <c r="D660" s="203"/>
      <c r="E660" s="203"/>
      <c r="F660" s="3"/>
      <c r="G660" s="3"/>
      <c r="H660" s="1"/>
      <c r="I660" s="1"/>
      <c r="J660" s="1"/>
      <c r="K660" s="1"/>
      <c r="L660" s="3"/>
      <c r="M660" s="3"/>
      <c r="N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203"/>
      <c r="D661" s="203"/>
      <c r="E661" s="203"/>
      <c r="F661" s="3"/>
      <c r="G661" s="3"/>
      <c r="H661" s="1"/>
      <c r="I661" s="1"/>
      <c r="J661" s="1"/>
      <c r="K661" s="1"/>
      <c r="L661" s="3"/>
      <c r="M661" s="3"/>
      <c r="N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203"/>
      <c r="D662" s="203"/>
      <c r="E662" s="203"/>
      <c r="F662" s="3"/>
      <c r="G662" s="3"/>
      <c r="H662" s="1"/>
      <c r="I662" s="1"/>
      <c r="J662" s="1"/>
      <c r="K662" s="1"/>
      <c r="L662" s="3"/>
      <c r="M662" s="3"/>
      <c r="N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203"/>
      <c r="D663" s="203"/>
      <c r="E663" s="203"/>
      <c r="F663" s="3"/>
      <c r="G663" s="3"/>
      <c r="H663" s="1"/>
      <c r="I663" s="1"/>
      <c r="J663" s="1"/>
      <c r="K663" s="1"/>
      <c r="L663" s="3"/>
      <c r="M663" s="3"/>
      <c r="N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203"/>
      <c r="D664" s="203"/>
      <c r="E664" s="203"/>
      <c r="F664" s="3"/>
      <c r="G664" s="3"/>
      <c r="H664" s="1"/>
      <c r="I664" s="1"/>
      <c r="J664" s="1"/>
      <c r="K664" s="1"/>
      <c r="L664" s="3"/>
      <c r="M664" s="3"/>
      <c r="N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203"/>
      <c r="D665" s="203"/>
      <c r="E665" s="203"/>
      <c r="F665" s="3"/>
      <c r="G665" s="3"/>
      <c r="H665" s="1"/>
      <c r="I665" s="1"/>
      <c r="J665" s="1"/>
      <c r="K665" s="1"/>
      <c r="L665" s="3"/>
      <c r="M665" s="3"/>
      <c r="N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203"/>
      <c r="D666" s="203"/>
      <c r="E666" s="203"/>
      <c r="F666" s="3"/>
      <c r="G666" s="3"/>
      <c r="H666" s="1"/>
      <c r="I666" s="1"/>
      <c r="J666" s="1"/>
      <c r="K666" s="1"/>
      <c r="L666" s="3"/>
      <c r="M666" s="3"/>
      <c r="N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203"/>
      <c r="D667" s="203"/>
      <c r="E667" s="203"/>
      <c r="F667" s="3"/>
      <c r="G667" s="3"/>
      <c r="H667" s="1"/>
      <c r="I667" s="1"/>
      <c r="J667" s="1"/>
      <c r="K667" s="1"/>
      <c r="L667" s="3"/>
      <c r="M667" s="3"/>
      <c r="N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203"/>
      <c r="D668" s="203"/>
      <c r="E668" s="203"/>
      <c r="F668" s="3"/>
      <c r="G668" s="3"/>
      <c r="H668" s="1"/>
      <c r="I668" s="1"/>
      <c r="J668" s="1"/>
      <c r="K668" s="1"/>
      <c r="L668" s="3"/>
      <c r="M668" s="3"/>
      <c r="N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203"/>
      <c r="D669" s="203"/>
      <c r="E669" s="203"/>
      <c r="F669" s="3"/>
      <c r="G669" s="3"/>
      <c r="H669" s="1"/>
      <c r="I669" s="1"/>
      <c r="J669" s="1"/>
      <c r="K669" s="1"/>
      <c r="L669" s="3"/>
      <c r="M669" s="3"/>
      <c r="N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203"/>
      <c r="D670" s="203"/>
      <c r="E670" s="203"/>
      <c r="F670" s="3"/>
      <c r="G670" s="3"/>
      <c r="H670" s="1"/>
      <c r="I670" s="1"/>
      <c r="J670" s="1"/>
      <c r="K670" s="1"/>
      <c r="L670" s="3"/>
      <c r="M670" s="3"/>
      <c r="N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203"/>
      <c r="D671" s="203"/>
      <c r="E671" s="203"/>
      <c r="F671" s="3"/>
      <c r="G671" s="3"/>
      <c r="H671" s="1"/>
      <c r="I671" s="1"/>
      <c r="J671" s="1"/>
      <c r="K671" s="1"/>
      <c r="L671" s="3"/>
      <c r="M671" s="3"/>
      <c r="N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203"/>
      <c r="D672" s="203"/>
      <c r="E672" s="203"/>
      <c r="F672" s="3"/>
      <c r="G672" s="3"/>
      <c r="H672" s="1"/>
      <c r="I672" s="1"/>
      <c r="J672" s="1"/>
      <c r="K672" s="1"/>
      <c r="L672" s="3"/>
      <c r="M672" s="3"/>
      <c r="N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203"/>
      <c r="D673" s="203"/>
      <c r="E673" s="203"/>
      <c r="F673" s="3"/>
      <c r="G673" s="3"/>
      <c r="H673" s="1"/>
      <c r="I673" s="1"/>
      <c r="J673" s="1"/>
      <c r="K673" s="1"/>
      <c r="L673" s="3"/>
      <c r="M673" s="3"/>
      <c r="N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203"/>
      <c r="D674" s="203"/>
      <c r="E674" s="203"/>
      <c r="F674" s="3"/>
      <c r="G674" s="3"/>
      <c r="H674" s="1"/>
      <c r="I674" s="1"/>
      <c r="J674" s="1"/>
      <c r="K674" s="1"/>
      <c r="L674" s="3"/>
      <c r="M674" s="3"/>
      <c r="N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203"/>
      <c r="D675" s="203"/>
      <c r="E675" s="203"/>
      <c r="F675" s="3"/>
      <c r="G675" s="3"/>
      <c r="H675" s="1"/>
      <c r="I675" s="1"/>
      <c r="J675" s="1"/>
      <c r="K675" s="1"/>
      <c r="L675" s="3"/>
      <c r="M675" s="3"/>
      <c r="N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203"/>
      <c r="D676" s="203"/>
      <c r="E676" s="203"/>
      <c r="F676" s="3"/>
      <c r="G676" s="3"/>
      <c r="H676" s="1"/>
      <c r="I676" s="1"/>
      <c r="J676" s="1"/>
      <c r="K676" s="1"/>
      <c r="L676" s="3"/>
      <c r="M676" s="3"/>
      <c r="N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203"/>
      <c r="D677" s="203"/>
      <c r="E677" s="203"/>
      <c r="F677" s="3"/>
      <c r="G677" s="3"/>
      <c r="H677" s="1"/>
      <c r="I677" s="1"/>
      <c r="J677" s="1"/>
      <c r="K677" s="1"/>
      <c r="L677" s="3"/>
      <c r="M677" s="3"/>
      <c r="N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203"/>
      <c r="D678" s="203"/>
      <c r="E678" s="203"/>
      <c r="F678" s="3"/>
      <c r="G678" s="3"/>
      <c r="H678" s="1"/>
      <c r="I678" s="1"/>
      <c r="J678" s="1"/>
      <c r="K678" s="1"/>
      <c r="L678" s="3"/>
      <c r="M678" s="3"/>
      <c r="N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203"/>
      <c r="D679" s="203"/>
      <c r="E679" s="203"/>
      <c r="F679" s="3"/>
      <c r="G679" s="3"/>
      <c r="H679" s="1"/>
      <c r="I679" s="1"/>
      <c r="J679" s="1"/>
      <c r="K679" s="1"/>
      <c r="L679" s="3"/>
      <c r="M679" s="3"/>
      <c r="N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203"/>
      <c r="D680" s="203"/>
      <c r="E680" s="203"/>
      <c r="F680" s="3"/>
      <c r="G680" s="3"/>
      <c r="H680" s="1"/>
      <c r="I680" s="1"/>
      <c r="J680" s="1"/>
      <c r="K680" s="1"/>
      <c r="L680" s="3"/>
      <c r="M680" s="3"/>
      <c r="N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203"/>
      <c r="D681" s="203"/>
      <c r="E681" s="203"/>
      <c r="F681" s="3"/>
      <c r="G681" s="3"/>
      <c r="H681" s="1"/>
      <c r="I681" s="1"/>
      <c r="J681" s="1"/>
      <c r="K681" s="1"/>
      <c r="L681" s="3"/>
      <c r="M681" s="3"/>
      <c r="N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203"/>
      <c r="D682" s="203"/>
      <c r="E682" s="203"/>
      <c r="F682" s="3"/>
      <c r="G682" s="3"/>
      <c r="H682" s="1"/>
      <c r="I682" s="1"/>
      <c r="J682" s="1"/>
      <c r="K682" s="1"/>
      <c r="L682" s="3"/>
      <c r="M682" s="3"/>
      <c r="N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203"/>
      <c r="D683" s="203"/>
      <c r="E683" s="203"/>
      <c r="F683" s="3"/>
      <c r="G683" s="3"/>
      <c r="H683" s="1"/>
      <c r="I683" s="1"/>
      <c r="J683" s="1"/>
      <c r="K683" s="1"/>
      <c r="L683" s="3"/>
      <c r="M683" s="3"/>
      <c r="N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203"/>
      <c r="D684" s="203"/>
      <c r="E684" s="203"/>
      <c r="F684" s="3"/>
      <c r="G684" s="3"/>
      <c r="H684" s="1"/>
      <c r="I684" s="1"/>
      <c r="J684" s="1"/>
      <c r="K684" s="1"/>
      <c r="L684" s="3"/>
      <c r="M684" s="3"/>
      <c r="N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203"/>
      <c r="D685" s="203"/>
      <c r="E685" s="203"/>
      <c r="F685" s="3"/>
      <c r="G685" s="3"/>
      <c r="H685" s="1"/>
      <c r="I685" s="1"/>
      <c r="J685" s="1"/>
      <c r="K685" s="1"/>
      <c r="L685" s="3"/>
      <c r="M685" s="3"/>
      <c r="N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203"/>
      <c r="D686" s="203"/>
      <c r="E686" s="203"/>
      <c r="F686" s="3"/>
      <c r="G686" s="3"/>
      <c r="H686" s="1"/>
      <c r="I686" s="1"/>
      <c r="J686" s="1"/>
      <c r="K686" s="1"/>
      <c r="L686" s="3"/>
      <c r="M686" s="3"/>
      <c r="N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203"/>
      <c r="D687" s="203"/>
      <c r="E687" s="203"/>
      <c r="F687" s="3"/>
      <c r="G687" s="3"/>
      <c r="H687" s="1"/>
      <c r="I687" s="1"/>
      <c r="J687" s="1"/>
      <c r="K687" s="1"/>
      <c r="L687" s="3"/>
      <c r="M687" s="3"/>
      <c r="N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203"/>
      <c r="D688" s="203"/>
      <c r="E688" s="203"/>
      <c r="F688" s="3"/>
      <c r="G688" s="3"/>
      <c r="H688" s="1"/>
      <c r="I688" s="1"/>
      <c r="J688" s="1"/>
      <c r="K688" s="1"/>
      <c r="L688" s="3"/>
      <c r="M688" s="3"/>
      <c r="N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203"/>
      <c r="D689" s="203"/>
      <c r="E689" s="203"/>
      <c r="F689" s="3"/>
      <c r="G689" s="3"/>
      <c r="H689" s="1"/>
      <c r="I689" s="1"/>
      <c r="J689" s="1"/>
      <c r="K689" s="1"/>
      <c r="L689" s="3"/>
      <c r="M689" s="3"/>
      <c r="N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203"/>
      <c r="D690" s="203"/>
      <c r="E690" s="203"/>
      <c r="F690" s="3"/>
      <c r="G690" s="3"/>
      <c r="H690" s="1"/>
      <c r="I690" s="1"/>
      <c r="J690" s="1"/>
      <c r="K690" s="1"/>
      <c r="L690" s="3"/>
      <c r="M690" s="3"/>
      <c r="N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203"/>
      <c r="D691" s="203"/>
      <c r="E691" s="203"/>
      <c r="F691" s="3"/>
      <c r="G691" s="3"/>
      <c r="H691" s="1"/>
      <c r="I691" s="1"/>
      <c r="J691" s="1"/>
      <c r="K691" s="1"/>
      <c r="L691" s="3"/>
      <c r="M691" s="3"/>
      <c r="N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203"/>
      <c r="D692" s="203"/>
      <c r="E692" s="203"/>
      <c r="F692" s="3"/>
      <c r="G692" s="3"/>
      <c r="H692" s="1"/>
      <c r="I692" s="1"/>
      <c r="J692" s="1"/>
      <c r="K692" s="1"/>
      <c r="L692" s="3"/>
      <c r="M692" s="3"/>
      <c r="N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203"/>
      <c r="D693" s="203"/>
      <c r="E693" s="203"/>
      <c r="F693" s="3"/>
      <c r="G693" s="3"/>
      <c r="H693" s="1"/>
      <c r="I693" s="1"/>
      <c r="J693" s="1"/>
      <c r="K693" s="1"/>
      <c r="L693" s="3"/>
      <c r="M693" s="3"/>
      <c r="N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203"/>
      <c r="D694" s="203"/>
      <c r="E694" s="203"/>
      <c r="F694" s="3"/>
      <c r="G694" s="3"/>
      <c r="H694" s="1"/>
      <c r="I694" s="1"/>
      <c r="J694" s="1"/>
      <c r="K694" s="1"/>
      <c r="L694" s="3"/>
      <c r="M694" s="3"/>
      <c r="N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203"/>
      <c r="D695" s="203"/>
      <c r="E695" s="203"/>
      <c r="F695" s="3"/>
      <c r="G695" s="3"/>
      <c r="H695" s="1"/>
      <c r="I695" s="1"/>
      <c r="J695" s="1"/>
      <c r="K695" s="1"/>
      <c r="L695" s="3"/>
      <c r="M695" s="3"/>
      <c r="N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203"/>
      <c r="D696" s="203"/>
      <c r="E696" s="203"/>
      <c r="F696" s="3"/>
      <c r="G696" s="3"/>
      <c r="H696" s="1"/>
      <c r="I696" s="1"/>
      <c r="J696" s="1"/>
      <c r="K696" s="1"/>
      <c r="L696" s="3"/>
      <c r="M696" s="3"/>
      <c r="N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203"/>
      <c r="D697" s="203"/>
      <c r="E697" s="203"/>
      <c r="F697" s="3"/>
      <c r="G697" s="3"/>
      <c r="H697" s="1"/>
      <c r="I697" s="1"/>
      <c r="J697" s="1"/>
      <c r="K697" s="1"/>
      <c r="L697" s="3"/>
      <c r="M697" s="3"/>
      <c r="N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203"/>
      <c r="D698" s="203"/>
      <c r="E698" s="203"/>
      <c r="F698" s="3"/>
      <c r="G698" s="3"/>
      <c r="H698" s="1"/>
      <c r="I698" s="1"/>
      <c r="J698" s="1"/>
      <c r="K698" s="1"/>
      <c r="L698" s="3"/>
      <c r="M698" s="3"/>
      <c r="N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203"/>
      <c r="D699" s="203"/>
      <c r="E699" s="203"/>
      <c r="F699" s="3"/>
      <c r="G699" s="3"/>
      <c r="H699" s="1"/>
      <c r="I699" s="1"/>
      <c r="J699" s="1"/>
      <c r="K699" s="1"/>
      <c r="L699" s="3"/>
      <c r="M699" s="3"/>
      <c r="N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203"/>
      <c r="D700" s="203"/>
      <c r="E700" s="203"/>
      <c r="F700" s="3"/>
      <c r="G700" s="3"/>
      <c r="H700" s="1"/>
      <c r="I700" s="1"/>
      <c r="J700" s="1"/>
      <c r="K700" s="1"/>
      <c r="L700" s="3"/>
      <c r="M700" s="3"/>
      <c r="N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203"/>
      <c r="D701" s="203"/>
      <c r="E701" s="203"/>
      <c r="F701" s="3"/>
      <c r="G701" s="3"/>
      <c r="H701" s="1"/>
      <c r="I701" s="1"/>
      <c r="J701" s="1"/>
      <c r="K701" s="1"/>
      <c r="L701" s="3"/>
      <c r="M701" s="3"/>
      <c r="N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203"/>
      <c r="D702" s="203"/>
      <c r="E702" s="203"/>
      <c r="F702" s="3"/>
      <c r="G702" s="3"/>
      <c r="H702" s="1"/>
      <c r="I702" s="1"/>
      <c r="J702" s="1"/>
      <c r="K702" s="1"/>
      <c r="L702" s="3"/>
      <c r="M702" s="3"/>
      <c r="N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203"/>
      <c r="D703" s="203"/>
      <c r="E703" s="203"/>
      <c r="F703" s="3"/>
      <c r="G703" s="3"/>
      <c r="H703" s="1"/>
      <c r="I703" s="1"/>
      <c r="J703" s="1"/>
      <c r="K703" s="1"/>
      <c r="L703" s="3"/>
      <c r="M703" s="3"/>
      <c r="N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203"/>
      <c r="D704" s="203"/>
      <c r="E704" s="203"/>
      <c r="F704" s="3"/>
      <c r="G704" s="3"/>
      <c r="H704" s="1"/>
      <c r="I704" s="1"/>
      <c r="J704" s="1"/>
      <c r="K704" s="1"/>
      <c r="L704" s="3"/>
      <c r="M704" s="3"/>
      <c r="N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203"/>
      <c r="D705" s="203"/>
      <c r="E705" s="203"/>
      <c r="F705" s="3"/>
      <c r="G705" s="3"/>
      <c r="H705" s="1"/>
      <c r="I705" s="1"/>
      <c r="J705" s="1"/>
      <c r="K705" s="1"/>
      <c r="L705" s="3"/>
      <c r="M705" s="3"/>
      <c r="N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203"/>
      <c r="D706" s="203"/>
      <c r="E706" s="203"/>
      <c r="F706" s="3"/>
      <c r="G706" s="3"/>
      <c r="H706" s="1"/>
      <c r="I706" s="1"/>
      <c r="J706" s="1"/>
      <c r="K706" s="1"/>
      <c r="L706" s="3"/>
      <c r="M706" s="3"/>
      <c r="N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203"/>
      <c r="D707" s="203"/>
      <c r="E707" s="203"/>
      <c r="F707" s="3"/>
      <c r="G707" s="3"/>
      <c r="H707" s="1"/>
      <c r="I707" s="1"/>
      <c r="J707" s="1"/>
      <c r="K707" s="1"/>
      <c r="L707" s="3"/>
      <c r="M707" s="3"/>
      <c r="N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203"/>
      <c r="D708" s="203"/>
      <c r="E708" s="203"/>
      <c r="F708" s="3"/>
      <c r="G708" s="3"/>
      <c r="H708" s="1"/>
      <c r="I708" s="1"/>
      <c r="J708" s="1"/>
      <c r="K708" s="1"/>
      <c r="L708" s="3"/>
      <c r="M708" s="3"/>
      <c r="N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203"/>
      <c r="D709" s="203"/>
      <c r="E709" s="203"/>
      <c r="F709" s="3"/>
      <c r="G709" s="3"/>
      <c r="H709" s="1"/>
      <c r="I709" s="1"/>
      <c r="J709" s="1"/>
      <c r="K709" s="1"/>
      <c r="L709" s="3"/>
      <c r="M709" s="3"/>
      <c r="N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203"/>
      <c r="D710" s="203"/>
      <c r="E710" s="203"/>
      <c r="F710" s="3"/>
      <c r="G710" s="3"/>
      <c r="H710" s="1"/>
      <c r="I710" s="1"/>
      <c r="J710" s="1"/>
      <c r="K710" s="1"/>
      <c r="L710" s="3"/>
      <c r="M710" s="3"/>
      <c r="N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203"/>
      <c r="D711" s="203"/>
      <c r="E711" s="203"/>
      <c r="F711" s="3"/>
      <c r="G711" s="3"/>
      <c r="H711" s="1"/>
      <c r="I711" s="1"/>
      <c r="J711" s="1"/>
      <c r="K711" s="1"/>
      <c r="L711" s="3"/>
      <c r="M711" s="3"/>
      <c r="N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203"/>
      <c r="D712" s="203"/>
      <c r="E712" s="203"/>
      <c r="F712" s="3"/>
      <c r="G712" s="3"/>
      <c r="H712" s="1"/>
      <c r="I712" s="1"/>
      <c r="J712" s="1"/>
      <c r="K712" s="1"/>
      <c r="L712" s="3"/>
      <c r="M712" s="3"/>
      <c r="N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203"/>
      <c r="D713" s="203"/>
      <c r="E713" s="203"/>
      <c r="F713" s="3"/>
      <c r="G713" s="3"/>
      <c r="H713" s="1"/>
      <c r="I713" s="1"/>
      <c r="J713" s="1"/>
      <c r="K713" s="1"/>
      <c r="L713" s="3"/>
      <c r="M713" s="3"/>
      <c r="N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203"/>
      <c r="D714" s="203"/>
      <c r="E714" s="203"/>
      <c r="F714" s="3"/>
      <c r="G714" s="3"/>
      <c r="H714" s="1"/>
      <c r="I714" s="1"/>
      <c r="J714" s="1"/>
      <c r="K714" s="1"/>
      <c r="L714" s="3"/>
      <c r="M714" s="3"/>
      <c r="N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203"/>
      <c r="D715" s="203"/>
      <c r="E715" s="203"/>
      <c r="F715" s="3"/>
      <c r="G715" s="3"/>
      <c r="H715" s="1"/>
      <c r="I715" s="1"/>
      <c r="J715" s="1"/>
      <c r="K715" s="1"/>
      <c r="L715" s="3"/>
      <c r="M715" s="3"/>
      <c r="N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203"/>
      <c r="D716" s="203"/>
      <c r="E716" s="203"/>
      <c r="F716" s="3"/>
      <c r="G716" s="3"/>
      <c r="H716" s="1"/>
      <c r="I716" s="1"/>
      <c r="J716" s="1"/>
      <c r="K716" s="1"/>
      <c r="L716" s="3"/>
      <c r="M716" s="3"/>
      <c r="N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203"/>
      <c r="D717" s="203"/>
      <c r="E717" s="203"/>
      <c r="F717" s="3"/>
      <c r="G717" s="3"/>
      <c r="H717" s="1"/>
      <c r="I717" s="1"/>
      <c r="J717" s="1"/>
      <c r="K717" s="1"/>
      <c r="L717" s="3"/>
      <c r="M717" s="3"/>
      <c r="N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203"/>
      <c r="D718" s="203"/>
      <c r="E718" s="203"/>
      <c r="F718" s="3"/>
      <c r="G718" s="3"/>
      <c r="H718" s="1"/>
      <c r="I718" s="1"/>
      <c r="J718" s="1"/>
      <c r="K718" s="1"/>
      <c r="L718" s="3"/>
      <c r="M718" s="3"/>
      <c r="N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203"/>
      <c r="D719" s="203"/>
      <c r="E719" s="203"/>
      <c r="F719" s="3"/>
      <c r="G719" s="3"/>
      <c r="H719" s="1"/>
      <c r="I719" s="1"/>
      <c r="J719" s="1"/>
      <c r="K719" s="1"/>
      <c r="L719" s="3"/>
      <c r="M719" s="3"/>
      <c r="N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203"/>
      <c r="D720" s="203"/>
      <c r="E720" s="203"/>
      <c r="F720" s="3"/>
      <c r="G720" s="3"/>
      <c r="H720" s="1"/>
      <c r="I720" s="1"/>
      <c r="J720" s="1"/>
      <c r="K720" s="1"/>
      <c r="L720" s="3"/>
      <c r="M720" s="3"/>
      <c r="N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203"/>
      <c r="D721" s="203"/>
      <c r="E721" s="203"/>
      <c r="F721" s="3"/>
      <c r="G721" s="3"/>
      <c r="H721" s="1"/>
      <c r="I721" s="1"/>
      <c r="J721" s="1"/>
      <c r="K721" s="1"/>
      <c r="L721" s="3"/>
      <c r="M721" s="3"/>
      <c r="N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203"/>
      <c r="D722" s="203"/>
      <c r="E722" s="203"/>
      <c r="F722" s="3"/>
      <c r="G722" s="3"/>
      <c r="H722" s="1"/>
      <c r="I722" s="1"/>
      <c r="J722" s="1"/>
      <c r="K722" s="1"/>
      <c r="L722" s="3"/>
      <c r="M722" s="3"/>
      <c r="N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203"/>
      <c r="D723" s="203"/>
      <c r="E723" s="203"/>
      <c r="F723" s="3"/>
      <c r="G723" s="3"/>
      <c r="H723" s="1"/>
      <c r="I723" s="1"/>
      <c r="J723" s="1"/>
      <c r="K723" s="1"/>
      <c r="L723" s="3"/>
      <c r="M723" s="3"/>
      <c r="N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203"/>
      <c r="D724" s="203"/>
      <c r="E724" s="203"/>
      <c r="F724" s="3"/>
      <c r="G724" s="3"/>
      <c r="H724" s="1"/>
      <c r="I724" s="1"/>
      <c r="J724" s="1"/>
      <c r="K724" s="1"/>
      <c r="L724" s="3"/>
      <c r="M724" s="3"/>
      <c r="N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203"/>
      <c r="D725" s="203"/>
      <c r="E725" s="203"/>
      <c r="F725" s="3"/>
      <c r="G725" s="3"/>
      <c r="H725" s="1"/>
      <c r="I725" s="1"/>
      <c r="J725" s="1"/>
      <c r="K725" s="1"/>
      <c r="L725" s="3"/>
      <c r="M725" s="3"/>
      <c r="N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203"/>
      <c r="D726" s="203"/>
      <c r="E726" s="203"/>
      <c r="F726" s="3"/>
      <c r="G726" s="3"/>
      <c r="H726" s="1"/>
      <c r="I726" s="1"/>
      <c r="J726" s="1"/>
      <c r="K726" s="1"/>
      <c r="L726" s="3"/>
      <c r="M726" s="3"/>
      <c r="N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203"/>
      <c r="D727" s="203"/>
      <c r="E727" s="203"/>
      <c r="F727" s="3"/>
      <c r="G727" s="3"/>
      <c r="H727" s="1"/>
      <c r="I727" s="1"/>
      <c r="J727" s="1"/>
      <c r="K727" s="1"/>
      <c r="L727" s="3"/>
      <c r="M727" s="3"/>
      <c r="N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203"/>
      <c r="D728" s="203"/>
      <c r="E728" s="203"/>
      <c r="F728" s="3"/>
      <c r="G728" s="3"/>
      <c r="H728" s="1"/>
      <c r="I728" s="1"/>
      <c r="J728" s="1"/>
      <c r="K728" s="1"/>
      <c r="L728" s="3"/>
      <c r="M728" s="3"/>
      <c r="N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203"/>
      <c r="D729" s="203"/>
      <c r="E729" s="203"/>
      <c r="F729" s="3"/>
      <c r="G729" s="3"/>
      <c r="H729" s="1"/>
      <c r="I729" s="1"/>
      <c r="J729" s="1"/>
      <c r="K729" s="1"/>
      <c r="L729" s="3"/>
      <c r="M729" s="3"/>
      <c r="N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203"/>
      <c r="D730" s="203"/>
      <c r="E730" s="203"/>
      <c r="F730" s="3"/>
      <c r="G730" s="3"/>
      <c r="H730" s="1"/>
      <c r="I730" s="1"/>
      <c r="J730" s="1"/>
      <c r="K730" s="1"/>
      <c r="L730" s="3"/>
      <c r="M730" s="3"/>
      <c r="N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203"/>
      <c r="D731" s="203"/>
      <c r="E731" s="203"/>
      <c r="F731" s="3"/>
      <c r="G731" s="3"/>
      <c r="H731" s="1"/>
      <c r="I731" s="1"/>
      <c r="J731" s="1"/>
      <c r="K731" s="1"/>
      <c r="L731" s="3"/>
      <c r="M731" s="3"/>
      <c r="N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203"/>
      <c r="D732" s="203"/>
      <c r="E732" s="203"/>
      <c r="F732" s="3"/>
      <c r="G732" s="3"/>
      <c r="H732" s="1"/>
      <c r="I732" s="1"/>
      <c r="J732" s="1"/>
      <c r="K732" s="1"/>
      <c r="L732" s="3"/>
      <c r="M732" s="3"/>
      <c r="N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203"/>
      <c r="D733" s="203"/>
      <c r="E733" s="203"/>
      <c r="F733" s="3"/>
      <c r="G733" s="3"/>
      <c r="H733" s="1"/>
      <c r="I733" s="1"/>
      <c r="J733" s="1"/>
      <c r="K733" s="1"/>
      <c r="L733" s="3"/>
      <c r="M733" s="3"/>
      <c r="N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203"/>
      <c r="D734" s="203"/>
      <c r="E734" s="203"/>
      <c r="F734" s="3"/>
      <c r="G734" s="3"/>
      <c r="H734" s="1"/>
      <c r="I734" s="1"/>
      <c r="J734" s="1"/>
      <c r="K734" s="1"/>
      <c r="L734" s="3"/>
      <c r="M734" s="3"/>
      <c r="N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203"/>
      <c r="D735" s="203"/>
      <c r="E735" s="203"/>
      <c r="F735" s="3"/>
      <c r="G735" s="3"/>
      <c r="H735" s="1"/>
      <c r="I735" s="1"/>
      <c r="J735" s="1"/>
      <c r="K735" s="1"/>
      <c r="L735" s="3"/>
      <c r="M735" s="3"/>
      <c r="N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203"/>
      <c r="D736" s="203"/>
      <c r="E736" s="203"/>
      <c r="F736" s="3"/>
      <c r="G736" s="3"/>
      <c r="H736" s="1"/>
      <c r="I736" s="1"/>
      <c r="J736" s="1"/>
      <c r="K736" s="1"/>
      <c r="L736" s="3"/>
      <c r="M736" s="3"/>
      <c r="N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203"/>
      <c r="D737" s="203"/>
      <c r="E737" s="203"/>
      <c r="F737" s="3"/>
      <c r="G737" s="3"/>
      <c r="H737" s="1"/>
      <c r="I737" s="1"/>
      <c r="J737" s="1"/>
      <c r="K737" s="1"/>
      <c r="L737" s="3"/>
      <c r="M737" s="3"/>
      <c r="N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203"/>
      <c r="D738" s="203"/>
      <c r="E738" s="203"/>
      <c r="F738" s="3"/>
      <c r="G738" s="3"/>
      <c r="H738" s="1"/>
      <c r="I738" s="1"/>
      <c r="J738" s="1"/>
      <c r="K738" s="1"/>
      <c r="L738" s="3"/>
      <c r="M738" s="3"/>
      <c r="N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203"/>
      <c r="D739" s="203"/>
      <c r="E739" s="203"/>
      <c r="F739" s="3"/>
      <c r="G739" s="3"/>
      <c r="H739" s="1"/>
      <c r="I739" s="1"/>
      <c r="J739" s="1"/>
      <c r="K739" s="1"/>
      <c r="L739" s="3"/>
      <c r="M739" s="3"/>
      <c r="N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203"/>
      <c r="D740" s="203"/>
      <c r="E740" s="203"/>
      <c r="F740" s="3"/>
      <c r="G740" s="3"/>
      <c r="H740" s="1"/>
      <c r="I740" s="1"/>
      <c r="J740" s="1"/>
      <c r="K740" s="1"/>
      <c r="L740" s="3"/>
      <c r="M740" s="3"/>
      <c r="N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203"/>
      <c r="D741" s="203"/>
      <c r="E741" s="203"/>
      <c r="F741" s="3"/>
      <c r="G741" s="3"/>
      <c r="H741" s="1"/>
      <c r="I741" s="1"/>
      <c r="J741" s="1"/>
      <c r="K741" s="1"/>
      <c r="L741" s="3"/>
      <c r="M741" s="3"/>
      <c r="N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203"/>
      <c r="D742" s="203"/>
      <c r="E742" s="203"/>
      <c r="F742" s="3"/>
      <c r="G742" s="3"/>
      <c r="H742" s="1"/>
      <c r="I742" s="1"/>
      <c r="J742" s="1"/>
      <c r="K742" s="1"/>
      <c r="L742" s="3"/>
      <c r="M742" s="3"/>
      <c r="N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203"/>
      <c r="D743" s="203"/>
      <c r="E743" s="203"/>
      <c r="F743" s="3"/>
      <c r="G743" s="3"/>
      <c r="H743" s="1"/>
      <c r="I743" s="1"/>
      <c r="J743" s="1"/>
      <c r="K743" s="1"/>
      <c r="L743" s="3"/>
      <c r="M743" s="3"/>
      <c r="N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203"/>
      <c r="D744" s="203"/>
      <c r="E744" s="203"/>
      <c r="F744" s="3"/>
      <c r="G744" s="3"/>
      <c r="H744" s="1"/>
      <c r="I744" s="1"/>
      <c r="J744" s="1"/>
      <c r="K744" s="1"/>
      <c r="L744" s="3"/>
      <c r="M744" s="3"/>
      <c r="N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203"/>
      <c r="D745" s="203"/>
      <c r="E745" s="203"/>
      <c r="F745" s="3"/>
      <c r="G745" s="3"/>
      <c r="H745" s="1"/>
      <c r="I745" s="1"/>
      <c r="J745" s="1"/>
      <c r="K745" s="1"/>
      <c r="L745" s="3"/>
      <c r="M745" s="3"/>
      <c r="N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203"/>
      <c r="D746" s="203"/>
      <c r="E746" s="203"/>
      <c r="F746" s="3"/>
      <c r="G746" s="3"/>
      <c r="H746" s="1"/>
      <c r="I746" s="1"/>
      <c r="J746" s="1"/>
      <c r="K746" s="1"/>
      <c r="L746" s="3"/>
      <c r="M746" s="3"/>
      <c r="N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203"/>
      <c r="D747" s="203"/>
      <c r="E747" s="203"/>
      <c r="F747" s="3"/>
      <c r="G747" s="3"/>
      <c r="H747" s="1"/>
      <c r="I747" s="1"/>
      <c r="J747" s="1"/>
      <c r="K747" s="1"/>
      <c r="L747" s="3"/>
      <c r="M747" s="3"/>
      <c r="N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203"/>
      <c r="D748" s="203"/>
      <c r="E748" s="203"/>
      <c r="F748" s="3"/>
      <c r="G748" s="3"/>
      <c r="H748" s="1"/>
      <c r="I748" s="1"/>
      <c r="J748" s="1"/>
      <c r="K748" s="1"/>
      <c r="L748" s="3"/>
      <c r="M748" s="3"/>
      <c r="N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203"/>
      <c r="D749" s="203"/>
      <c r="E749" s="203"/>
      <c r="F749" s="3"/>
      <c r="G749" s="3"/>
      <c r="H749" s="1"/>
      <c r="I749" s="1"/>
      <c r="J749" s="1"/>
      <c r="K749" s="1"/>
      <c r="L749" s="3"/>
      <c r="M749" s="3"/>
      <c r="N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203"/>
      <c r="D750" s="203"/>
      <c r="E750" s="203"/>
      <c r="F750" s="3"/>
      <c r="G750" s="3"/>
      <c r="H750" s="1"/>
      <c r="I750" s="1"/>
      <c r="J750" s="1"/>
      <c r="K750" s="1"/>
      <c r="L750" s="3"/>
      <c r="M750" s="3"/>
      <c r="N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203"/>
      <c r="D751" s="203"/>
      <c r="E751" s="203"/>
      <c r="F751" s="3"/>
      <c r="G751" s="3"/>
      <c r="H751" s="1"/>
      <c r="I751" s="1"/>
      <c r="J751" s="1"/>
      <c r="K751" s="1"/>
      <c r="L751" s="3"/>
      <c r="M751" s="3"/>
      <c r="N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203"/>
      <c r="D752" s="203"/>
      <c r="E752" s="203"/>
      <c r="F752" s="3"/>
      <c r="G752" s="3"/>
      <c r="H752" s="1"/>
      <c r="I752" s="1"/>
      <c r="J752" s="1"/>
      <c r="K752" s="1"/>
      <c r="L752" s="3"/>
      <c r="M752" s="3"/>
      <c r="N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203"/>
      <c r="D753" s="203"/>
      <c r="E753" s="203"/>
      <c r="F753" s="3"/>
      <c r="G753" s="3"/>
      <c r="H753" s="1"/>
      <c r="I753" s="1"/>
      <c r="J753" s="1"/>
      <c r="K753" s="1"/>
      <c r="L753" s="3"/>
      <c r="M753" s="3"/>
      <c r="N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203"/>
      <c r="D754" s="203"/>
      <c r="E754" s="203"/>
      <c r="F754" s="3"/>
      <c r="G754" s="3"/>
      <c r="H754" s="1"/>
      <c r="I754" s="1"/>
      <c r="J754" s="1"/>
      <c r="K754" s="1"/>
      <c r="L754" s="3"/>
      <c r="M754" s="3"/>
      <c r="N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203"/>
      <c r="D755" s="203"/>
      <c r="E755" s="203"/>
      <c r="F755" s="3"/>
      <c r="G755" s="3"/>
      <c r="H755" s="1"/>
      <c r="I755" s="1"/>
      <c r="J755" s="1"/>
      <c r="K755" s="1"/>
      <c r="L755" s="3"/>
      <c r="M755" s="3"/>
      <c r="N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203"/>
      <c r="D756" s="203"/>
      <c r="E756" s="203"/>
      <c r="F756" s="3"/>
      <c r="G756" s="3"/>
      <c r="H756" s="1"/>
      <c r="I756" s="1"/>
      <c r="J756" s="1"/>
      <c r="K756" s="1"/>
      <c r="L756" s="3"/>
      <c r="M756" s="3"/>
      <c r="N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203"/>
      <c r="D757" s="203"/>
      <c r="E757" s="203"/>
      <c r="F757" s="3"/>
      <c r="G757" s="3"/>
      <c r="H757" s="1"/>
      <c r="I757" s="1"/>
      <c r="J757" s="1"/>
      <c r="K757" s="1"/>
      <c r="L757" s="3"/>
      <c r="M757" s="3"/>
      <c r="N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203"/>
      <c r="D758" s="203"/>
      <c r="E758" s="203"/>
      <c r="F758" s="3"/>
      <c r="G758" s="3"/>
      <c r="H758" s="1"/>
      <c r="I758" s="1"/>
      <c r="J758" s="1"/>
      <c r="K758" s="1"/>
      <c r="L758" s="3"/>
      <c r="M758" s="3"/>
      <c r="N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203"/>
      <c r="D759" s="203"/>
      <c r="E759" s="203"/>
      <c r="F759" s="3"/>
      <c r="G759" s="3"/>
      <c r="H759" s="1"/>
      <c r="I759" s="1"/>
      <c r="J759" s="1"/>
      <c r="K759" s="1"/>
      <c r="L759" s="3"/>
      <c r="M759" s="3"/>
      <c r="N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203"/>
      <c r="D760" s="203"/>
      <c r="E760" s="203"/>
      <c r="F760" s="3"/>
      <c r="G760" s="3"/>
      <c r="H760" s="1"/>
      <c r="I760" s="1"/>
      <c r="J760" s="1"/>
      <c r="K760" s="1"/>
      <c r="L760" s="3"/>
      <c r="M760" s="3"/>
      <c r="N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203"/>
      <c r="D761" s="203"/>
      <c r="E761" s="203"/>
      <c r="F761" s="3"/>
      <c r="G761" s="3"/>
      <c r="H761" s="1"/>
      <c r="I761" s="1"/>
      <c r="J761" s="1"/>
      <c r="K761" s="1"/>
      <c r="L761" s="3"/>
      <c r="M761" s="3"/>
      <c r="N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203"/>
      <c r="D762" s="203"/>
      <c r="E762" s="203"/>
      <c r="F762" s="3"/>
      <c r="G762" s="3"/>
      <c r="H762" s="1"/>
      <c r="I762" s="1"/>
      <c r="J762" s="1"/>
      <c r="K762" s="1"/>
      <c r="L762" s="3"/>
      <c r="M762" s="3"/>
      <c r="N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203"/>
      <c r="D763" s="203"/>
      <c r="E763" s="203"/>
      <c r="F763" s="3"/>
      <c r="G763" s="3"/>
      <c r="H763" s="1"/>
      <c r="I763" s="1"/>
      <c r="J763" s="1"/>
      <c r="K763" s="1"/>
      <c r="L763" s="3"/>
      <c r="M763" s="3"/>
      <c r="N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203"/>
      <c r="D764" s="203"/>
      <c r="E764" s="203"/>
      <c r="F764" s="3"/>
      <c r="G764" s="3"/>
      <c r="H764" s="1"/>
      <c r="I764" s="1"/>
      <c r="J764" s="1"/>
      <c r="K764" s="1"/>
      <c r="L764" s="3"/>
      <c r="M764" s="3"/>
      <c r="N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203"/>
      <c r="D765" s="203"/>
      <c r="E765" s="203"/>
      <c r="F765" s="3"/>
      <c r="G765" s="3"/>
      <c r="H765" s="1"/>
      <c r="I765" s="1"/>
      <c r="J765" s="1"/>
      <c r="K765" s="1"/>
      <c r="L765" s="3"/>
      <c r="M765" s="3"/>
      <c r="N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203"/>
      <c r="D766" s="203"/>
      <c r="E766" s="203"/>
      <c r="F766" s="3"/>
      <c r="G766" s="3"/>
      <c r="H766" s="1"/>
      <c r="I766" s="1"/>
      <c r="J766" s="1"/>
      <c r="K766" s="1"/>
      <c r="L766" s="3"/>
      <c r="M766" s="3"/>
      <c r="N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203"/>
      <c r="D767" s="203"/>
      <c r="E767" s="203"/>
      <c r="F767" s="3"/>
      <c r="G767" s="3"/>
      <c r="H767" s="1"/>
      <c r="I767" s="1"/>
      <c r="J767" s="1"/>
      <c r="K767" s="1"/>
      <c r="L767" s="3"/>
      <c r="M767" s="3"/>
      <c r="N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203"/>
      <c r="D768" s="203"/>
      <c r="E768" s="203"/>
      <c r="F768" s="3"/>
      <c r="G768" s="3"/>
      <c r="H768" s="1"/>
      <c r="I768" s="1"/>
      <c r="J768" s="1"/>
      <c r="K768" s="1"/>
      <c r="L768" s="3"/>
      <c r="M768" s="3"/>
      <c r="N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203"/>
      <c r="D769" s="203"/>
      <c r="E769" s="203"/>
      <c r="F769" s="3"/>
      <c r="G769" s="3"/>
      <c r="H769" s="1"/>
      <c r="I769" s="1"/>
      <c r="J769" s="1"/>
      <c r="K769" s="1"/>
      <c r="L769" s="3"/>
      <c r="M769" s="3"/>
      <c r="N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203"/>
      <c r="D770" s="203"/>
      <c r="E770" s="203"/>
      <c r="F770" s="3"/>
      <c r="G770" s="3"/>
      <c r="H770" s="1"/>
      <c r="I770" s="1"/>
      <c r="J770" s="1"/>
      <c r="K770" s="1"/>
      <c r="L770" s="3"/>
      <c r="M770" s="3"/>
      <c r="N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203"/>
      <c r="D771" s="203"/>
      <c r="E771" s="203"/>
      <c r="F771" s="3"/>
      <c r="G771" s="3"/>
      <c r="H771" s="1"/>
      <c r="I771" s="1"/>
      <c r="J771" s="1"/>
      <c r="K771" s="1"/>
      <c r="L771" s="3"/>
      <c r="M771" s="3"/>
      <c r="N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203"/>
      <c r="D772" s="203"/>
      <c r="E772" s="203"/>
      <c r="F772" s="3"/>
      <c r="G772" s="3"/>
      <c r="H772" s="1"/>
      <c r="I772" s="1"/>
      <c r="J772" s="1"/>
      <c r="K772" s="1"/>
      <c r="L772" s="3"/>
      <c r="M772" s="3"/>
      <c r="N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203"/>
      <c r="D773" s="203"/>
      <c r="E773" s="203"/>
      <c r="F773" s="3"/>
      <c r="G773" s="3"/>
      <c r="H773" s="1"/>
      <c r="I773" s="1"/>
      <c r="J773" s="1"/>
      <c r="K773" s="1"/>
      <c r="L773" s="3"/>
      <c r="M773" s="3"/>
      <c r="N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203"/>
      <c r="D774" s="203"/>
      <c r="E774" s="203"/>
      <c r="F774" s="3"/>
      <c r="G774" s="3"/>
      <c r="H774" s="1"/>
      <c r="I774" s="1"/>
      <c r="J774" s="1"/>
      <c r="K774" s="1"/>
      <c r="L774" s="3"/>
      <c r="M774" s="3"/>
      <c r="N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203"/>
      <c r="D775" s="203"/>
      <c r="E775" s="203"/>
      <c r="F775" s="3"/>
      <c r="G775" s="3"/>
      <c r="H775" s="1"/>
      <c r="I775" s="1"/>
      <c r="J775" s="1"/>
      <c r="K775" s="1"/>
      <c r="L775" s="3"/>
      <c r="M775" s="3"/>
      <c r="N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203"/>
      <c r="D776" s="203"/>
      <c r="E776" s="203"/>
      <c r="F776" s="3"/>
      <c r="G776" s="3"/>
      <c r="H776" s="1"/>
      <c r="I776" s="1"/>
      <c r="J776" s="1"/>
      <c r="K776" s="1"/>
      <c r="L776" s="3"/>
      <c r="M776" s="3"/>
      <c r="N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203"/>
      <c r="D777" s="203"/>
      <c r="E777" s="203"/>
      <c r="F777" s="3"/>
      <c r="G777" s="3"/>
      <c r="H777" s="1"/>
      <c r="I777" s="1"/>
      <c r="J777" s="1"/>
      <c r="K777" s="1"/>
      <c r="L777" s="3"/>
      <c r="M777" s="3"/>
      <c r="N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203"/>
      <c r="D778" s="203"/>
      <c r="E778" s="203"/>
      <c r="F778" s="3"/>
      <c r="G778" s="3"/>
      <c r="H778" s="1"/>
      <c r="I778" s="1"/>
      <c r="J778" s="1"/>
      <c r="K778" s="1"/>
      <c r="L778" s="3"/>
      <c r="M778" s="3"/>
      <c r="N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203"/>
      <c r="D779" s="203"/>
      <c r="E779" s="203"/>
      <c r="F779" s="3"/>
      <c r="G779" s="3"/>
      <c r="H779" s="1"/>
      <c r="I779" s="1"/>
      <c r="J779" s="1"/>
      <c r="K779" s="1"/>
      <c r="L779" s="3"/>
      <c r="M779" s="3"/>
      <c r="N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203"/>
      <c r="D780" s="203"/>
      <c r="E780" s="203"/>
      <c r="F780" s="3"/>
      <c r="G780" s="3"/>
      <c r="H780" s="1"/>
      <c r="I780" s="1"/>
      <c r="J780" s="1"/>
      <c r="K780" s="1"/>
      <c r="L780" s="3"/>
      <c r="M780" s="3"/>
      <c r="N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203"/>
      <c r="D781" s="203"/>
      <c r="E781" s="203"/>
      <c r="F781" s="3"/>
      <c r="G781" s="3"/>
      <c r="H781" s="1"/>
      <c r="I781" s="1"/>
      <c r="J781" s="1"/>
      <c r="K781" s="1"/>
      <c r="L781" s="3"/>
      <c r="M781" s="3"/>
      <c r="N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203"/>
      <c r="D782" s="203"/>
      <c r="E782" s="203"/>
      <c r="F782" s="3"/>
      <c r="G782" s="3"/>
      <c r="H782" s="1"/>
      <c r="I782" s="1"/>
      <c r="J782" s="1"/>
      <c r="K782" s="1"/>
      <c r="L782" s="3"/>
      <c r="M782" s="3"/>
      <c r="N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203"/>
      <c r="D783" s="203"/>
      <c r="E783" s="203"/>
      <c r="F783" s="3"/>
      <c r="G783" s="3"/>
      <c r="H783" s="1"/>
      <c r="I783" s="1"/>
      <c r="J783" s="1"/>
      <c r="K783" s="1"/>
      <c r="L783" s="3"/>
      <c r="M783" s="3"/>
      <c r="N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203"/>
      <c r="D784" s="203"/>
      <c r="E784" s="203"/>
      <c r="F784" s="3"/>
      <c r="G784" s="3"/>
      <c r="H784" s="1"/>
      <c r="I784" s="1"/>
      <c r="J784" s="1"/>
      <c r="K784" s="1"/>
      <c r="L784" s="3"/>
      <c r="M784" s="3"/>
      <c r="N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203"/>
      <c r="D785" s="203"/>
      <c r="E785" s="203"/>
      <c r="F785" s="3"/>
      <c r="G785" s="3"/>
      <c r="H785" s="1"/>
      <c r="I785" s="1"/>
      <c r="J785" s="1"/>
      <c r="K785" s="1"/>
      <c r="L785" s="3"/>
      <c r="M785" s="3"/>
      <c r="N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203"/>
      <c r="D786" s="203"/>
      <c r="E786" s="203"/>
      <c r="F786" s="3"/>
      <c r="G786" s="3"/>
      <c r="H786" s="1"/>
      <c r="I786" s="1"/>
      <c r="J786" s="1"/>
      <c r="K786" s="1"/>
      <c r="L786" s="3"/>
      <c r="M786" s="3"/>
      <c r="N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203"/>
      <c r="D787" s="203"/>
      <c r="E787" s="203"/>
      <c r="F787" s="3"/>
      <c r="G787" s="3"/>
      <c r="H787" s="1"/>
      <c r="I787" s="1"/>
      <c r="J787" s="1"/>
      <c r="K787" s="1"/>
      <c r="L787" s="3"/>
      <c r="M787" s="3"/>
      <c r="N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203"/>
      <c r="D788" s="203"/>
      <c r="E788" s="203"/>
      <c r="F788" s="3"/>
      <c r="G788" s="3"/>
      <c r="H788" s="1"/>
      <c r="I788" s="1"/>
      <c r="J788" s="1"/>
      <c r="K788" s="1"/>
      <c r="L788" s="3"/>
      <c r="M788" s="3"/>
      <c r="N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203"/>
      <c r="D789" s="203"/>
      <c r="E789" s="203"/>
      <c r="F789" s="3"/>
      <c r="G789" s="3"/>
      <c r="H789" s="1"/>
      <c r="I789" s="1"/>
      <c r="J789" s="1"/>
      <c r="K789" s="1"/>
      <c r="L789" s="3"/>
      <c r="M789" s="3"/>
      <c r="N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203"/>
      <c r="D790" s="203"/>
      <c r="E790" s="203"/>
      <c r="F790" s="3"/>
      <c r="G790" s="3"/>
      <c r="H790" s="1"/>
      <c r="I790" s="1"/>
      <c r="J790" s="1"/>
      <c r="K790" s="1"/>
      <c r="L790" s="3"/>
      <c r="M790" s="3"/>
      <c r="N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203"/>
      <c r="D791" s="203"/>
      <c r="E791" s="203"/>
      <c r="F791" s="3"/>
      <c r="G791" s="3"/>
      <c r="H791" s="1"/>
      <c r="I791" s="1"/>
      <c r="J791" s="1"/>
      <c r="K791" s="1"/>
      <c r="L791" s="3"/>
      <c r="M791" s="3"/>
      <c r="N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203"/>
      <c r="D792" s="203"/>
      <c r="E792" s="203"/>
      <c r="F792" s="3"/>
      <c r="G792" s="3"/>
      <c r="H792" s="1"/>
      <c r="I792" s="1"/>
      <c r="J792" s="1"/>
      <c r="K792" s="1"/>
      <c r="L792" s="3"/>
      <c r="M792" s="3"/>
      <c r="N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203"/>
      <c r="D793" s="203"/>
      <c r="E793" s="203"/>
      <c r="F793" s="3"/>
      <c r="G793" s="3"/>
      <c r="H793" s="1"/>
      <c r="I793" s="1"/>
      <c r="J793" s="1"/>
      <c r="K793" s="1"/>
      <c r="L793" s="3"/>
      <c r="M793" s="3"/>
      <c r="N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203"/>
      <c r="D794" s="203"/>
      <c r="E794" s="203"/>
      <c r="F794" s="3"/>
      <c r="G794" s="3"/>
      <c r="H794" s="1"/>
      <c r="I794" s="1"/>
      <c r="J794" s="1"/>
      <c r="K794" s="1"/>
      <c r="L794" s="3"/>
      <c r="M794" s="3"/>
      <c r="N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203"/>
      <c r="D795" s="203"/>
      <c r="E795" s="203"/>
      <c r="F795" s="3"/>
      <c r="G795" s="3"/>
      <c r="H795" s="1"/>
      <c r="I795" s="1"/>
      <c r="J795" s="1"/>
      <c r="K795" s="1"/>
      <c r="L795" s="3"/>
      <c r="M795" s="3"/>
      <c r="N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203"/>
      <c r="D796" s="203"/>
      <c r="E796" s="203"/>
      <c r="F796" s="3"/>
      <c r="G796" s="3"/>
      <c r="H796" s="1"/>
      <c r="I796" s="1"/>
      <c r="J796" s="1"/>
      <c r="K796" s="1"/>
      <c r="L796" s="3"/>
      <c r="M796" s="3"/>
      <c r="N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203"/>
      <c r="D797" s="203"/>
      <c r="E797" s="203"/>
      <c r="F797" s="3"/>
      <c r="G797" s="3"/>
      <c r="H797" s="1"/>
      <c r="I797" s="1"/>
      <c r="J797" s="1"/>
      <c r="K797" s="1"/>
      <c r="L797" s="3"/>
      <c r="M797" s="3"/>
      <c r="N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203"/>
      <c r="D798" s="203"/>
      <c r="E798" s="203"/>
      <c r="F798" s="3"/>
      <c r="G798" s="3"/>
      <c r="H798" s="1"/>
      <c r="I798" s="1"/>
      <c r="J798" s="1"/>
      <c r="K798" s="1"/>
      <c r="L798" s="3"/>
      <c r="M798" s="3"/>
      <c r="N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203"/>
      <c r="D799" s="203"/>
      <c r="E799" s="203"/>
      <c r="F799" s="3"/>
      <c r="G799" s="3"/>
      <c r="H799" s="1"/>
      <c r="I799" s="1"/>
      <c r="J799" s="1"/>
      <c r="K799" s="1"/>
      <c r="L799" s="3"/>
      <c r="M799" s="3"/>
      <c r="N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203"/>
      <c r="D800" s="203"/>
      <c r="E800" s="203"/>
      <c r="F800" s="3"/>
      <c r="G800" s="3"/>
      <c r="H800" s="1"/>
      <c r="I800" s="1"/>
      <c r="J800" s="1"/>
      <c r="K800" s="1"/>
      <c r="L800" s="3"/>
      <c r="M800" s="3"/>
      <c r="N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203"/>
      <c r="D801" s="203"/>
      <c r="E801" s="203"/>
      <c r="F801" s="3"/>
      <c r="G801" s="3"/>
      <c r="H801" s="1"/>
      <c r="I801" s="1"/>
      <c r="J801" s="1"/>
      <c r="K801" s="1"/>
      <c r="L801" s="3"/>
      <c r="M801" s="3"/>
      <c r="N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203"/>
      <c r="D802" s="203"/>
      <c r="E802" s="203"/>
      <c r="F802" s="3"/>
      <c r="G802" s="3"/>
      <c r="H802" s="1"/>
      <c r="I802" s="1"/>
      <c r="J802" s="1"/>
      <c r="K802" s="1"/>
      <c r="L802" s="3"/>
      <c r="M802" s="3"/>
      <c r="N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203"/>
      <c r="D803" s="203"/>
      <c r="E803" s="203"/>
      <c r="F803" s="3"/>
      <c r="G803" s="3"/>
      <c r="H803" s="1"/>
      <c r="I803" s="1"/>
      <c r="J803" s="1"/>
      <c r="K803" s="1"/>
      <c r="L803" s="3"/>
      <c r="M803" s="3"/>
      <c r="N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203"/>
      <c r="D804" s="203"/>
      <c r="E804" s="203"/>
      <c r="F804" s="3"/>
      <c r="G804" s="3"/>
      <c r="H804" s="1"/>
      <c r="I804" s="1"/>
      <c r="J804" s="1"/>
      <c r="K804" s="1"/>
      <c r="L804" s="3"/>
      <c r="M804" s="3"/>
      <c r="N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203"/>
      <c r="D805" s="203"/>
      <c r="E805" s="203"/>
      <c r="F805" s="3"/>
      <c r="G805" s="3"/>
      <c r="H805" s="1"/>
      <c r="I805" s="1"/>
      <c r="J805" s="1"/>
      <c r="K805" s="1"/>
      <c r="L805" s="3"/>
      <c r="M805" s="3"/>
      <c r="N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203"/>
      <c r="D806" s="203"/>
      <c r="E806" s="203"/>
      <c r="F806" s="3"/>
      <c r="G806" s="3"/>
      <c r="H806" s="1"/>
      <c r="I806" s="1"/>
      <c r="J806" s="1"/>
      <c r="K806" s="1"/>
      <c r="L806" s="3"/>
      <c r="M806" s="3"/>
      <c r="N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203"/>
      <c r="D807" s="203"/>
      <c r="E807" s="203"/>
      <c r="F807" s="3"/>
      <c r="G807" s="3"/>
      <c r="H807" s="1"/>
      <c r="I807" s="1"/>
      <c r="J807" s="1"/>
      <c r="K807" s="1"/>
      <c r="L807" s="3"/>
      <c r="M807" s="3"/>
      <c r="N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203"/>
      <c r="D808" s="203"/>
      <c r="E808" s="203"/>
      <c r="F808" s="3"/>
      <c r="G808" s="3"/>
      <c r="H808" s="1"/>
      <c r="I808" s="1"/>
      <c r="J808" s="1"/>
      <c r="K808" s="1"/>
      <c r="L808" s="3"/>
      <c r="M808" s="3"/>
      <c r="N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203"/>
      <c r="D809" s="203"/>
      <c r="E809" s="203"/>
      <c r="F809" s="3"/>
      <c r="G809" s="3"/>
      <c r="H809" s="1"/>
      <c r="I809" s="1"/>
      <c r="J809" s="1"/>
      <c r="K809" s="1"/>
      <c r="L809" s="3"/>
      <c r="M809" s="3"/>
      <c r="N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203"/>
      <c r="D810" s="203"/>
      <c r="E810" s="203"/>
      <c r="F810" s="3"/>
      <c r="G810" s="3"/>
      <c r="H810" s="1"/>
      <c r="I810" s="1"/>
      <c r="J810" s="1"/>
      <c r="K810" s="1"/>
      <c r="L810" s="3"/>
      <c r="M810" s="3"/>
      <c r="N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203"/>
      <c r="D811" s="203"/>
      <c r="E811" s="203"/>
      <c r="F811" s="3"/>
      <c r="G811" s="3"/>
      <c r="H811" s="1"/>
      <c r="I811" s="1"/>
      <c r="J811" s="1"/>
      <c r="K811" s="1"/>
      <c r="L811" s="3"/>
      <c r="M811" s="3"/>
      <c r="N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203"/>
      <c r="D812" s="203"/>
      <c r="E812" s="203"/>
      <c r="F812" s="3"/>
      <c r="G812" s="3"/>
      <c r="H812" s="1"/>
      <c r="I812" s="1"/>
      <c r="J812" s="1"/>
      <c r="K812" s="1"/>
      <c r="L812" s="3"/>
      <c r="M812" s="3"/>
      <c r="N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203"/>
      <c r="D813" s="203"/>
      <c r="E813" s="203"/>
      <c r="F813" s="3"/>
      <c r="G813" s="3"/>
      <c r="H813" s="1"/>
      <c r="I813" s="1"/>
      <c r="J813" s="1"/>
      <c r="K813" s="1"/>
      <c r="L813" s="3"/>
      <c r="M813" s="3"/>
      <c r="N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203"/>
      <c r="D814" s="203"/>
      <c r="E814" s="203"/>
      <c r="F814" s="3"/>
      <c r="G814" s="3"/>
      <c r="H814" s="1"/>
      <c r="I814" s="1"/>
      <c r="J814" s="1"/>
      <c r="K814" s="1"/>
      <c r="L814" s="3"/>
      <c r="M814" s="3"/>
      <c r="N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203"/>
      <c r="D815" s="203"/>
      <c r="E815" s="203"/>
      <c r="F815" s="3"/>
      <c r="G815" s="3"/>
      <c r="H815" s="1"/>
      <c r="I815" s="1"/>
      <c r="J815" s="1"/>
      <c r="K815" s="1"/>
      <c r="L815" s="3"/>
      <c r="M815" s="3"/>
      <c r="N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203"/>
      <c r="D816" s="203"/>
      <c r="E816" s="203"/>
      <c r="F816" s="3"/>
      <c r="G816" s="3"/>
      <c r="H816" s="1"/>
      <c r="I816" s="1"/>
      <c r="J816" s="1"/>
      <c r="K816" s="1"/>
      <c r="L816" s="3"/>
      <c r="M816" s="3"/>
      <c r="N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203"/>
      <c r="D817" s="203"/>
      <c r="E817" s="203"/>
      <c r="F817" s="3"/>
      <c r="G817" s="3"/>
      <c r="H817" s="1"/>
      <c r="I817" s="1"/>
      <c r="J817" s="1"/>
      <c r="K817" s="1"/>
      <c r="L817" s="3"/>
      <c r="M817" s="3"/>
      <c r="N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203"/>
      <c r="D818" s="203"/>
      <c r="E818" s="203"/>
      <c r="F818" s="3"/>
      <c r="G818" s="3"/>
      <c r="H818" s="1"/>
      <c r="I818" s="1"/>
      <c r="J818" s="1"/>
      <c r="K818" s="1"/>
      <c r="L818" s="3"/>
      <c r="M818" s="3"/>
      <c r="N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203"/>
      <c r="D819" s="203"/>
      <c r="E819" s="203"/>
      <c r="F819" s="3"/>
      <c r="G819" s="3"/>
      <c r="H819" s="1"/>
      <c r="I819" s="1"/>
      <c r="J819" s="1"/>
      <c r="K819" s="1"/>
      <c r="L819" s="3"/>
      <c r="M819" s="3"/>
      <c r="N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203"/>
      <c r="D820" s="203"/>
      <c r="E820" s="203"/>
      <c r="F820" s="3"/>
      <c r="G820" s="3"/>
      <c r="H820" s="1"/>
      <c r="I820" s="1"/>
      <c r="J820" s="1"/>
      <c r="K820" s="1"/>
      <c r="L820" s="3"/>
      <c r="M820" s="3"/>
      <c r="N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203"/>
      <c r="D821" s="203"/>
      <c r="E821" s="203"/>
      <c r="F821" s="3"/>
      <c r="G821" s="3"/>
      <c r="H821" s="1"/>
      <c r="I821" s="1"/>
      <c r="J821" s="1"/>
      <c r="K821" s="1"/>
      <c r="L821" s="3"/>
      <c r="M821" s="3"/>
      <c r="N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203"/>
      <c r="D822" s="203"/>
      <c r="E822" s="203"/>
      <c r="F822" s="3"/>
      <c r="G822" s="3"/>
      <c r="H822" s="1"/>
      <c r="I822" s="1"/>
      <c r="J822" s="1"/>
      <c r="K822" s="1"/>
      <c r="L822" s="3"/>
      <c r="M822" s="3"/>
      <c r="N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203"/>
      <c r="D823" s="203"/>
      <c r="E823" s="203"/>
      <c r="F823" s="3"/>
      <c r="G823" s="3"/>
      <c r="H823" s="1"/>
      <c r="I823" s="1"/>
      <c r="J823" s="1"/>
      <c r="K823" s="1"/>
      <c r="L823" s="3"/>
      <c r="M823" s="3"/>
      <c r="N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203"/>
      <c r="D824" s="203"/>
      <c r="E824" s="203"/>
      <c r="F824" s="3"/>
      <c r="G824" s="3"/>
      <c r="H824" s="1"/>
      <c r="I824" s="1"/>
      <c r="J824" s="1"/>
      <c r="K824" s="1"/>
      <c r="L824" s="3"/>
      <c r="M824" s="3"/>
      <c r="N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203"/>
      <c r="D825" s="203"/>
      <c r="E825" s="203"/>
      <c r="F825" s="3"/>
      <c r="G825" s="3"/>
      <c r="H825" s="1"/>
      <c r="I825" s="1"/>
      <c r="J825" s="1"/>
      <c r="K825" s="1"/>
      <c r="L825" s="3"/>
      <c r="M825" s="3"/>
      <c r="N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203"/>
      <c r="D826" s="203"/>
      <c r="E826" s="203"/>
      <c r="F826" s="3"/>
      <c r="G826" s="3"/>
      <c r="H826" s="1"/>
      <c r="I826" s="1"/>
      <c r="J826" s="1"/>
      <c r="K826" s="1"/>
      <c r="L826" s="3"/>
      <c r="M826" s="3"/>
      <c r="N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203"/>
      <c r="D827" s="203"/>
      <c r="E827" s="203"/>
      <c r="F827" s="3"/>
      <c r="G827" s="3"/>
      <c r="H827" s="1"/>
      <c r="I827" s="1"/>
      <c r="J827" s="1"/>
      <c r="K827" s="1"/>
      <c r="L827" s="3"/>
      <c r="M827" s="3"/>
      <c r="N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203"/>
      <c r="D828" s="203"/>
      <c r="E828" s="203"/>
      <c r="F828" s="3"/>
      <c r="G828" s="3"/>
      <c r="H828" s="1"/>
      <c r="I828" s="1"/>
      <c r="J828" s="1"/>
      <c r="K828" s="1"/>
      <c r="L828" s="3"/>
      <c r="M828" s="3"/>
      <c r="N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203"/>
      <c r="D829" s="203"/>
      <c r="E829" s="203"/>
      <c r="F829" s="3"/>
      <c r="G829" s="3"/>
      <c r="H829" s="1"/>
      <c r="I829" s="1"/>
      <c r="J829" s="1"/>
      <c r="K829" s="1"/>
      <c r="L829" s="3"/>
      <c r="M829" s="3"/>
      <c r="N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203"/>
      <c r="D830" s="203"/>
      <c r="E830" s="203"/>
      <c r="F830" s="3"/>
      <c r="G830" s="3"/>
      <c r="H830" s="1"/>
      <c r="I830" s="1"/>
      <c r="J830" s="1"/>
      <c r="K830" s="1"/>
      <c r="L830" s="3"/>
      <c r="M830" s="3"/>
      <c r="N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203"/>
      <c r="D831" s="203"/>
      <c r="E831" s="203"/>
      <c r="F831" s="3"/>
      <c r="G831" s="3"/>
      <c r="H831" s="1"/>
      <c r="I831" s="1"/>
      <c r="J831" s="1"/>
      <c r="K831" s="1"/>
      <c r="L831" s="3"/>
      <c r="M831" s="3"/>
      <c r="N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203"/>
      <c r="D832" s="203"/>
      <c r="E832" s="203"/>
      <c r="F832" s="3"/>
      <c r="G832" s="3"/>
      <c r="H832" s="1"/>
      <c r="I832" s="1"/>
      <c r="J832" s="1"/>
      <c r="K832" s="1"/>
      <c r="L832" s="3"/>
      <c r="M832" s="3"/>
      <c r="N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203"/>
      <c r="D833" s="203"/>
      <c r="E833" s="203"/>
      <c r="F833" s="3"/>
      <c r="G833" s="3"/>
      <c r="H833" s="1"/>
      <c r="I833" s="1"/>
      <c r="J833" s="1"/>
      <c r="K833" s="1"/>
      <c r="L833" s="3"/>
      <c r="M833" s="3"/>
      <c r="N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203"/>
      <c r="D834" s="203"/>
      <c r="E834" s="203"/>
      <c r="F834" s="3"/>
      <c r="G834" s="3"/>
      <c r="H834" s="1"/>
      <c r="I834" s="1"/>
      <c r="J834" s="1"/>
      <c r="K834" s="1"/>
      <c r="L834" s="3"/>
      <c r="M834" s="3"/>
      <c r="N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203"/>
      <c r="D835" s="203"/>
      <c r="E835" s="203"/>
      <c r="F835" s="3"/>
      <c r="G835" s="3"/>
      <c r="H835" s="1"/>
      <c r="I835" s="1"/>
      <c r="J835" s="1"/>
      <c r="K835" s="1"/>
      <c r="L835" s="3"/>
      <c r="M835" s="3"/>
      <c r="N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203"/>
      <c r="D836" s="203"/>
      <c r="E836" s="203"/>
      <c r="F836" s="3"/>
      <c r="G836" s="3"/>
      <c r="H836" s="1"/>
      <c r="I836" s="1"/>
      <c r="J836" s="1"/>
      <c r="K836" s="1"/>
      <c r="L836" s="3"/>
      <c r="M836" s="3"/>
      <c r="N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203"/>
      <c r="D837" s="203"/>
      <c r="E837" s="203"/>
      <c r="F837" s="3"/>
      <c r="G837" s="3"/>
      <c r="H837" s="1"/>
      <c r="I837" s="1"/>
      <c r="J837" s="1"/>
      <c r="K837" s="1"/>
      <c r="L837" s="3"/>
      <c r="M837" s="3"/>
      <c r="N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203"/>
      <c r="D838" s="203"/>
      <c r="E838" s="203"/>
      <c r="F838" s="3"/>
      <c r="G838" s="3"/>
      <c r="H838" s="1"/>
      <c r="I838" s="1"/>
      <c r="J838" s="1"/>
      <c r="K838" s="1"/>
      <c r="L838" s="3"/>
      <c r="M838" s="3"/>
      <c r="N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203"/>
      <c r="D839" s="203"/>
      <c r="E839" s="203"/>
      <c r="F839" s="3"/>
      <c r="G839" s="3"/>
      <c r="H839" s="1"/>
      <c r="I839" s="1"/>
      <c r="J839" s="1"/>
      <c r="K839" s="1"/>
      <c r="L839" s="3"/>
      <c r="M839" s="3"/>
      <c r="N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203"/>
      <c r="D840" s="203"/>
      <c r="E840" s="203"/>
      <c r="F840" s="3"/>
      <c r="G840" s="3"/>
      <c r="H840" s="1"/>
      <c r="I840" s="1"/>
      <c r="J840" s="1"/>
      <c r="K840" s="1"/>
      <c r="L840" s="3"/>
      <c r="M840" s="3"/>
      <c r="N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203"/>
      <c r="D841" s="203"/>
      <c r="E841" s="203"/>
      <c r="F841" s="3"/>
      <c r="G841" s="3"/>
      <c r="H841" s="1"/>
      <c r="I841" s="1"/>
      <c r="J841" s="1"/>
      <c r="K841" s="1"/>
      <c r="L841" s="3"/>
      <c r="M841" s="3"/>
      <c r="N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203"/>
      <c r="D842" s="203"/>
      <c r="E842" s="203"/>
      <c r="F842" s="3"/>
      <c r="G842" s="3"/>
      <c r="H842" s="1"/>
      <c r="I842" s="1"/>
      <c r="J842" s="1"/>
      <c r="K842" s="1"/>
      <c r="L842" s="3"/>
      <c r="M842" s="3"/>
      <c r="N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203"/>
      <c r="D843" s="203"/>
      <c r="E843" s="203"/>
      <c r="F843" s="3"/>
      <c r="G843" s="3"/>
      <c r="H843" s="1"/>
      <c r="I843" s="1"/>
      <c r="J843" s="1"/>
      <c r="K843" s="1"/>
      <c r="L843" s="3"/>
      <c r="M843" s="3"/>
      <c r="N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203"/>
      <c r="D844" s="203"/>
      <c r="E844" s="203"/>
      <c r="F844" s="3"/>
      <c r="G844" s="3"/>
      <c r="H844" s="1"/>
      <c r="I844" s="1"/>
      <c r="J844" s="1"/>
      <c r="K844" s="1"/>
      <c r="L844" s="3"/>
      <c r="M844" s="3"/>
      <c r="N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203"/>
      <c r="D845" s="203"/>
      <c r="E845" s="203"/>
      <c r="F845" s="3"/>
      <c r="G845" s="3"/>
      <c r="H845" s="1"/>
      <c r="I845" s="1"/>
      <c r="J845" s="1"/>
      <c r="K845" s="1"/>
      <c r="L845" s="3"/>
      <c r="M845" s="3"/>
      <c r="N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203"/>
      <c r="D846" s="203"/>
      <c r="E846" s="203"/>
      <c r="F846" s="3"/>
      <c r="G846" s="3"/>
      <c r="H846" s="1"/>
      <c r="I846" s="1"/>
      <c r="J846" s="1"/>
      <c r="K846" s="1"/>
      <c r="L846" s="3"/>
      <c r="M846" s="3"/>
      <c r="N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203"/>
      <c r="D847" s="203"/>
      <c r="E847" s="203"/>
      <c r="F847" s="3"/>
      <c r="G847" s="3"/>
      <c r="H847" s="1"/>
      <c r="I847" s="1"/>
      <c r="J847" s="1"/>
      <c r="K847" s="1"/>
      <c r="L847" s="3"/>
      <c r="M847" s="3"/>
      <c r="N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203"/>
      <c r="D848" s="203"/>
      <c r="E848" s="203"/>
      <c r="F848" s="3"/>
      <c r="G848" s="3"/>
      <c r="H848" s="1"/>
      <c r="I848" s="1"/>
      <c r="J848" s="1"/>
      <c r="K848" s="1"/>
      <c r="L848" s="3"/>
      <c r="M848" s="3"/>
      <c r="N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203"/>
      <c r="D849" s="203"/>
      <c r="E849" s="203"/>
      <c r="F849" s="3"/>
      <c r="G849" s="3"/>
      <c r="H849" s="1"/>
      <c r="I849" s="1"/>
      <c r="J849" s="1"/>
      <c r="K849" s="1"/>
      <c r="L849" s="3"/>
      <c r="M849" s="3"/>
      <c r="N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203"/>
      <c r="D850" s="203"/>
      <c r="E850" s="203"/>
      <c r="F850" s="3"/>
      <c r="G850" s="3"/>
      <c r="H850" s="1"/>
      <c r="I850" s="1"/>
      <c r="J850" s="1"/>
      <c r="K850" s="1"/>
      <c r="L850" s="3"/>
      <c r="M850" s="3"/>
      <c r="N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203"/>
      <c r="D851" s="203"/>
      <c r="E851" s="203"/>
      <c r="F851" s="3"/>
      <c r="G851" s="3"/>
      <c r="H851" s="1"/>
      <c r="I851" s="1"/>
      <c r="J851" s="1"/>
      <c r="K851" s="1"/>
      <c r="L851" s="3"/>
      <c r="M851" s="3"/>
      <c r="N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203"/>
      <c r="D852" s="203"/>
      <c r="E852" s="203"/>
      <c r="F852" s="3"/>
      <c r="G852" s="3"/>
      <c r="H852" s="1"/>
      <c r="I852" s="1"/>
      <c r="J852" s="1"/>
      <c r="K852" s="1"/>
      <c r="L852" s="3"/>
      <c r="M852" s="3"/>
      <c r="N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203"/>
      <c r="D853" s="203"/>
      <c r="E853" s="203"/>
      <c r="F853" s="3"/>
      <c r="G853" s="3"/>
      <c r="H853" s="1"/>
      <c r="I853" s="1"/>
      <c r="J853" s="1"/>
      <c r="K853" s="1"/>
      <c r="L853" s="3"/>
      <c r="M853" s="3"/>
      <c r="N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203"/>
      <c r="D854" s="203"/>
      <c r="E854" s="203"/>
      <c r="F854" s="3"/>
      <c r="G854" s="3"/>
      <c r="H854" s="1"/>
      <c r="I854" s="1"/>
      <c r="J854" s="1"/>
      <c r="K854" s="1"/>
      <c r="L854" s="3"/>
      <c r="M854" s="3"/>
      <c r="N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203"/>
      <c r="D855" s="203"/>
      <c r="E855" s="203"/>
      <c r="F855" s="3"/>
      <c r="G855" s="3"/>
      <c r="H855" s="1"/>
      <c r="I855" s="1"/>
      <c r="J855" s="1"/>
      <c r="K855" s="1"/>
      <c r="L855" s="3"/>
      <c r="M855" s="3"/>
      <c r="N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203"/>
      <c r="D856" s="203"/>
      <c r="E856" s="203"/>
      <c r="F856" s="3"/>
      <c r="G856" s="3"/>
      <c r="H856" s="1"/>
      <c r="I856" s="1"/>
      <c r="J856" s="1"/>
      <c r="K856" s="1"/>
      <c r="L856" s="3"/>
      <c r="M856" s="3"/>
      <c r="N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203"/>
      <c r="D857" s="203"/>
      <c r="E857" s="203"/>
      <c r="F857" s="3"/>
      <c r="G857" s="3"/>
      <c r="H857" s="1"/>
      <c r="I857" s="1"/>
      <c r="J857" s="1"/>
      <c r="K857" s="1"/>
      <c r="L857" s="3"/>
      <c r="M857" s="3"/>
      <c r="N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203"/>
      <c r="D858" s="203"/>
      <c r="E858" s="203"/>
      <c r="F858" s="3"/>
      <c r="G858" s="3"/>
      <c r="H858" s="1"/>
      <c r="I858" s="1"/>
      <c r="J858" s="1"/>
      <c r="K858" s="1"/>
      <c r="L858" s="3"/>
      <c r="M858" s="3"/>
      <c r="N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203"/>
      <c r="D859" s="203"/>
      <c r="E859" s="203"/>
      <c r="F859" s="3"/>
      <c r="G859" s="3"/>
      <c r="H859" s="1"/>
      <c r="I859" s="1"/>
      <c r="J859" s="1"/>
      <c r="K859" s="1"/>
      <c r="L859" s="3"/>
      <c r="M859" s="3"/>
      <c r="N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203"/>
      <c r="D860" s="203"/>
      <c r="E860" s="203"/>
      <c r="F860" s="3"/>
      <c r="G860" s="3"/>
      <c r="H860" s="1"/>
      <c r="I860" s="1"/>
      <c r="J860" s="1"/>
      <c r="K860" s="1"/>
      <c r="L860" s="3"/>
      <c r="M860" s="3"/>
      <c r="N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203"/>
      <c r="D861" s="203"/>
      <c r="E861" s="203"/>
      <c r="F861" s="3"/>
      <c r="G861" s="3"/>
      <c r="H861" s="1"/>
      <c r="I861" s="1"/>
      <c r="J861" s="1"/>
      <c r="K861" s="1"/>
      <c r="L861" s="3"/>
      <c r="M861" s="3"/>
      <c r="N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203"/>
      <c r="D862" s="203"/>
      <c r="E862" s="203"/>
      <c r="F862" s="3"/>
      <c r="G862" s="3"/>
      <c r="H862" s="1"/>
      <c r="I862" s="1"/>
      <c r="J862" s="1"/>
      <c r="K862" s="1"/>
      <c r="L862" s="3"/>
      <c r="M862" s="3"/>
      <c r="N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203"/>
      <c r="D863" s="203"/>
      <c r="E863" s="203"/>
      <c r="F863" s="3"/>
      <c r="G863" s="3"/>
      <c r="H863" s="1"/>
      <c r="I863" s="1"/>
      <c r="J863" s="1"/>
      <c r="K863" s="1"/>
      <c r="L863" s="3"/>
      <c r="M863" s="3"/>
      <c r="N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203"/>
      <c r="D864" s="203"/>
      <c r="E864" s="203"/>
      <c r="F864" s="3"/>
      <c r="G864" s="3"/>
      <c r="H864" s="1"/>
      <c r="I864" s="1"/>
      <c r="J864" s="1"/>
      <c r="K864" s="1"/>
      <c r="L864" s="3"/>
      <c r="M864" s="3"/>
      <c r="N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203"/>
      <c r="D865" s="203"/>
      <c r="E865" s="203"/>
      <c r="F865" s="3"/>
      <c r="G865" s="3"/>
      <c r="H865" s="1"/>
      <c r="I865" s="1"/>
      <c r="J865" s="1"/>
      <c r="K865" s="1"/>
      <c r="L865" s="3"/>
      <c r="M865" s="3"/>
      <c r="N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203"/>
      <c r="D866" s="203"/>
      <c r="E866" s="203"/>
      <c r="F866" s="3"/>
      <c r="G866" s="3"/>
      <c r="H866" s="1"/>
      <c r="I866" s="1"/>
      <c r="J866" s="1"/>
      <c r="K866" s="1"/>
      <c r="L866" s="3"/>
      <c r="M866" s="3"/>
      <c r="N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203"/>
      <c r="D867" s="203"/>
      <c r="E867" s="203"/>
      <c r="F867" s="3"/>
      <c r="G867" s="3"/>
      <c r="H867" s="1"/>
      <c r="I867" s="1"/>
      <c r="J867" s="1"/>
      <c r="K867" s="1"/>
      <c r="L867" s="3"/>
      <c r="M867" s="3"/>
      <c r="N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203"/>
      <c r="D868" s="203"/>
      <c r="E868" s="203"/>
      <c r="F868" s="3"/>
      <c r="G868" s="3"/>
      <c r="H868" s="1"/>
      <c r="I868" s="1"/>
      <c r="J868" s="1"/>
      <c r="K868" s="1"/>
      <c r="L868" s="3"/>
      <c r="M868" s="3"/>
      <c r="N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203"/>
      <c r="D869" s="203"/>
      <c r="E869" s="203"/>
      <c r="F869" s="3"/>
      <c r="G869" s="3"/>
      <c r="H869" s="1"/>
      <c r="I869" s="1"/>
      <c r="J869" s="1"/>
      <c r="K869" s="1"/>
      <c r="L869" s="3"/>
      <c r="M869" s="3"/>
      <c r="N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203"/>
      <c r="D870" s="203"/>
      <c r="E870" s="203"/>
      <c r="F870" s="3"/>
      <c r="G870" s="3"/>
      <c r="H870" s="1"/>
      <c r="I870" s="1"/>
      <c r="J870" s="1"/>
      <c r="K870" s="1"/>
      <c r="L870" s="3"/>
      <c r="M870" s="3"/>
      <c r="N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203"/>
      <c r="D871" s="203"/>
      <c r="E871" s="203"/>
      <c r="F871" s="3"/>
      <c r="G871" s="3"/>
      <c r="H871" s="1"/>
      <c r="I871" s="1"/>
      <c r="J871" s="1"/>
      <c r="K871" s="1"/>
      <c r="L871" s="3"/>
      <c r="M871" s="3"/>
      <c r="N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203"/>
      <c r="D872" s="203"/>
      <c r="E872" s="203"/>
      <c r="F872" s="3"/>
      <c r="G872" s="3"/>
      <c r="H872" s="1"/>
      <c r="I872" s="1"/>
      <c r="J872" s="1"/>
      <c r="K872" s="1"/>
      <c r="L872" s="3"/>
      <c r="M872" s="3"/>
      <c r="N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203"/>
      <c r="D873" s="203"/>
      <c r="E873" s="203"/>
      <c r="F873" s="3"/>
      <c r="G873" s="3"/>
      <c r="H873" s="1"/>
      <c r="I873" s="1"/>
      <c r="J873" s="1"/>
      <c r="K873" s="1"/>
      <c r="L873" s="3"/>
      <c r="M873" s="3"/>
      <c r="N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203"/>
      <c r="D874" s="203"/>
      <c r="E874" s="203"/>
      <c r="F874" s="3"/>
      <c r="G874" s="3"/>
      <c r="H874" s="1"/>
      <c r="I874" s="1"/>
      <c r="J874" s="1"/>
      <c r="K874" s="1"/>
      <c r="L874" s="3"/>
      <c r="M874" s="3"/>
      <c r="N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203"/>
      <c r="D875" s="203"/>
      <c r="E875" s="203"/>
      <c r="F875" s="3"/>
      <c r="G875" s="3"/>
      <c r="H875" s="1"/>
      <c r="I875" s="1"/>
      <c r="J875" s="1"/>
      <c r="K875" s="1"/>
      <c r="L875" s="3"/>
      <c r="M875" s="3"/>
      <c r="N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203"/>
      <c r="D876" s="203"/>
      <c r="E876" s="203"/>
      <c r="F876" s="3"/>
      <c r="G876" s="3"/>
      <c r="H876" s="1"/>
      <c r="I876" s="1"/>
      <c r="J876" s="1"/>
      <c r="K876" s="1"/>
      <c r="L876" s="3"/>
      <c r="M876" s="3"/>
      <c r="N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203"/>
      <c r="D877" s="203"/>
      <c r="E877" s="203"/>
      <c r="F877" s="3"/>
      <c r="G877" s="3"/>
      <c r="H877" s="1"/>
      <c r="I877" s="1"/>
      <c r="J877" s="1"/>
      <c r="K877" s="1"/>
      <c r="L877" s="3"/>
      <c r="M877" s="3"/>
      <c r="N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203"/>
      <c r="D878" s="203"/>
      <c r="E878" s="203"/>
      <c r="F878" s="3"/>
      <c r="G878" s="3"/>
      <c r="H878" s="1"/>
      <c r="I878" s="1"/>
      <c r="J878" s="1"/>
      <c r="K878" s="1"/>
      <c r="L878" s="3"/>
      <c r="M878" s="3"/>
      <c r="N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203"/>
      <c r="D879" s="203"/>
      <c r="E879" s="203"/>
      <c r="F879" s="3"/>
      <c r="G879" s="3"/>
      <c r="H879" s="1"/>
      <c r="I879" s="1"/>
      <c r="J879" s="1"/>
      <c r="K879" s="1"/>
      <c r="L879" s="3"/>
      <c r="M879" s="3"/>
      <c r="N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203"/>
      <c r="D880" s="203"/>
      <c r="E880" s="203"/>
      <c r="F880" s="3"/>
      <c r="G880" s="3"/>
      <c r="H880" s="1"/>
      <c r="I880" s="1"/>
      <c r="J880" s="1"/>
      <c r="K880" s="1"/>
      <c r="L880" s="3"/>
      <c r="M880" s="3"/>
      <c r="N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203"/>
      <c r="D881" s="203"/>
      <c r="E881" s="203"/>
      <c r="F881" s="3"/>
      <c r="G881" s="3"/>
      <c r="H881" s="1"/>
      <c r="I881" s="1"/>
      <c r="J881" s="1"/>
      <c r="K881" s="1"/>
      <c r="L881" s="3"/>
      <c r="M881" s="3"/>
      <c r="N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203"/>
      <c r="D882" s="203"/>
      <c r="E882" s="203"/>
      <c r="F882" s="3"/>
      <c r="G882" s="3"/>
      <c r="H882" s="1"/>
      <c r="I882" s="1"/>
      <c r="J882" s="1"/>
      <c r="K882" s="1"/>
      <c r="L882" s="3"/>
      <c r="M882" s="3"/>
      <c r="N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203"/>
      <c r="D883" s="203"/>
      <c r="E883" s="203"/>
      <c r="F883" s="3"/>
      <c r="G883" s="3"/>
      <c r="H883" s="1"/>
      <c r="I883" s="1"/>
      <c r="J883" s="1"/>
      <c r="K883" s="1"/>
      <c r="L883" s="3"/>
      <c r="M883" s="3"/>
      <c r="N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203"/>
      <c r="D884" s="203"/>
      <c r="E884" s="203"/>
      <c r="F884" s="3"/>
      <c r="G884" s="3"/>
      <c r="H884" s="1"/>
      <c r="I884" s="1"/>
      <c r="J884" s="1"/>
      <c r="K884" s="1"/>
      <c r="L884" s="3"/>
      <c r="M884" s="3"/>
      <c r="N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203"/>
      <c r="D885" s="203"/>
      <c r="E885" s="203"/>
      <c r="F885" s="3"/>
      <c r="G885" s="3"/>
      <c r="H885" s="1"/>
      <c r="I885" s="1"/>
      <c r="J885" s="1"/>
      <c r="K885" s="1"/>
      <c r="L885" s="3"/>
      <c r="M885" s="3"/>
      <c r="N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203"/>
      <c r="D886" s="203"/>
      <c r="E886" s="203"/>
      <c r="F886" s="3"/>
      <c r="G886" s="3"/>
      <c r="H886" s="1"/>
      <c r="I886" s="1"/>
      <c r="J886" s="1"/>
      <c r="K886" s="1"/>
      <c r="L886" s="3"/>
      <c r="M886" s="3"/>
      <c r="N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203"/>
      <c r="D887" s="203"/>
      <c r="E887" s="203"/>
      <c r="F887" s="3"/>
      <c r="G887" s="3"/>
      <c r="H887" s="1"/>
      <c r="I887" s="1"/>
      <c r="J887" s="1"/>
      <c r="K887" s="1"/>
      <c r="L887" s="3"/>
      <c r="M887" s="3"/>
      <c r="N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203"/>
      <c r="D888" s="203"/>
      <c r="E888" s="203"/>
      <c r="F888" s="3"/>
      <c r="G888" s="3"/>
      <c r="H888" s="1"/>
      <c r="I888" s="1"/>
      <c r="J888" s="1"/>
      <c r="K888" s="1"/>
      <c r="L888" s="3"/>
      <c r="M888" s="3"/>
      <c r="N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203"/>
      <c r="D889" s="203"/>
      <c r="E889" s="203"/>
      <c r="F889" s="3"/>
      <c r="G889" s="3"/>
      <c r="H889" s="1"/>
      <c r="I889" s="1"/>
      <c r="J889" s="1"/>
      <c r="K889" s="1"/>
      <c r="L889" s="3"/>
      <c r="M889" s="3"/>
      <c r="N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203"/>
      <c r="D890" s="203"/>
      <c r="E890" s="203"/>
      <c r="F890" s="3"/>
      <c r="G890" s="3"/>
      <c r="H890" s="1"/>
      <c r="I890" s="1"/>
      <c r="J890" s="1"/>
      <c r="K890" s="1"/>
      <c r="L890" s="3"/>
      <c r="M890" s="3"/>
      <c r="N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203"/>
      <c r="D891" s="203"/>
      <c r="E891" s="203"/>
      <c r="F891" s="3"/>
      <c r="G891" s="3"/>
      <c r="H891" s="1"/>
      <c r="I891" s="1"/>
      <c r="J891" s="1"/>
      <c r="K891" s="1"/>
      <c r="L891" s="3"/>
      <c r="M891" s="3"/>
      <c r="N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203"/>
      <c r="D892" s="203"/>
      <c r="E892" s="203"/>
      <c r="F892" s="3"/>
      <c r="G892" s="3"/>
      <c r="H892" s="1"/>
      <c r="I892" s="1"/>
      <c r="J892" s="1"/>
      <c r="K892" s="1"/>
      <c r="L892" s="3"/>
      <c r="M892" s="3"/>
      <c r="N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203"/>
      <c r="D893" s="203"/>
      <c r="E893" s="203"/>
      <c r="F893" s="3"/>
      <c r="G893" s="3"/>
      <c r="H893" s="1"/>
      <c r="I893" s="1"/>
      <c r="J893" s="1"/>
      <c r="K893" s="1"/>
      <c r="L893" s="3"/>
      <c r="M893" s="3"/>
      <c r="N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203"/>
      <c r="D894" s="203"/>
      <c r="E894" s="203"/>
      <c r="F894" s="3"/>
      <c r="G894" s="3"/>
      <c r="H894" s="1"/>
      <c r="I894" s="1"/>
      <c r="J894" s="1"/>
      <c r="K894" s="1"/>
      <c r="L894" s="3"/>
      <c r="M894" s="3"/>
      <c r="N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203"/>
      <c r="D895" s="203"/>
      <c r="E895" s="203"/>
      <c r="F895" s="3"/>
      <c r="G895" s="3"/>
      <c r="H895" s="1"/>
      <c r="I895" s="1"/>
      <c r="J895" s="1"/>
      <c r="K895" s="1"/>
      <c r="L895" s="3"/>
      <c r="M895" s="3"/>
      <c r="N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203"/>
      <c r="D896" s="203"/>
      <c r="E896" s="203"/>
      <c r="F896" s="3"/>
      <c r="G896" s="3"/>
      <c r="H896" s="1"/>
      <c r="I896" s="1"/>
      <c r="J896" s="1"/>
      <c r="K896" s="1"/>
      <c r="L896" s="3"/>
      <c r="M896" s="3"/>
      <c r="N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203"/>
      <c r="D897" s="203"/>
      <c r="E897" s="203"/>
      <c r="F897" s="3"/>
      <c r="G897" s="3"/>
      <c r="H897" s="1"/>
      <c r="I897" s="1"/>
      <c r="J897" s="1"/>
      <c r="K897" s="1"/>
      <c r="L897" s="3"/>
      <c r="M897" s="3"/>
      <c r="N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203"/>
      <c r="D898" s="203"/>
      <c r="E898" s="203"/>
      <c r="F898" s="3"/>
      <c r="G898" s="3"/>
      <c r="H898" s="1"/>
      <c r="I898" s="1"/>
      <c r="J898" s="1"/>
      <c r="K898" s="1"/>
      <c r="L898" s="3"/>
      <c r="M898" s="3"/>
      <c r="N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203"/>
      <c r="D899" s="203"/>
      <c r="E899" s="203"/>
      <c r="F899" s="3"/>
      <c r="G899" s="3"/>
      <c r="H899" s="1"/>
      <c r="I899" s="1"/>
      <c r="J899" s="1"/>
      <c r="K899" s="1"/>
      <c r="L899" s="3"/>
      <c r="M899" s="3"/>
      <c r="N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203"/>
      <c r="D900" s="203"/>
      <c r="E900" s="203"/>
      <c r="F900" s="3"/>
      <c r="G900" s="3"/>
      <c r="H900" s="1"/>
      <c r="I900" s="1"/>
      <c r="J900" s="1"/>
      <c r="K900" s="1"/>
      <c r="L900" s="3"/>
      <c r="M900" s="3"/>
      <c r="N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203"/>
      <c r="D901" s="203"/>
      <c r="E901" s="203"/>
      <c r="F901" s="3"/>
      <c r="G901" s="3"/>
      <c r="H901" s="1"/>
      <c r="I901" s="1"/>
      <c r="J901" s="1"/>
      <c r="K901" s="1"/>
      <c r="L901" s="3"/>
      <c r="M901" s="3"/>
      <c r="N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203"/>
      <c r="D902" s="203"/>
      <c r="E902" s="203"/>
      <c r="F902" s="3"/>
      <c r="G902" s="3"/>
      <c r="H902" s="1"/>
      <c r="I902" s="1"/>
      <c r="J902" s="1"/>
      <c r="K902" s="1"/>
      <c r="L902" s="3"/>
      <c r="M902" s="3"/>
      <c r="N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203"/>
      <c r="D903" s="203"/>
      <c r="E903" s="203"/>
      <c r="F903" s="3"/>
      <c r="G903" s="3"/>
      <c r="H903" s="1"/>
      <c r="I903" s="1"/>
      <c r="J903" s="1"/>
      <c r="K903" s="1"/>
      <c r="L903" s="3"/>
      <c r="M903" s="3"/>
      <c r="N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203"/>
      <c r="D904" s="203"/>
      <c r="E904" s="203"/>
      <c r="F904" s="3"/>
      <c r="G904" s="3"/>
      <c r="H904" s="1"/>
      <c r="I904" s="1"/>
      <c r="J904" s="1"/>
      <c r="K904" s="1"/>
      <c r="L904" s="3"/>
      <c r="M904" s="3"/>
      <c r="N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203"/>
      <c r="D905" s="203"/>
      <c r="E905" s="203"/>
      <c r="F905" s="3"/>
      <c r="G905" s="3"/>
      <c r="H905" s="1"/>
      <c r="I905" s="1"/>
      <c r="J905" s="1"/>
      <c r="K905" s="1"/>
      <c r="L905" s="3"/>
      <c r="M905" s="3"/>
      <c r="N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203"/>
      <c r="D906" s="203"/>
      <c r="E906" s="203"/>
      <c r="F906" s="3"/>
      <c r="G906" s="3"/>
      <c r="H906" s="1"/>
      <c r="I906" s="1"/>
      <c r="J906" s="1"/>
      <c r="K906" s="1"/>
      <c r="L906" s="3"/>
      <c r="M906" s="3"/>
      <c r="N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203"/>
      <c r="D907" s="203"/>
      <c r="E907" s="203"/>
      <c r="F907" s="3"/>
      <c r="G907" s="3"/>
      <c r="H907" s="1"/>
      <c r="I907" s="1"/>
      <c r="J907" s="1"/>
      <c r="K907" s="1"/>
      <c r="L907" s="3"/>
      <c r="M907" s="3"/>
      <c r="N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203"/>
      <c r="D908" s="203"/>
      <c r="E908" s="203"/>
      <c r="F908" s="3"/>
      <c r="G908" s="3"/>
      <c r="H908" s="1"/>
      <c r="I908" s="1"/>
      <c r="J908" s="1"/>
      <c r="K908" s="1"/>
      <c r="L908" s="3"/>
      <c r="M908" s="3"/>
      <c r="N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203"/>
      <c r="D909" s="203"/>
      <c r="E909" s="203"/>
      <c r="F909" s="3"/>
      <c r="G909" s="3"/>
      <c r="H909" s="1"/>
      <c r="I909" s="1"/>
      <c r="J909" s="1"/>
      <c r="K909" s="1"/>
      <c r="L909" s="3"/>
      <c r="M909" s="3"/>
      <c r="N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203"/>
      <c r="D910" s="203"/>
      <c r="E910" s="203"/>
      <c r="F910" s="3"/>
      <c r="G910" s="3"/>
      <c r="H910" s="1"/>
      <c r="I910" s="1"/>
      <c r="J910" s="1"/>
      <c r="K910" s="1"/>
      <c r="L910" s="3"/>
      <c r="M910" s="3"/>
      <c r="N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203"/>
      <c r="D911" s="203"/>
      <c r="E911" s="203"/>
      <c r="F911" s="3"/>
      <c r="G911" s="3"/>
      <c r="H911" s="1"/>
      <c r="I911" s="1"/>
      <c r="J911" s="1"/>
      <c r="K911" s="1"/>
      <c r="L911" s="3"/>
      <c r="M911" s="3"/>
      <c r="N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203"/>
      <c r="D912" s="203"/>
      <c r="E912" s="203"/>
      <c r="F912" s="3"/>
      <c r="G912" s="3"/>
      <c r="H912" s="1"/>
      <c r="I912" s="1"/>
      <c r="J912" s="1"/>
      <c r="K912" s="1"/>
      <c r="L912" s="3"/>
      <c r="M912" s="3"/>
      <c r="N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203"/>
      <c r="D913" s="203"/>
      <c r="E913" s="203"/>
      <c r="F913" s="3"/>
      <c r="G913" s="3"/>
      <c r="H913" s="1"/>
      <c r="I913" s="1"/>
      <c r="J913" s="1"/>
      <c r="K913" s="1"/>
      <c r="L913" s="3"/>
      <c r="M913" s="3"/>
      <c r="N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203"/>
      <c r="D914" s="203"/>
      <c r="E914" s="203"/>
      <c r="F914" s="3"/>
      <c r="G914" s="3"/>
      <c r="H914" s="1"/>
      <c r="I914" s="1"/>
      <c r="J914" s="1"/>
      <c r="K914" s="1"/>
      <c r="L914" s="3"/>
      <c r="M914" s="3"/>
      <c r="N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203"/>
      <c r="D915" s="203"/>
      <c r="E915" s="203"/>
      <c r="F915" s="3"/>
      <c r="G915" s="3"/>
      <c r="H915" s="1"/>
      <c r="I915" s="1"/>
      <c r="J915" s="1"/>
      <c r="K915" s="1"/>
      <c r="L915" s="3"/>
      <c r="M915" s="3"/>
      <c r="N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203"/>
      <c r="D916" s="203"/>
      <c r="E916" s="203"/>
      <c r="F916" s="3"/>
      <c r="G916" s="3"/>
      <c r="H916" s="1"/>
      <c r="I916" s="1"/>
      <c r="J916" s="1"/>
      <c r="K916" s="1"/>
      <c r="L916" s="3"/>
      <c r="M916" s="3"/>
      <c r="N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203"/>
      <c r="D917" s="203"/>
      <c r="E917" s="203"/>
      <c r="F917" s="3"/>
      <c r="G917" s="3"/>
      <c r="H917" s="1"/>
      <c r="I917" s="1"/>
      <c r="J917" s="1"/>
      <c r="K917" s="1"/>
      <c r="L917" s="3"/>
      <c r="M917" s="3"/>
      <c r="N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203"/>
      <c r="D918" s="203"/>
      <c r="E918" s="203"/>
      <c r="F918" s="3"/>
      <c r="G918" s="3"/>
      <c r="H918" s="1"/>
      <c r="I918" s="1"/>
      <c r="J918" s="1"/>
      <c r="K918" s="1"/>
      <c r="L918" s="3"/>
      <c r="M918" s="3"/>
      <c r="N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203"/>
      <c r="D919" s="203"/>
      <c r="E919" s="203"/>
      <c r="F919" s="3"/>
      <c r="G919" s="3"/>
      <c r="H919" s="1"/>
      <c r="I919" s="1"/>
      <c r="J919" s="1"/>
      <c r="K919" s="1"/>
      <c r="L919" s="3"/>
      <c r="M919" s="3"/>
      <c r="N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203"/>
      <c r="D920" s="203"/>
      <c r="E920" s="203"/>
      <c r="F920" s="3"/>
      <c r="G920" s="3"/>
      <c r="H920" s="1"/>
      <c r="I920" s="1"/>
      <c r="J920" s="1"/>
      <c r="K920" s="1"/>
      <c r="L920" s="3"/>
      <c r="M920" s="3"/>
      <c r="N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203"/>
      <c r="D921" s="203"/>
      <c r="E921" s="203"/>
      <c r="F921" s="3"/>
      <c r="G921" s="3"/>
      <c r="H921" s="1"/>
      <c r="I921" s="1"/>
      <c r="J921" s="1"/>
      <c r="K921" s="1"/>
      <c r="L921" s="3"/>
      <c r="M921" s="3"/>
      <c r="N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203"/>
      <c r="D922" s="203"/>
      <c r="E922" s="203"/>
      <c r="F922" s="3"/>
      <c r="G922" s="3"/>
      <c r="H922" s="1"/>
      <c r="I922" s="1"/>
      <c r="J922" s="1"/>
      <c r="K922" s="1"/>
      <c r="L922" s="3"/>
      <c r="M922" s="3"/>
      <c r="N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203"/>
      <c r="D923" s="203"/>
      <c r="E923" s="203"/>
      <c r="F923" s="3"/>
      <c r="G923" s="3"/>
      <c r="H923" s="1"/>
      <c r="I923" s="1"/>
      <c r="J923" s="1"/>
      <c r="K923" s="1"/>
      <c r="L923" s="3"/>
      <c r="M923" s="3"/>
      <c r="N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203"/>
      <c r="D924" s="203"/>
      <c r="E924" s="203"/>
      <c r="F924" s="3"/>
      <c r="G924" s="3"/>
      <c r="H924" s="1"/>
      <c r="I924" s="1"/>
      <c r="J924" s="1"/>
      <c r="K924" s="1"/>
      <c r="L924" s="3"/>
      <c r="M924" s="3"/>
      <c r="N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203"/>
      <c r="D925" s="203"/>
      <c r="E925" s="203"/>
      <c r="F925" s="3"/>
      <c r="G925" s="3"/>
      <c r="H925" s="1"/>
      <c r="I925" s="1"/>
      <c r="J925" s="1"/>
      <c r="K925" s="1"/>
      <c r="L925" s="3"/>
      <c r="M925" s="3"/>
      <c r="N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203"/>
      <c r="D926" s="203"/>
      <c r="E926" s="203"/>
      <c r="F926" s="3"/>
      <c r="G926" s="3"/>
      <c r="H926" s="1"/>
      <c r="I926" s="1"/>
      <c r="J926" s="1"/>
      <c r="K926" s="1"/>
      <c r="L926" s="3"/>
      <c r="M926" s="3"/>
      <c r="N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203"/>
      <c r="D927" s="203"/>
      <c r="E927" s="203"/>
      <c r="F927" s="3"/>
      <c r="G927" s="3"/>
      <c r="H927" s="1"/>
      <c r="I927" s="1"/>
      <c r="J927" s="1"/>
      <c r="K927" s="1"/>
      <c r="L927" s="3"/>
      <c r="M927" s="3"/>
      <c r="N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203"/>
      <c r="D928" s="203"/>
      <c r="E928" s="203"/>
      <c r="F928" s="3"/>
      <c r="G928" s="3"/>
      <c r="H928" s="1"/>
      <c r="I928" s="1"/>
      <c r="J928" s="1"/>
      <c r="K928" s="1"/>
      <c r="L928" s="3"/>
      <c r="M928" s="3"/>
      <c r="N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203"/>
      <c r="D929" s="203"/>
      <c r="E929" s="203"/>
      <c r="F929" s="3"/>
      <c r="G929" s="3"/>
      <c r="H929" s="1"/>
      <c r="I929" s="1"/>
      <c r="J929" s="1"/>
      <c r="K929" s="1"/>
      <c r="L929" s="3"/>
      <c r="M929" s="3"/>
      <c r="N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203"/>
      <c r="D930" s="203"/>
      <c r="E930" s="203"/>
      <c r="F930" s="3"/>
      <c r="G930" s="3"/>
      <c r="H930" s="1"/>
      <c r="I930" s="1"/>
      <c r="J930" s="1"/>
      <c r="K930" s="1"/>
      <c r="L930" s="3"/>
      <c r="M930" s="3"/>
      <c r="N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203"/>
      <c r="D931" s="203"/>
      <c r="E931" s="203"/>
      <c r="F931" s="3"/>
      <c r="G931" s="3"/>
      <c r="H931" s="1"/>
      <c r="I931" s="1"/>
      <c r="J931" s="1"/>
      <c r="K931" s="1"/>
      <c r="L931" s="3"/>
      <c r="M931" s="3"/>
      <c r="N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203"/>
      <c r="D932" s="203"/>
      <c r="E932" s="203"/>
      <c r="F932" s="3"/>
      <c r="G932" s="3"/>
      <c r="H932" s="1"/>
      <c r="I932" s="1"/>
      <c r="J932" s="1"/>
      <c r="K932" s="1"/>
      <c r="L932" s="3"/>
      <c r="M932" s="3"/>
      <c r="N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203"/>
      <c r="D933" s="203"/>
      <c r="E933" s="203"/>
      <c r="F933" s="3"/>
      <c r="G933" s="3"/>
      <c r="H933" s="1"/>
      <c r="I933" s="1"/>
      <c r="J933" s="1"/>
      <c r="K933" s="1"/>
      <c r="L933" s="3"/>
      <c r="M933" s="3"/>
      <c r="N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203"/>
      <c r="D934" s="203"/>
      <c r="E934" s="203"/>
      <c r="F934" s="3"/>
      <c r="G934" s="3"/>
      <c r="H934" s="1"/>
      <c r="I934" s="1"/>
      <c r="J934" s="1"/>
      <c r="K934" s="1"/>
      <c r="L934" s="3"/>
      <c r="M934" s="3"/>
      <c r="N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203"/>
      <c r="D935" s="203"/>
      <c r="E935" s="203"/>
      <c r="F935" s="3"/>
      <c r="G935" s="3"/>
      <c r="H935" s="1"/>
      <c r="I935" s="1"/>
      <c r="J935" s="1"/>
      <c r="K935" s="1"/>
      <c r="L935" s="3"/>
      <c r="M935" s="3"/>
      <c r="N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203"/>
      <c r="D936" s="203"/>
      <c r="E936" s="203"/>
      <c r="F936" s="3"/>
      <c r="G936" s="3"/>
      <c r="H936" s="1"/>
      <c r="I936" s="1"/>
      <c r="J936" s="1"/>
      <c r="K936" s="1"/>
      <c r="L936" s="3"/>
      <c r="M936" s="3"/>
      <c r="N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203"/>
      <c r="D937" s="203"/>
      <c r="E937" s="203"/>
      <c r="F937" s="3"/>
      <c r="G937" s="3"/>
      <c r="H937" s="1"/>
      <c r="I937" s="1"/>
      <c r="J937" s="1"/>
      <c r="K937" s="1"/>
      <c r="L937" s="3"/>
      <c r="M937" s="3"/>
      <c r="N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203"/>
      <c r="D938" s="203"/>
      <c r="E938" s="203"/>
      <c r="F938" s="3"/>
      <c r="G938" s="3"/>
      <c r="H938" s="1"/>
      <c r="I938" s="1"/>
      <c r="J938" s="1"/>
      <c r="K938" s="1"/>
      <c r="L938" s="3"/>
      <c r="M938" s="3"/>
      <c r="N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203"/>
      <c r="D939" s="203"/>
      <c r="E939" s="203"/>
      <c r="F939" s="3"/>
      <c r="G939" s="3"/>
      <c r="H939" s="1"/>
      <c r="I939" s="1"/>
      <c r="J939" s="1"/>
      <c r="K939" s="1"/>
      <c r="L939" s="3"/>
      <c r="M939" s="3"/>
      <c r="N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203"/>
      <c r="D940" s="203"/>
      <c r="E940" s="203"/>
      <c r="F940" s="3"/>
      <c r="G940" s="3"/>
      <c r="H940" s="1"/>
      <c r="I940" s="1"/>
      <c r="J940" s="1"/>
      <c r="K940" s="1"/>
      <c r="L940" s="3"/>
      <c r="M940" s="3"/>
      <c r="N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203"/>
      <c r="D941" s="203"/>
      <c r="E941" s="203"/>
      <c r="F941" s="3"/>
      <c r="G941" s="3"/>
      <c r="H941" s="1"/>
      <c r="I941" s="1"/>
      <c r="J941" s="1"/>
      <c r="K941" s="1"/>
      <c r="L941" s="3"/>
      <c r="M941" s="3"/>
      <c r="N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203"/>
      <c r="D942" s="203"/>
      <c r="E942" s="203"/>
      <c r="F942" s="3"/>
      <c r="G942" s="3"/>
      <c r="H942" s="1"/>
      <c r="I942" s="1"/>
      <c r="J942" s="1"/>
      <c r="K942" s="1"/>
      <c r="L942" s="3"/>
      <c r="M942" s="3"/>
      <c r="N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203"/>
      <c r="D943" s="203"/>
      <c r="E943" s="203"/>
      <c r="F943" s="3"/>
      <c r="G943" s="3"/>
      <c r="H943" s="1"/>
      <c r="I943" s="1"/>
      <c r="J943" s="1"/>
      <c r="K943" s="1"/>
      <c r="L943" s="3"/>
      <c r="M943" s="3"/>
      <c r="N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203"/>
      <c r="D944" s="203"/>
      <c r="E944" s="203"/>
      <c r="F944" s="3"/>
      <c r="G944" s="3"/>
      <c r="H944" s="1"/>
      <c r="I944" s="1"/>
      <c r="J944" s="1"/>
      <c r="K944" s="1"/>
      <c r="L944" s="3"/>
      <c r="M944" s="3"/>
      <c r="N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203"/>
      <c r="D945" s="203"/>
      <c r="E945" s="203"/>
      <c r="F945" s="3"/>
      <c r="G945" s="3"/>
      <c r="H945" s="1"/>
      <c r="I945" s="1"/>
      <c r="J945" s="1"/>
      <c r="K945" s="1"/>
      <c r="L945" s="3"/>
      <c r="M945" s="3"/>
      <c r="N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203"/>
      <c r="D946" s="203"/>
      <c r="E946" s="203"/>
      <c r="F946" s="3"/>
      <c r="G946" s="3"/>
      <c r="H946" s="1"/>
      <c r="I946" s="1"/>
      <c r="J946" s="1"/>
      <c r="K946" s="1"/>
      <c r="L946" s="3"/>
      <c r="M946" s="3"/>
      <c r="N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203"/>
      <c r="D947" s="203"/>
      <c r="E947" s="203"/>
      <c r="F947" s="3"/>
      <c r="G947" s="3"/>
      <c r="H947" s="1"/>
      <c r="I947" s="1"/>
      <c r="J947" s="1"/>
      <c r="K947" s="1"/>
      <c r="L947" s="3"/>
      <c r="M947" s="3"/>
      <c r="N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203"/>
      <c r="D948" s="203"/>
      <c r="E948" s="203"/>
      <c r="F948" s="3"/>
      <c r="G948" s="3"/>
      <c r="H948" s="1"/>
      <c r="I948" s="1"/>
      <c r="J948" s="1"/>
      <c r="K948" s="1"/>
      <c r="L948" s="3"/>
      <c r="M948" s="3"/>
      <c r="N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203"/>
      <c r="D949" s="203"/>
      <c r="E949" s="203"/>
      <c r="F949" s="3"/>
      <c r="G949" s="3"/>
      <c r="H949" s="1"/>
      <c r="I949" s="1"/>
      <c r="J949" s="1"/>
      <c r="K949" s="1"/>
      <c r="L949" s="3"/>
      <c r="M949" s="3"/>
      <c r="N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203"/>
      <c r="D950" s="203"/>
      <c r="E950" s="203"/>
      <c r="F950" s="3"/>
      <c r="G950" s="3"/>
      <c r="H950" s="1"/>
      <c r="I950" s="1"/>
      <c r="J950" s="1"/>
      <c r="K950" s="1"/>
      <c r="L950" s="3"/>
      <c r="M950" s="3"/>
      <c r="N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203"/>
      <c r="D951" s="203"/>
      <c r="E951" s="203"/>
      <c r="F951" s="3"/>
      <c r="G951" s="3"/>
      <c r="H951" s="1"/>
      <c r="I951" s="1"/>
      <c r="J951" s="1"/>
      <c r="K951" s="1"/>
      <c r="L951" s="3"/>
      <c r="M951" s="3"/>
      <c r="N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203"/>
      <c r="D952" s="203"/>
      <c r="E952" s="203"/>
      <c r="F952" s="3"/>
      <c r="G952" s="3"/>
      <c r="H952" s="1"/>
      <c r="I952" s="1"/>
      <c r="J952" s="1"/>
      <c r="K952" s="1"/>
      <c r="L952" s="3"/>
      <c r="M952" s="3"/>
      <c r="N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203"/>
      <c r="D953" s="203"/>
      <c r="E953" s="203"/>
      <c r="F953" s="3"/>
      <c r="G953" s="3"/>
      <c r="H953" s="1"/>
      <c r="I953" s="1"/>
      <c r="J953" s="1"/>
      <c r="K953" s="1"/>
      <c r="L953" s="3"/>
      <c r="M953" s="3"/>
      <c r="N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203"/>
      <c r="D954" s="203"/>
      <c r="E954" s="203"/>
      <c r="F954" s="3"/>
      <c r="G954" s="3"/>
      <c r="H954" s="1"/>
      <c r="I954" s="1"/>
      <c r="J954" s="1"/>
      <c r="K954" s="1"/>
      <c r="L954" s="3"/>
      <c r="M954" s="3"/>
      <c r="N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203"/>
      <c r="D955" s="203"/>
      <c r="E955" s="203"/>
      <c r="F955" s="3"/>
      <c r="G955" s="3"/>
      <c r="H955" s="1"/>
      <c r="I955" s="1"/>
      <c r="J955" s="1"/>
      <c r="K955" s="1"/>
      <c r="L955" s="3"/>
      <c r="M955" s="3"/>
      <c r="N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203"/>
      <c r="D956" s="203"/>
      <c r="E956" s="203"/>
      <c r="F956" s="3"/>
      <c r="G956" s="3"/>
      <c r="H956" s="1"/>
      <c r="I956" s="1"/>
      <c r="J956" s="1"/>
      <c r="K956" s="1"/>
      <c r="L956" s="3"/>
      <c r="M956" s="3"/>
      <c r="N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203"/>
      <c r="D957" s="203"/>
      <c r="E957" s="203"/>
      <c r="F957" s="3"/>
      <c r="G957" s="3"/>
      <c r="H957" s="1"/>
      <c r="I957" s="1"/>
      <c r="J957" s="1"/>
      <c r="K957" s="1"/>
      <c r="L957" s="3"/>
      <c r="M957" s="3"/>
      <c r="N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203"/>
      <c r="D958" s="203"/>
      <c r="E958" s="203"/>
      <c r="F958" s="3"/>
      <c r="G958" s="3"/>
      <c r="H958" s="1"/>
      <c r="I958" s="1"/>
      <c r="J958" s="1"/>
      <c r="K958" s="1"/>
      <c r="L958" s="3"/>
      <c r="M958" s="3"/>
      <c r="N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203"/>
      <c r="D959" s="203"/>
      <c r="E959" s="203"/>
      <c r="F959" s="3"/>
      <c r="G959" s="3"/>
      <c r="H959" s="1"/>
      <c r="I959" s="1"/>
      <c r="J959" s="1"/>
      <c r="K959" s="1"/>
      <c r="L959" s="3"/>
      <c r="M959" s="3"/>
      <c r="N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203"/>
      <c r="D960" s="203"/>
      <c r="E960" s="203"/>
      <c r="F960" s="3"/>
      <c r="G960" s="3"/>
      <c r="H960" s="1"/>
      <c r="I960" s="1"/>
      <c r="J960" s="1"/>
      <c r="K960" s="1"/>
      <c r="L960" s="3"/>
      <c r="M960" s="3"/>
      <c r="N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203"/>
      <c r="D961" s="203"/>
      <c r="E961" s="203"/>
      <c r="F961" s="3"/>
      <c r="G961" s="3"/>
      <c r="H961" s="1"/>
      <c r="I961" s="1"/>
      <c r="J961" s="1"/>
      <c r="K961" s="1"/>
      <c r="L961" s="3"/>
      <c r="M961" s="3"/>
      <c r="N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203"/>
      <c r="D962" s="203"/>
      <c r="E962" s="203"/>
      <c r="F962" s="3"/>
      <c r="G962" s="3"/>
      <c r="H962" s="1"/>
      <c r="I962" s="1"/>
      <c r="J962" s="1"/>
      <c r="K962" s="1"/>
      <c r="L962" s="3"/>
      <c r="M962" s="3"/>
      <c r="N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203"/>
      <c r="D963" s="203"/>
      <c r="E963" s="203"/>
      <c r="F963" s="3"/>
      <c r="G963" s="3"/>
      <c r="H963" s="1"/>
      <c r="I963" s="1"/>
      <c r="J963" s="1"/>
      <c r="K963" s="1"/>
      <c r="L963" s="3"/>
      <c r="M963" s="3"/>
      <c r="N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203"/>
      <c r="D964" s="203"/>
      <c r="E964" s="203"/>
      <c r="F964" s="3"/>
      <c r="G964" s="3"/>
      <c r="H964" s="1"/>
      <c r="I964" s="1"/>
      <c r="J964" s="1"/>
      <c r="K964" s="1"/>
      <c r="L964" s="3"/>
      <c r="M964" s="3"/>
      <c r="N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203"/>
      <c r="D965" s="203"/>
      <c r="E965" s="203"/>
      <c r="F965" s="3"/>
      <c r="G965" s="3"/>
      <c r="H965" s="1"/>
      <c r="I965" s="1"/>
      <c r="J965" s="1"/>
      <c r="K965" s="1"/>
      <c r="L965" s="3"/>
      <c r="M965" s="3"/>
      <c r="N965" s="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203"/>
      <c r="D966" s="203"/>
      <c r="E966" s="203"/>
      <c r="F966" s="3"/>
      <c r="G966" s="3"/>
      <c r="H966" s="1"/>
      <c r="I966" s="1"/>
      <c r="J966" s="1"/>
      <c r="K966" s="1"/>
      <c r="L966" s="3"/>
      <c r="M966" s="3"/>
      <c r="N966" s="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203"/>
      <c r="D967" s="203"/>
      <c r="E967" s="203"/>
      <c r="F967" s="3"/>
      <c r="G967" s="3"/>
      <c r="H967" s="1"/>
      <c r="I967" s="1"/>
      <c r="J967" s="1"/>
      <c r="K967" s="1"/>
      <c r="L967" s="3"/>
      <c r="M967" s="3"/>
      <c r="N967" s="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203"/>
      <c r="D968" s="203"/>
      <c r="E968" s="203"/>
      <c r="F968" s="3"/>
      <c r="G968" s="3"/>
      <c r="H968" s="1"/>
      <c r="I968" s="1"/>
      <c r="J968" s="1"/>
      <c r="K968" s="1"/>
      <c r="L968" s="3"/>
      <c r="M968" s="3"/>
      <c r="N968" s="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203"/>
      <c r="D969" s="203"/>
      <c r="E969" s="203"/>
      <c r="F969" s="3"/>
      <c r="G969" s="3"/>
      <c r="H969" s="1"/>
      <c r="I969" s="1"/>
      <c r="J969" s="1"/>
      <c r="K969" s="1"/>
      <c r="L969" s="3"/>
      <c r="M969" s="3"/>
      <c r="N969" s="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203"/>
      <c r="D970" s="203"/>
      <c r="E970" s="203"/>
      <c r="F970" s="3"/>
      <c r="G970" s="3"/>
      <c r="H970" s="1"/>
      <c r="I970" s="1"/>
      <c r="J970" s="1"/>
      <c r="K970" s="1"/>
      <c r="L970" s="3"/>
      <c r="M970" s="3"/>
      <c r="N970" s="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203"/>
      <c r="D971" s="203"/>
      <c r="E971" s="203"/>
      <c r="F971" s="3"/>
      <c r="G971" s="3"/>
      <c r="H971" s="1"/>
      <c r="I971" s="1"/>
      <c r="J971" s="1"/>
      <c r="K971" s="1"/>
      <c r="L971" s="3"/>
      <c r="M971" s="3"/>
      <c r="N971" s="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203"/>
      <c r="D972" s="203"/>
      <c r="E972" s="203"/>
      <c r="F972" s="3"/>
      <c r="G972" s="3"/>
      <c r="H972" s="1"/>
      <c r="I972" s="1"/>
      <c r="J972" s="1"/>
      <c r="K972" s="1"/>
      <c r="L972" s="3"/>
      <c r="M972" s="3"/>
      <c r="N972" s="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203"/>
      <c r="D973" s="203"/>
      <c r="E973" s="203"/>
      <c r="F973" s="3"/>
      <c r="G973" s="3"/>
      <c r="H973" s="1"/>
      <c r="I973" s="1"/>
      <c r="J973" s="1"/>
      <c r="K973" s="1"/>
      <c r="L973" s="3"/>
      <c r="M973" s="3"/>
      <c r="N973" s="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203"/>
      <c r="D974" s="203"/>
      <c r="E974" s="203"/>
      <c r="F974" s="3"/>
      <c r="G974" s="3"/>
      <c r="H974" s="1"/>
      <c r="I974" s="1"/>
      <c r="J974" s="1"/>
      <c r="K974" s="1"/>
      <c r="L974" s="3"/>
      <c r="M974" s="3"/>
      <c r="N974" s="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203"/>
      <c r="D975" s="203"/>
      <c r="E975" s="203"/>
      <c r="F975" s="3"/>
      <c r="G975" s="3"/>
      <c r="H975" s="1"/>
      <c r="I975" s="1"/>
      <c r="J975" s="1"/>
      <c r="K975" s="1"/>
      <c r="L975" s="3"/>
      <c r="M975" s="3"/>
      <c r="N975" s="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203"/>
      <c r="D976" s="203"/>
      <c r="E976" s="203"/>
      <c r="F976" s="3"/>
      <c r="G976" s="3"/>
      <c r="H976" s="1"/>
      <c r="I976" s="1"/>
      <c r="J976" s="1"/>
      <c r="K976" s="1"/>
      <c r="L976" s="3"/>
      <c r="M976" s="3"/>
      <c r="N976" s="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203"/>
      <c r="D977" s="203"/>
      <c r="E977" s="203"/>
      <c r="F977" s="3"/>
      <c r="G977" s="3"/>
      <c r="H977" s="1"/>
      <c r="I977" s="1"/>
      <c r="J977" s="1"/>
      <c r="K977" s="1"/>
      <c r="L977" s="3"/>
      <c r="M977" s="3"/>
      <c r="N977" s="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203"/>
      <c r="D978" s="203"/>
      <c r="E978" s="203"/>
      <c r="F978" s="3"/>
      <c r="G978" s="3"/>
      <c r="H978" s="1"/>
      <c r="I978" s="1"/>
      <c r="J978" s="1"/>
      <c r="K978" s="1"/>
      <c r="L978" s="3"/>
      <c r="M978" s="3"/>
      <c r="N978" s="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203"/>
      <c r="D979" s="203"/>
      <c r="E979" s="203"/>
      <c r="F979" s="3"/>
      <c r="G979" s="3"/>
      <c r="H979" s="1"/>
      <c r="I979" s="1"/>
      <c r="J979" s="1"/>
      <c r="K979" s="1"/>
      <c r="L979" s="3"/>
      <c r="M979" s="3"/>
      <c r="N979" s="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203"/>
      <c r="D980" s="203"/>
      <c r="E980" s="203"/>
      <c r="F980" s="3"/>
      <c r="G980" s="3"/>
      <c r="H980" s="1"/>
      <c r="I980" s="1"/>
      <c r="J980" s="1"/>
      <c r="K980" s="1"/>
      <c r="L980" s="3"/>
      <c r="M980" s="3"/>
      <c r="N980" s="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203"/>
      <c r="D981" s="203"/>
      <c r="E981" s="203"/>
      <c r="F981" s="3"/>
      <c r="G981" s="3"/>
      <c r="H981" s="1"/>
      <c r="I981" s="1"/>
      <c r="J981" s="1"/>
      <c r="K981" s="1"/>
      <c r="L981" s="3"/>
      <c r="M981" s="3"/>
      <c r="N981" s="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203"/>
      <c r="D982" s="203"/>
      <c r="E982" s="203"/>
      <c r="F982" s="3"/>
      <c r="G982" s="3"/>
      <c r="H982" s="1"/>
      <c r="I982" s="1"/>
      <c r="J982" s="1"/>
      <c r="K982" s="1"/>
      <c r="L982" s="3"/>
      <c r="M982" s="3"/>
      <c r="N982" s="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203"/>
      <c r="D983" s="203"/>
      <c r="E983" s="203"/>
      <c r="F983" s="3"/>
      <c r="G983" s="3"/>
      <c r="H983" s="1"/>
      <c r="I983" s="1"/>
      <c r="J983" s="1"/>
      <c r="K983" s="1"/>
      <c r="L983" s="3"/>
      <c r="M983" s="3"/>
      <c r="N983" s="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203"/>
      <c r="D984" s="203"/>
      <c r="E984" s="203"/>
      <c r="F984" s="3"/>
      <c r="G984" s="3"/>
      <c r="H984" s="1"/>
      <c r="I984" s="1"/>
      <c r="J984" s="1"/>
      <c r="K984" s="1"/>
      <c r="L984" s="3"/>
      <c r="M984" s="3"/>
      <c r="N984" s="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203"/>
      <c r="D985" s="203"/>
      <c r="E985" s="203"/>
      <c r="F985" s="3"/>
      <c r="G985" s="3"/>
      <c r="H985" s="1"/>
      <c r="I985" s="1"/>
      <c r="J985" s="1"/>
      <c r="K985" s="1"/>
      <c r="L985" s="3"/>
      <c r="M985" s="3"/>
      <c r="N985" s="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203"/>
      <c r="D986" s="203"/>
      <c r="E986" s="203"/>
      <c r="F986" s="3"/>
      <c r="G986" s="3"/>
      <c r="H986" s="1"/>
      <c r="I986" s="1"/>
      <c r="J986" s="1"/>
      <c r="K986" s="1"/>
      <c r="L986" s="3"/>
      <c r="M986" s="3"/>
      <c r="N986" s="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203"/>
      <c r="D987" s="203"/>
      <c r="E987" s="203"/>
      <c r="F987" s="3"/>
      <c r="G987" s="3"/>
      <c r="H987" s="1"/>
      <c r="I987" s="1"/>
      <c r="J987" s="1"/>
      <c r="K987" s="1"/>
      <c r="L987" s="3"/>
      <c r="M987" s="3"/>
      <c r="N987" s="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203"/>
      <c r="D988" s="203"/>
      <c r="E988" s="203"/>
      <c r="F988" s="3"/>
      <c r="G988" s="3"/>
      <c r="H988" s="1"/>
      <c r="I988" s="1"/>
      <c r="J988" s="1"/>
      <c r="K988" s="1"/>
      <c r="L988" s="3"/>
      <c r="M988" s="3"/>
      <c r="N988" s="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203"/>
      <c r="D989" s="203"/>
      <c r="E989" s="203"/>
      <c r="F989" s="3"/>
      <c r="G989" s="3"/>
      <c r="H989" s="1"/>
      <c r="I989" s="1"/>
      <c r="J989" s="1"/>
      <c r="K989" s="1"/>
      <c r="L989" s="3"/>
      <c r="M989" s="3"/>
      <c r="N989" s="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203"/>
      <c r="D990" s="203"/>
      <c r="E990" s="203"/>
      <c r="F990" s="3"/>
      <c r="G990" s="3"/>
      <c r="H990" s="1"/>
      <c r="I990" s="1"/>
      <c r="J990" s="1"/>
      <c r="K990" s="1"/>
      <c r="L990" s="3"/>
      <c r="M990" s="3"/>
      <c r="N990" s="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203"/>
      <c r="D991" s="203"/>
      <c r="E991" s="203"/>
      <c r="F991" s="3"/>
      <c r="G991" s="3"/>
      <c r="H991" s="1"/>
      <c r="I991" s="1"/>
      <c r="J991" s="1"/>
      <c r="K991" s="1"/>
      <c r="L991" s="3"/>
      <c r="M991" s="3"/>
      <c r="N991" s="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203"/>
      <c r="D992" s="203"/>
      <c r="E992" s="203"/>
      <c r="F992" s="3"/>
      <c r="G992" s="3"/>
      <c r="H992" s="1"/>
      <c r="I992" s="1"/>
      <c r="J992" s="1"/>
      <c r="K992" s="1"/>
      <c r="L992" s="3"/>
      <c r="M992" s="3"/>
      <c r="N992" s="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203"/>
      <c r="D993" s="203"/>
      <c r="E993" s="203"/>
      <c r="F993" s="3"/>
      <c r="G993" s="3"/>
      <c r="H993" s="1"/>
      <c r="I993" s="1"/>
      <c r="J993" s="1"/>
      <c r="K993" s="1"/>
      <c r="L993" s="3"/>
      <c r="M993" s="3"/>
      <c r="N993" s="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203"/>
      <c r="D994" s="203"/>
      <c r="E994" s="203"/>
      <c r="F994" s="3"/>
      <c r="G994" s="3"/>
      <c r="H994" s="1"/>
      <c r="I994" s="1"/>
      <c r="J994" s="1"/>
      <c r="K994" s="1"/>
      <c r="L994" s="3"/>
      <c r="M994" s="3"/>
      <c r="N994" s="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203"/>
      <c r="D995" s="203"/>
      <c r="E995" s="203"/>
      <c r="F995" s="3"/>
      <c r="G995" s="3"/>
      <c r="H995" s="1"/>
      <c r="I995" s="1"/>
      <c r="J995" s="1"/>
      <c r="K995" s="1"/>
      <c r="L995" s="3"/>
      <c r="M995" s="3"/>
      <c r="N995" s="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203"/>
      <c r="D996" s="203"/>
      <c r="E996" s="203"/>
      <c r="F996" s="3"/>
      <c r="G996" s="3"/>
      <c r="H996" s="1"/>
      <c r="I996" s="1"/>
      <c r="J996" s="1"/>
      <c r="K996" s="1"/>
      <c r="L996" s="3"/>
      <c r="M996" s="3"/>
      <c r="N996" s="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203"/>
      <c r="D997" s="203"/>
      <c r="E997" s="203"/>
      <c r="F997" s="3"/>
      <c r="G997" s="3"/>
      <c r="H997" s="1"/>
      <c r="I997" s="1"/>
      <c r="J997" s="1"/>
      <c r="K997" s="1"/>
      <c r="L997" s="3"/>
      <c r="M997" s="3"/>
      <c r="N997" s="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203"/>
      <c r="D998" s="203"/>
      <c r="E998" s="203"/>
      <c r="F998" s="3"/>
      <c r="G998" s="3"/>
      <c r="H998" s="1"/>
      <c r="I998" s="1"/>
      <c r="J998" s="1"/>
      <c r="K998" s="1"/>
      <c r="L998" s="3"/>
      <c r="M998" s="3"/>
      <c r="N998" s="3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203"/>
      <c r="D999" s="203"/>
      <c r="E999" s="203"/>
      <c r="F999" s="3"/>
      <c r="G999" s="3"/>
      <c r="H999" s="1"/>
      <c r="I999" s="1"/>
      <c r="J999" s="1"/>
      <c r="K999" s="1"/>
      <c r="L999" s="3"/>
      <c r="M999" s="3"/>
      <c r="N999" s="3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203"/>
      <c r="D1000" s="203"/>
      <c r="E1000" s="203"/>
      <c r="F1000" s="3"/>
      <c r="G1000" s="3"/>
      <c r="H1000" s="1"/>
      <c r="I1000" s="1"/>
      <c r="J1000" s="1"/>
      <c r="K1000" s="1"/>
      <c r="L1000" s="3"/>
      <c r="M1000" s="3"/>
      <c r="N1000" s="3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203"/>
      <c r="D1001" s="203"/>
      <c r="E1001" s="203"/>
      <c r="F1001" s="3"/>
      <c r="G1001" s="3"/>
      <c r="H1001" s="1"/>
      <c r="I1001" s="1"/>
      <c r="J1001" s="1"/>
      <c r="K1001" s="1"/>
      <c r="L1001" s="3"/>
      <c r="M1001" s="3"/>
      <c r="N1001" s="3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203"/>
      <c r="D1002" s="203"/>
      <c r="E1002" s="203"/>
      <c r="F1002" s="3"/>
      <c r="G1002" s="3"/>
      <c r="H1002" s="1"/>
      <c r="I1002" s="1"/>
      <c r="J1002" s="1"/>
      <c r="K1002" s="1"/>
      <c r="L1002" s="3"/>
      <c r="M1002" s="3"/>
      <c r="N1002" s="3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203"/>
      <c r="D1003" s="203"/>
      <c r="E1003" s="203"/>
      <c r="F1003" s="3"/>
      <c r="G1003" s="3"/>
      <c r="H1003" s="1"/>
      <c r="I1003" s="1"/>
      <c r="J1003" s="1"/>
      <c r="K1003" s="1"/>
      <c r="L1003" s="3"/>
      <c r="M1003" s="3"/>
      <c r="N1003" s="3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203"/>
      <c r="D1004" s="203"/>
      <c r="E1004" s="203"/>
      <c r="F1004" s="3"/>
      <c r="G1004" s="3"/>
      <c r="H1004" s="1"/>
      <c r="I1004" s="1"/>
      <c r="J1004" s="1"/>
      <c r="K1004" s="1"/>
      <c r="L1004" s="3"/>
      <c r="M1004" s="3"/>
      <c r="N1004" s="3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203"/>
      <c r="D1005" s="203"/>
      <c r="E1005" s="203"/>
      <c r="F1005" s="3"/>
      <c r="G1005" s="3"/>
      <c r="H1005" s="1"/>
      <c r="I1005" s="1"/>
      <c r="J1005" s="1"/>
      <c r="K1005" s="1"/>
      <c r="L1005" s="3"/>
      <c r="M1005" s="3"/>
      <c r="N1005" s="3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">
    <mergeCell ref="J36:M36"/>
  </mergeCells>
  <conditionalFormatting sqref="F3:G11 M3:N11 F14:G32 M14:N32">
    <cfRule type="cellIs" dxfId="0" priority="1" stopIfTrue="1" operator="greaterThan">
      <formula>0</formula>
    </cfRule>
  </conditionalFormatting>
  <conditionalFormatting sqref="F3:G11 M3:N11 F14:G32 M14:N32">
    <cfRule type="cellIs" dxfId="1" priority="2" stopIfTrue="1" operator="lessThanOrEqual">
      <formula>0</formula>
    </cfRule>
  </conditionalFormatting>
  <conditionalFormatting sqref="F3:F12 F14:F32">
    <cfRule type="cellIs" dxfId="0" priority="3" stopIfTrue="1" operator="greaterThan">
      <formula>0</formula>
    </cfRule>
  </conditionalFormatting>
  <conditionalFormatting sqref="F3:F12 F14:F32">
    <cfRule type="cellIs" dxfId="1" priority="4" stopIfTrue="1" operator="lessThanOrEqual">
      <formula>0</formula>
    </cfRule>
  </conditionalFormatting>
  <conditionalFormatting sqref="F33:G33">
    <cfRule type="cellIs" dxfId="0" priority="5" stopIfTrue="1" operator="greaterThan">
      <formula>0</formula>
    </cfRule>
  </conditionalFormatting>
  <conditionalFormatting sqref="F33:G33">
    <cfRule type="cellIs" dxfId="1" priority="6" stopIfTrue="1" operator="lessThanOrEqual">
      <formula>0</formula>
    </cfRule>
  </conditionalFormatting>
  <conditionalFormatting sqref="F34:G34">
    <cfRule type="cellIs" dxfId="0" priority="7" stopIfTrue="1" operator="greaterThan">
      <formula>0</formula>
    </cfRule>
  </conditionalFormatting>
  <conditionalFormatting sqref="F34:G34">
    <cfRule type="cellIs" dxfId="1" priority="8" stopIfTrue="1" operator="lessThanOrEqual">
      <formula>0</formula>
    </cfRule>
  </conditionalFormatting>
  <conditionalFormatting sqref="G3:G12 G14:G32">
    <cfRule type="cellIs" dxfId="0" priority="9" stopIfTrue="1" operator="greaterThan">
      <formula>0</formula>
    </cfRule>
  </conditionalFormatting>
  <conditionalFormatting sqref="G3:G12 G14:G32">
    <cfRule type="cellIs" dxfId="1" priority="10" stopIfTrue="1" operator="less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4.43" defaultRowHeight="15.0"/>
  <cols>
    <col customWidth="1" min="1" max="1" width="36.43"/>
    <col customWidth="1" min="2" max="3" width="13.71"/>
    <col customWidth="1" min="4" max="4" width="13.86"/>
    <col customWidth="1" min="5" max="5" width="11.57"/>
    <col customWidth="1" min="6" max="6" width="12.29"/>
    <col customWidth="1" min="7" max="8" width="13.71"/>
    <col customWidth="1" min="9" max="9" width="11.57"/>
    <col customWidth="1" min="10" max="11" width="13.71"/>
    <col customWidth="1" min="12" max="12" width="14.14"/>
    <col customWidth="1" min="13" max="13" width="11.57"/>
    <col customWidth="1" min="14" max="14" width="12.29"/>
    <col customWidth="1" min="15" max="26" width="9.14"/>
  </cols>
  <sheetData>
    <row r="1" ht="10.5" hidden="1" customHeight="1">
      <c r="A1" s="78" t="s">
        <v>315</v>
      </c>
      <c r="B1" s="78" t="s">
        <v>58</v>
      </c>
      <c r="C1" s="78" t="s">
        <v>59</v>
      </c>
      <c r="D1" s="78" t="s">
        <v>60</v>
      </c>
      <c r="E1" s="78" t="s">
        <v>61</v>
      </c>
      <c r="F1" s="78" t="s">
        <v>62</v>
      </c>
      <c r="G1" s="78" t="s">
        <v>63</v>
      </c>
      <c r="H1" s="78" t="s">
        <v>64</v>
      </c>
      <c r="I1" s="78" t="s">
        <v>65</v>
      </c>
      <c r="J1" s="78" t="s">
        <v>66</v>
      </c>
      <c r="K1" s="78" t="s">
        <v>67</v>
      </c>
      <c r="L1" s="78" t="s">
        <v>68</v>
      </c>
      <c r="M1" s="78" t="s">
        <v>69</v>
      </c>
      <c r="N1" s="78" t="s">
        <v>70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0.5" hidden="1" customHeight="1">
      <c r="A2" s="82" t="s">
        <v>40</v>
      </c>
      <c r="B2" s="83">
        <v>96471.73000000001</v>
      </c>
      <c r="C2" s="83">
        <v>81284.77</v>
      </c>
      <c r="D2" s="83">
        <v>54589.35</v>
      </c>
      <c r="E2" s="83">
        <v>60281.93</v>
      </c>
      <c r="F2" s="83">
        <v>75651.32</v>
      </c>
      <c r="G2" s="83">
        <v>78207.47</v>
      </c>
      <c r="H2" s="83">
        <v>100034.58</v>
      </c>
      <c r="I2" s="83">
        <v>107599.62</v>
      </c>
      <c r="J2" s="83">
        <v>132709.17</v>
      </c>
      <c r="K2" s="83">
        <v>142594.33000000002</v>
      </c>
      <c r="L2" s="83">
        <v>162945.38</v>
      </c>
      <c r="M2" s="83">
        <v>150102.92</v>
      </c>
      <c r="N2" s="89">
        <f t="shared" ref="N2:N14" si="1">SUM(B2:M2)</f>
        <v>1242472.57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0.5" hidden="1" customHeight="1">
      <c r="A3" s="82" t="s">
        <v>71</v>
      </c>
      <c r="B3" s="83">
        <v>-13748.2</v>
      </c>
      <c r="C3" s="83">
        <v>-11584.15</v>
      </c>
      <c r="D3" s="83">
        <v>-7915.8</v>
      </c>
      <c r="E3" s="83">
        <v>-8590.87</v>
      </c>
      <c r="F3" s="83">
        <v>-11089.74</v>
      </c>
      <c r="G3" s="83">
        <v>-11726.23</v>
      </c>
      <c r="H3" s="83">
        <v>-14528.5</v>
      </c>
      <c r="I3" s="83">
        <v>-16124.0</v>
      </c>
      <c r="J3" s="83">
        <v>-19357.43</v>
      </c>
      <c r="K3" s="83">
        <v>-20321.39</v>
      </c>
      <c r="L3" s="83">
        <v>-23412.48</v>
      </c>
      <c r="M3" s="83">
        <v>-21700.0199999999</v>
      </c>
      <c r="N3" s="89">
        <f t="shared" si="1"/>
        <v>-180098.81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0.5" hidden="1" customHeight="1">
      <c r="A4" s="82" t="s">
        <v>72</v>
      </c>
      <c r="B4" s="83">
        <f t="shared" ref="B4:M4" si="2">B2+B3</f>
        <v>82723.53</v>
      </c>
      <c r="C4" s="83">
        <f t="shared" si="2"/>
        <v>69700.62</v>
      </c>
      <c r="D4" s="83">
        <f t="shared" si="2"/>
        <v>46673.55</v>
      </c>
      <c r="E4" s="83">
        <f t="shared" si="2"/>
        <v>51691.06</v>
      </c>
      <c r="F4" s="83">
        <f t="shared" si="2"/>
        <v>64561.58</v>
      </c>
      <c r="G4" s="83">
        <f t="shared" si="2"/>
        <v>66481.24</v>
      </c>
      <c r="H4" s="83">
        <f t="shared" si="2"/>
        <v>85506.08</v>
      </c>
      <c r="I4" s="83">
        <f t="shared" si="2"/>
        <v>91475.62</v>
      </c>
      <c r="J4" s="83">
        <f t="shared" si="2"/>
        <v>113351.74</v>
      </c>
      <c r="K4" s="83">
        <f t="shared" si="2"/>
        <v>122272.94</v>
      </c>
      <c r="L4" s="83">
        <f t="shared" si="2"/>
        <v>139532.9</v>
      </c>
      <c r="M4" s="83">
        <f t="shared" si="2"/>
        <v>128402.9</v>
      </c>
      <c r="N4" s="89">
        <f t="shared" si="1"/>
        <v>1062373.76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.5" hidden="1" customHeight="1">
      <c r="A5" s="82" t="s">
        <v>73</v>
      </c>
      <c r="B5" s="83">
        <v>0.0</v>
      </c>
      <c r="C5" s="83">
        <v>0.0</v>
      </c>
      <c r="D5" s="83">
        <v>0.0</v>
      </c>
      <c r="E5" s="83">
        <v>0.0</v>
      </c>
      <c r="F5" s="83">
        <v>0.0</v>
      </c>
      <c r="G5" s="83">
        <v>0.0</v>
      </c>
      <c r="H5" s="83">
        <v>0.0</v>
      </c>
      <c r="I5" s="83">
        <v>0.0</v>
      </c>
      <c r="J5" s="83">
        <v>0.0</v>
      </c>
      <c r="K5" s="83">
        <v>0.0</v>
      </c>
      <c r="L5" s="83">
        <v>0.0</v>
      </c>
      <c r="M5" s="83">
        <v>0.0</v>
      </c>
      <c r="N5" s="89">
        <f t="shared" si="1"/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0.5" hidden="1" customHeight="1">
      <c r="A6" s="82" t="s">
        <v>75</v>
      </c>
      <c r="B6" s="83">
        <f t="shared" ref="B6:M6" si="3">B4+B5</f>
        <v>82723.53</v>
      </c>
      <c r="C6" s="83">
        <f t="shared" si="3"/>
        <v>69700.62</v>
      </c>
      <c r="D6" s="83">
        <f t="shared" si="3"/>
        <v>46673.55</v>
      </c>
      <c r="E6" s="83">
        <f t="shared" si="3"/>
        <v>51691.06</v>
      </c>
      <c r="F6" s="83">
        <f t="shared" si="3"/>
        <v>64561.58</v>
      </c>
      <c r="G6" s="83">
        <f t="shared" si="3"/>
        <v>66481.24</v>
      </c>
      <c r="H6" s="83">
        <f t="shared" si="3"/>
        <v>85506.08</v>
      </c>
      <c r="I6" s="83">
        <f t="shared" si="3"/>
        <v>91475.62</v>
      </c>
      <c r="J6" s="83">
        <f t="shared" si="3"/>
        <v>113351.74</v>
      </c>
      <c r="K6" s="83">
        <f t="shared" si="3"/>
        <v>122272.94</v>
      </c>
      <c r="L6" s="83">
        <f t="shared" si="3"/>
        <v>139532.9</v>
      </c>
      <c r="M6" s="83">
        <f t="shared" si="3"/>
        <v>128402.9</v>
      </c>
      <c r="N6" s="89">
        <f t="shared" si="1"/>
        <v>1062373.76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0.5" hidden="1" customHeight="1">
      <c r="A7" s="82" t="s">
        <v>77</v>
      </c>
      <c r="B7" s="83">
        <v>-90016.76</v>
      </c>
      <c r="C7" s="83">
        <v>-80469.44</v>
      </c>
      <c r="D7" s="83">
        <v>-77854.74</v>
      </c>
      <c r="E7" s="83">
        <v>-77399.45</v>
      </c>
      <c r="F7" s="83">
        <v>-81165.8</v>
      </c>
      <c r="G7" s="83">
        <v>-82737.08</v>
      </c>
      <c r="H7" s="83">
        <v>-89585.24</v>
      </c>
      <c r="I7" s="83">
        <v>-90078.72</v>
      </c>
      <c r="J7" s="83">
        <v>-105816.86</v>
      </c>
      <c r="K7" s="83">
        <v>-111159.54</v>
      </c>
      <c r="L7" s="83">
        <v>-114389.36</v>
      </c>
      <c r="M7" s="83">
        <v>-115209.91</v>
      </c>
      <c r="N7" s="89">
        <f t="shared" si="1"/>
        <v>-1115882.9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0.5" hidden="1" customHeight="1">
      <c r="A8" s="1127" t="s">
        <v>80</v>
      </c>
      <c r="B8" s="264">
        <f t="shared" ref="B8:M8" si="4">B6+B7</f>
        <v>-7293.23</v>
      </c>
      <c r="C8" s="264">
        <f t="shared" si="4"/>
        <v>-10768.82</v>
      </c>
      <c r="D8" s="264">
        <f t="shared" si="4"/>
        <v>-31181.19</v>
      </c>
      <c r="E8" s="264">
        <f t="shared" si="4"/>
        <v>-25708.39</v>
      </c>
      <c r="F8" s="264">
        <f t="shared" si="4"/>
        <v>-16604.22</v>
      </c>
      <c r="G8" s="264">
        <f t="shared" si="4"/>
        <v>-16255.84</v>
      </c>
      <c r="H8" s="264">
        <f t="shared" si="4"/>
        <v>-4079.16</v>
      </c>
      <c r="I8" s="264">
        <f t="shared" si="4"/>
        <v>1396.9</v>
      </c>
      <c r="J8" s="264">
        <f t="shared" si="4"/>
        <v>7534.88</v>
      </c>
      <c r="K8" s="264">
        <f t="shared" si="4"/>
        <v>11113.4</v>
      </c>
      <c r="L8" s="264">
        <f t="shared" si="4"/>
        <v>25143.54</v>
      </c>
      <c r="M8" s="264">
        <f t="shared" si="4"/>
        <v>13192.99</v>
      </c>
      <c r="N8" s="264">
        <f t="shared" si="1"/>
        <v>-53509.14</v>
      </c>
      <c r="O8" s="1128"/>
      <c r="P8" s="1128"/>
      <c r="Q8" s="1128"/>
      <c r="R8" s="1128"/>
      <c r="S8" s="1128"/>
      <c r="T8" s="1128"/>
      <c r="U8" s="1128"/>
      <c r="V8" s="1128"/>
      <c r="W8" s="1128"/>
      <c r="X8" s="1128"/>
      <c r="Y8" s="1128"/>
      <c r="Z8" s="1128"/>
    </row>
    <row r="9" ht="10.5" hidden="1" customHeight="1">
      <c r="A9" s="82" t="s">
        <v>82</v>
      </c>
      <c r="B9" s="83">
        <v>-25976.35</v>
      </c>
      <c r="C9" s="83">
        <v>-25976.35</v>
      </c>
      <c r="D9" s="83">
        <v>-25976.35</v>
      </c>
      <c r="E9" s="83">
        <v>-25954.94</v>
      </c>
      <c r="F9" s="83">
        <v>-25940.68</v>
      </c>
      <c r="G9" s="83">
        <v>-25912.5</v>
      </c>
      <c r="H9" s="83">
        <v>-25885.86</v>
      </c>
      <c r="I9" s="83">
        <v>-25880.62</v>
      </c>
      <c r="J9" s="83">
        <v>-25688.35</v>
      </c>
      <c r="K9" s="83">
        <v>-25668.43</v>
      </c>
      <c r="L9" s="83">
        <v>-25433.11</v>
      </c>
      <c r="M9" s="83">
        <v>-25384.32</v>
      </c>
      <c r="N9" s="89">
        <f t="shared" si="1"/>
        <v>-309677.86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.5" hidden="1" customHeight="1">
      <c r="A10" s="82" t="s">
        <v>83</v>
      </c>
      <c r="B10" s="83">
        <f t="shared" ref="B10:M10" si="5">B8+B9</f>
        <v>-33269.58</v>
      </c>
      <c r="C10" s="83">
        <f t="shared" si="5"/>
        <v>-36745.17</v>
      </c>
      <c r="D10" s="83">
        <f t="shared" si="5"/>
        <v>-57157.54</v>
      </c>
      <c r="E10" s="83">
        <f t="shared" si="5"/>
        <v>-51663.33</v>
      </c>
      <c r="F10" s="83">
        <f t="shared" si="5"/>
        <v>-42544.9</v>
      </c>
      <c r="G10" s="83">
        <f t="shared" si="5"/>
        <v>-42168.34</v>
      </c>
      <c r="H10" s="83">
        <f t="shared" si="5"/>
        <v>-29965.02</v>
      </c>
      <c r="I10" s="83">
        <f t="shared" si="5"/>
        <v>-24483.72</v>
      </c>
      <c r="J10" s="83">
        <f t="shared" si="5"/>
        <v>-18153.47</v>
      </c>
      <c r="K10" s="83">
        <f t="shared" si="5"/>
        <v>-14555.03</v>
      </c>
      <c r="L10" s="83">
        <f t="shared" si="5"/>
        <v>-289.57</v>
      </c>
      <c r="M10" s="83">
        <f t="shared" si="5"/>
        <v>-12191.33</v>
      </c>
      <c r="N10" s="89">
        <f t="shared" si="1"/>
        <v>-363187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0.5" hidden="1" customHeight="1">
      <c r="A11" s="82" t="s">
        <v>84</v>
      </c>
      <c r="B11" s="83">
        <v>-4210.540000000001</v>
      </c>
      <c r="C11" s="83">
        <v>-4075.29</v>
      </c>
      <c r="D11" s="83">
        <v>-3873.68</v>
      </c>
      <c r="E11" s="83">
        <v>-3783.03</v>
      </c>
      <c r="F11" s="83">
        <v>-3632.28</v>
      </c>
      <c r="G11" s="83">
        <v>-3676.85</v>
      </c>
      <c r="H11" s="83">
        <v>-4297.3</v>
      </c>
      <c r="I11" s="83">
        <v>-4147.84</v>
      </c>
      <c r="J11" s="83">
        <v>-4349.1</v>
      </c>
      <c r="K11" s="83">
        <v>-4683.27</v>
      </c>
      <c r="L11" s="83">
        <v>-5196.27</v>
      </c>
      <c r="M11" s="83">
        <v>-4411.63</v>
      </c>
      <c r="N11" s="89">
        <f t="shared" si="1"/>
        <v>-50337.08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0.5" hidden="1" customHeight="1">
      <c r="A12" s="82" t="s">
        <v>86</v>
      </c>
      <c r="B12" s="83">
        <f t="shared" ref="B12:M12" si="6">B10+B11</f>
        <v>-37480.12</v>
      </c>
      <c r="C12" s="83">
        <f t="shared" si="6"/>
        <v>-40820.46</v>
      </c>
      <c r="D12" s="83">
        <f t="shared" si="6"/>
        <v>-61031.22</v>
      </c>
      <c r="E12" s="83">
        <f t="shared" si="6"/>
        <v>-55446.36</v>
      </c>
      <c r="F12" s="83">
        <f t="shared" si="6"/>
        <v>-46177.18</v>
      </c>
      <c r="G12" s="83">
        <f t="shared" si="6"/>
        <v>-45845.19</v>
      </c>
      <c r="H12" s="83">
        <f t="shared" si="6"/>
        <v>-34262.32</v>
      </c>
      <c r="I12" s="83">
        <f t="shared" si="6"/>
        <v>-28631.56</v>
      </c>
      <c r="J12" s="83">
        <f t="shared" si="6"/>
        <v>-22502.57</v>
      </c>
      <c r="K12" s="83">
        <f t="shared" si="6"/>
        <v>-19238.3</v>
      </c>
      <c r="L12" s="83">
        <f t="shared" si="6"/>
        <v>-5485.84</v>
      </c>
      <c r="M12" s="83">
        <f t="shared" si="6"/>
        <v>-16602.96</v>
      </c>
      <c r="N12" s="89">
        <f t="shared" si="1"/>
        <v>-413524.08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0.5" hidden="1" customHeight="1">
      <c r="A13" s="82" t="s">
        <v>87</v>
      </c>
      <c r="B13" s="83">
        <v>0.0</v>
      </c>
      <c r="C13" s="83">
        <v>0.0</v>
      </c>
      <c r="D13" s="83">
        <v>0.0</v>
      </c>
      <c r="E13" s="83">
        <v>0.0</v>
      </c>
      <c r="F13" s="83">
        <v>0.0</v>
      </c>
      <c r="G13" s="83">
        <v>0.0</v>
      </c>
      <c r="H13" s="83">
        <v>0.0</v>
      </c>
      <c r="I13" s="83">
        <v>0.0</v>
      </c>
      <c r="J13" s="83">
        <v>0.0</v>
      </c>
      <c r="K13" s="83">
        <v>0.0</v>
      </c>
      <c r="L13" s="83">
        <v>0.0</v>
      </c>
      <c r="M13" s="83">
        <v>0.0</v>
      </c>
      <c r="N13" s="89">
        <f t="shared" si="1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0.5" hidden="1" customHeight="1">
      <c r="A14" s="82" t="s">
        <v>89</v>
      </c>
      <c r="B14" s="83">
        <f t="shared" ref="B14:M14" si="7">B12+B13</f>
        <v>-37480.12</v>
      </c>
      <c r="C14" s="83">
        <f t="shared" si="7"/>
        <v>-40820.46</v>
      </c>
      <c r="D14" s="83">
        <f t="shared" si="7"/>
        <v>-61031.22</v>
      </c>
      <c r="E14" s="83">
        <f t="shared" si="7"/>
        <v>-55446.36</v>
      </c>
      <c r="F14" s="83">
        <f t="shared" si="7"/>
        <v>-46177.18</v>
      </c>
      <c r="G14" s="83">
        <f t="shared" si="7"/>
        <v>-45845.19</v>
      </c>
      <c r="H14" s="83">
        <f t="shared" si="7"/>
        <v>-34262.32</v>
      </c>
      <c r="I14" s="83">
        <f t="shared" si="7"/>
        <v>-28631.56</v>
      </c>
      <c r="J14" s="83">
        <f t="shared" si="7"/>
        <v>-22502.57</v>
      </c>
      <c r="K14" s="83">
        <f t="shared" si="7"/>
        <v>-19238.3</v>
      </c>
      <c r="L14" s="83">
        <f t="shared" si="7"/>
        <v>-5485.84</v>
      </c>
      <c r="M14" s="83">
        <f t="shared" si="7"/>
        <v>-16602.96</v>
      </c>
      <c r="N14" s="89">
        <f t="shared" si="1"/>
        <v>-413524.08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0.5" hidden="1" customHeight="1">
      <c r="A15" s="82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0.5" hidden="1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0.5" hidden="1" customHeight="1">
      <c r="A17" s="78" t="s">
        <v>449</v>
      </c>
      <c r="B17" s="78" t="s">
        <v>58</v>
      </c>
      <c r="C17" s="78" t="s">
        <v>59</v>
      </c>
      <c r="D17" s="78" t="s">
        <v>60</v>
      </c>
      <c r="E17" s="78" t="s">
        <v>61</v>
      </c>
      <c r="F17" s="78" t="s">
        <v>62</v>
      </c>
      <c r="G17" s="78" t="s">
        <v>63</v>
      </c>
      <c r="H17" s="78" t="s">
        <v>64</v>
      </c>
      <c r="I17" s="78" t="s">
        <v>65</v>
      </c>
      <c r="J17" s="78" t="s">
        <v>66</v>
      </c>
      <c r="K17" s="78" t="s">
        <v>67</v>
      </c>
      <c r="L17" s="78" t="s">
        <v>68</v>
      </c>
      <c r="M17" s="78" t="s">
        <v>69</v>
      </c>
      <c r="N17" s="78" t="s">
        <v>70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hidden="1" customHeight="1">
      <c r="A18" s="82" t="s">
        <v>40</v>
      </c>
      <c r="B18" s="83">
        <v>202509.88</v>
      </c>
      <c r="C18" s="83">
        <v>196009.18</v>
      </c>
      <c r="D18" s="83">
        <v>202333.14</v>
      </c>
      <c r="E18" s="83">
        <v>195302.06</v>
      </c>
      <c r="F18" s="83">
        <v>201941.26</v>
      </c>
      <c r="G18" s="83">
        <v>198796.59</v>
      </c>
      <c r="H18" s="83">
        <v>191449.55</v>
      </c>
      <c r="I18" s="83">
        <v>207522.1</v>
      </c>
      <c r="J18" s="83">
        <v>205972.04</v>
      </c>
      <c r="K18" s="83">
        <v>214850.89</v>
      </c>
      <c r="L18" s="83">
        <v>203746.5</v>
      </c>
      <c r="M18" s="83">
        <v>170128.18</v>
      </c>
      <c r="N18" s="89">
        <f t="shared" ref="N18:N30" si="8">SUM(B18:M18)</f>
        <v>2390561.37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.5" hidden="1" customHeight="1">
      <c r="A19" s="82" t="s">
        <v>71</v>
      </c>
      <c r="B19" s="83">
        <v>18270.05</v>
      </c>
      <c r="C19" s="83">
        <v>17246.48</v>
      </c>
      <c r="D19" s="83">
        <v>18111.08</v>
      </c>
      <c r="E19" s="83">
        <v>17330.82</v>
      </c>
      <c r="F19" s="83">
        <v>17905.0</v>
      </c>
      <c r="G19" s="83">
        <v>17344.01</v>
      </c>
      <c r="H19" s="83">
        <v>17024.98</v>
      </c>
      <c r="I19" s="83">
        <v>18618.55</v>
      </c>
      <c r="J19" s="83">
        <v>18629.59</v>
      </c>
      <c r="K19" s="83">
        <v>18345.1</v>
      </c>
      <c r="L19" s="83">
        <v>18219.3</v>
      </c>
      <c r="M19" s="83">
        <v>14863.33</v>
      </c>
      <c r="N19" s="89">
        <f t="shared" si="8"/>
        <v>211908.29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hidden="1" customHeight="1">
      <c r="A20" s="82" t="s">
        <v>72</v>
      </c>
      <c r="B20" s="83">
        <f t="shared" ref="B20:M20" si="9">B18-B19</f>
        <v>184239.83</v>
      </c>
      <c r="C20" s="83">
        <f t="shared" si="9"/>
        <v>178762.7</v>
      </c>
      <c r="D20" s="83">
        <f t="shared" si="9"/>
        <v>184222.06</v>
      </c>
      <c r="E20" s="83">
        <f t="shared" si="9"/>
        <v>177971.24</v>
      </c>
      <c r="F20" s="83">
        <f t="shared" si="9"/>
        <v>184036.26</v>
      </c>
      <c r="G20" s="83">
        <f t="shared" si="9"/>
        <v>181452.58</v>
      </c>
      <c r="H20" s="83">
        <f t="shared" si="9"/>
        <v>174424.57</v>
      </c>
      <c r="I20" s="83">
        <f t="shared" si="9"/>
        <v>188903.55</v>
      </c>
      <c r="J20" s="83">
        <f t="shared" si="9"/>
        <v>187342.45</v>
      </c>
      <c r="K20" s="83">
        <f t="shared" si="9"/>
        <v>196505.79</v>
      </c>
      <c r="L20" s="83">
        <f t="shared" si="9"/>
        <v>185527.2</v>
      </c>
      <c r="M20" s="83">
        <f t="shared" si="9"/>
        <v>155264.85</v>
      </c>
      <c r="N20" s="89">
        <f t="shared" si="8"/>
        <v>2178653.08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0.5" hidden="1" customHeight="1">
      <c r="A21" s="82" t="s">
        <v>73</v>
      </c>
      <c r="B21" s="83">
        <v>0.0</v>
      </c>
      <c r="C21" s="83">
        <v>0.0</v>
      </c>
      <c r="D21" s="83">
        <v>0.0</v>
      </c>
      <c r="E21" s="83">
        <v>0.0</v>
      </c>
      <c r="F21" s="83">
        <v>0.0</v>
      </c>
      <c r="G21" s="83">
        <v>0.0</v>
      </c>
      <c r="H21" s="83">
        <v>0.0</v>
      </c>
      <c r="I21" s="83">
        <v>0.0</v>
      </c>
      <c r="J21" s="83">
        <v>0.0</v>
      </c>
      <c r="K21" s="83">
        <v>0.0</v>
      </c>
      <c r="L21" s="83">
        <v>0.0</v>
      </c>
      <c r="M21" s="83">
        <v>0.0</v>
      </c>
      <c r="N21" s="89">
        <f t="shared" si="8"/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0.5" hidden="1" customHeight="1">
      <c r="A22" s="82" t="s">
        <v>75</v>
      </c>
      <c r="B22" s="83">
        <f t="shared" ref="B22:M22" si="10">B20</f>
        <v>184239.83</v>
      </c>
      <c r="C22" s="83">
        <f t="shared" si="10"/>
        <v>178762.7</v>
      </c>
      <c r="D22" s="83">
        <f t="shared" si="10"/>
        <v>184222.06</v>
      </c>
      <c r="E22" s="83">
        <f t="shared" si="10"/>
        <v>177971.24</v>
      </c>
      <c r="F22" s="83">
        <f t="shared" si="10"/>
        <v>184036.26</v>
      </c>
      <c r="G22" s="83">
        <f t="shared" si="10"/>
        <v>181452.58</v>
      </c>
      <c r="H22" s="83">
        <f t="shared" si="10"/>
        <v>174424.57</v>
      </c>
      <c r="I22" s="83">
        <f t="shared" si="10"/>
        <v>188903.55</v>
      </c>
      <c r="J22" s="83">
        <f t="shared" si="10"/>
        <v>187342.45</v>
      </c>
      <c r="K22" s="83">
        <f t="shared" si="10"/>
        <v>196505.79</v>
      </c>
      <c r="L22" s="83">
        <f t="shared" si="10"/>
        <v>185527.2</v>
      </c>
      <c r="M22" s="83">
        <f t="shared" si="10"/>
        <v>155264.85</v>
      </c>
      <c r="N22" s="89">
        <f t="shared" si="8"/>
        <v>2178653.08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.5" hidden="1" customHeight="1">
      <c r="A23" s="82" t="s">
        <v>77</v>
      </c>
      <c r="B23" s="83">
        <v>161683.1</v>
      </c>
      <c r="C23" s="83">
        <v>172483.19</v>
      </c>
      <c r="D23" s="83">
        <v>157030.03</v>
      </c>
      <c r="E23" s="83">
        <v>160850.67</v>
      </c>
      <c r="F23" s="83">
        <v>164672.82</v>
      </c>
      <c r="G23" s="83">
        <v>171710.63</v>
      </c>
      <c r="H23" s="83">
        <v>175714.6</v>
      </c>
      <c r="I23" s="83">
        <v>162961.08</v>
      </c>
      <c r="J23" s="83">
        <v>173475.23</v>
      </c>
      <c r="K23" s="83">
        <v>164342.62</v>
      </c>
      <c r="L23" s="83">
        <v>169351.1</v>
      </c>
      <c r="M23" s="83">
        <v>167999.74</v>
      </c>
      <c r="N23" s="89">
        <f t="shared" si="8"/>
        <v>2002274.81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.5" hidden="1" customHeight="1">
      <c r="A24" s="1127" t="s">
        <v>80</v>
      </c>
      <c r="B24" s="264">
        <f t="shared" ref="B24:M24" si="11">B22-B23</f>
        <v>22556.73</v>
      </c>
      <c r="C24" s="264">
        <f t="shared" si="11"/>
        <v>6279.51</v>
      </c>
      <c r="D24" s="264">
        <f t="shared" si="11"/>
        <v>27192.03</v>
      </c>
      <c r="E24" s="264">
        <f t="shared" si="11"/>
        <v>17120.57</v>
      </c>
      <c r="F24" s="264">
        <f t="shared" si="11"/>
        <v>19363.44</v>
      </c>
      <c r="G24" s="264">
        <f t="shared" si="11"/>
        <v>9741.95</v>
      </c>
      <c r="H24" s="264">
        <f t="shared" si="11"/>
        <v>-1290.03</v>
      </c>
      <c r="I24" s="264">
        <f t="shared" si="11"/>
        <v>25942.47</v>
      </c>
      <c r="J24" s="264">
        <f t="shared" si="11"/>
        <v>13867.22</v>
      </c>
      <c r="K24" s="264">
        <f t="shared" si="11"/>
        <v>32163.17</v>
      </c>
      <c r="L24" s="264">
        <f t="shared" si="11"/>
        <v>16176.1</v>
      </c>
      <c r="M24" s="264">
        <f t="shared" si="11"/>
        <v>-12734.89</v>
      </c>
      <c r="N24" s="264">
        <f t="shared" si="8"/>
        <v>176378.27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0.5" hidden="1" customHeight="1">
      <c r="A25" s="82" t="s">
        <v>82</v>
      </c>
      <c r="B25" s="83">
        <v>31629.1</v>
      </c>
      <c r="C25" s="83">
        <v>31556.64</v>
      </c>
      <c r="D25" s="83">
        <v>31540.69</v>
      </c>
      <c r="E25" s="83">
        <v>31594.47</v>
      </c>
      <c r="F25" s="83">
        <v>31525.78</v>
      </c>
      <c r="G25" s="83">
        <v>32086.04</v>
      </c>
      <c r="H25" s="83">
        <v>32889.45</v>
      </c>
      <c r="I25" s="83">
        <v>32970.86</v>
      </c>
      <c r="J25" s="83">
        <v>32904.19</v>
      </c>
      <c r="K25" s="83">
        <v>32904.19</v>
      </c>
      <c r="L25" s="83">
        <v>32927.96</v>
      </c>
      <c r="M25" s="83">
        <v>32886.61</v>
      </c>
      <c r="N25" s="89">
        <f t="shared" si="8"/>
        <v>387415.98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.5" hidden="1" customHeight="1">
      <c r="A26" s="82" t="s">
        <v>83</v>
      </c>
      <c r="B26" s="83">
        <f t="shared" ref="B26:M26" si="12">B24-B25</f>
        <v>-9072.37</v>
      </c>
      <c r="C26" s="83">
        <f t="shared" si="12"/>
        <v>-25277.13</v>
      </c>
      <c r="D26" s="83">
        <f t="shared" si="12"/>
        <v>-4348.66</v>
      </c>
      <c r="E26" s="83">
        <f t="shared" si="12"/>
        <v>-14473.9</v>
      </c>
      <c r="F26" s="83">
        <f t="shared" si="12"/>
        <v>-12162.34</v>
      </c>
      <c r="G26" s="83">
        <f t="shared" si="12"/>
        <v>-22344.09</v>
      </c>
      <c r="H26" s="83">
        <f t="shared" si="12"/>
        <v>-34179.48</v>
      </c>
      <c r="I26" s="83">
        <f t="shared" si="12"/>
        <v>-7028.39</v>
      </c>
      <c r="J26" s="83">
        <f t="shared" si="12"/>
        <v>-19036.97</v>
      </c>
      <c r="K26" s="83">
        <f t="shared" si="12"/>
        <v>-741.02</v>
      </c>
      <c r="L26" s="83">
        <f t="shared" si="12"/>
        <v>-16751.86</v>
      </c>
      <c r="M26" s="83">
        <f t="shared" si="12"/>
        <v>-45621.5</v>
      </c>
      <c r="N26" s="89">
        <f t="shared" si="8"/>
        <v>-211037.71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.5" hidden="1" customHeight="1">
      <c r="A27" s="82" t="s">
        <v>179</v>
      </c>
      <c r="B27" s="83">
        <v>-9231.32</v>
      </c>
      <c r="C27" s="83">
        <v>-7586.21</v>
      </c>
      <c r="D27" s="83">
        <v>-7419.6</v>
      </c>
      <c r="E27" s="83">
        <v>-7927.09</v>
      </c>
      <c r="F27" s="83">
        <v>-7695.17</v>
      </c>
      <c r="G27" s="83">
        <v>-7232.19</v>
      </c>
      <c r="H27" s="83">
        <v>-6907.61</v>
      </c>
      <c r="I27" s="83">
        <v>-7322.41</v>
      </c>
      <c r="J27" s="83">
        <v>-6977.31</v>
      </c>
      <c r="K27" s="83">
        <v>-6826.36</v>
      </c>
      <c r="L27" s="83">
        <v>-7310.02</v>
      </c>
      <c r="M27" s="83">
        <v>-5698.68</v>
      </c>
      <c r="N27" s="89">
        <f t="shared" si="8"/>
        <v>-88133.97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0.5" hidden="1" customHeight="1">
      <c r="A28" s="82" t="s">
        <v>86</v>
      </c>
      <c r="B28" s="83">
        <f t="shared" ref="B28:M28" si="13">B26+B27</f>
        <v>-18303.69</v>
      </c>
      <c r="C28" s="83">
        <f t="shared" si="13"/>
        <v>-32863.34</v>
      </c>
      <c r="D28" s="83">
        <f t="shared" si="13"/>
        <v>-11768.26</v>
      </c>
      <c r="E28" s="83">
        <f t="shared" si="13"/>
        <v>-22400.99</v>
      </c>
      <c r="F28" s="83">
        <f t="shared" si="13"/>
        <v>-19857.51</v>
      </c>
      <c r="G28" s="83">
        <f t="shared" si="13"/>
        <v>-29576.28</v>
      </c>
      <c r="H28" s="83">
        <f t="shared" si="13"/>
        <v>-41087.09</v>
      </c>
      <c r="I28" s="83">
        <f t="shared" si="13"/>
        <v>-14350.8</v>
      </c>
      <c r="J28" s="83">
        <f t="shared" si="13"/>
        <v>-26014.28</v>
      </c>
      <c r="K28" s="83">
        <f t="shared" si="13"/>
        <v>-7567.38</v>
      </c>
      <c r="L28" s="83">
        <f t="shared" si="13"/>
        <v>-24061.88</v>
      </c>
      <c r="M28" s="83">
        <f t="shared" si="13"/>
        <v>-51320.18</v>
      </c>
      <c r="N28" s="89">
        <f t="shared" si="8"/>
        <v>-299171.68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0.5" hidden="1" customHeight="1">
      <c r="A29" s="82" t="s">
        <v>87</v>
      </c>
      <c r="B29" s="83">
        <v>22015.54</v>
      </c>
      <c r="C29" s="83">
        <v>21382.84</v>
      </c>
      <c r="D29" s="83">
        <v>22026.39</v>
      </c>
      <c r="E29" s="83">
        <v>21278.07</v>
      </c>
      <c r="F29" s="83">
        <v>21995.45</v>
      </c>
      <c r="G29" s="83">
        <v>21684.25</v>
      </c>
      <c r="H29" s="83">
        <v>20847.72</v>
      </c>
      <c r="I29" s="83">
        <v>22578.5</v>
      </c>
      <c r="J29" s="83">
        <v>22395.18</v>
      </c>
      <c r="K29" s="83">
        <v>23441.27</v>
      </c>
      <c r="L29" s="83">
        <v>22311.04</v>
      </c>
      <c r="M29" s="83">
        <v>18566.4</v>
      </c>
      <c r="N29" s="89">
        <f t="shared" si="8"/>
        <v>260522.65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0.5" hidden="1" customHeight="1">
      <c r="A30" s="82" t="s">
        <v>89</v>
      </c>
      <c r="B30" s="270">
        <f t="shared" ref="B30:M30" si="14">B28-B29</f>
        <v>-40319.23</v>
      </c>
      <c r="C30" s="270">
        <f t="shared" si="14"/>
        <v>-54246.18</v>
      </c>
      <c r="D30" s="270">
        <f t="shared" si="14"/>
        <v>-33794.65</v>
      </c>
      <c r="E30" s="270">
        <f t="shared" si="14"/>
        <v>-43679.06</v>
      </c>
      <c r="F30" s="270">
        <f t="shared" si="14"/>
        <v>-41852.96</v>
      </c>
      <c r="G30" s="270">
        <f t="shared" si="14"/>
        <v>-51260.53</v>
      </c>
      <c r="H30" s="270">
        <f t="shared" si="14"/>
        <v>-61934.81</v>
      </c>
      <c r="I30" s="270">
        <f t="shared" si="14"/>
        <v>-36929.3</v>
      </c>
      <c r="J30" s="270">
        <f t="shared" si="14"/>
        <v>-48409.46</v>
      </c>
      <c r="K30" s="270">
        <f t="shared" si="14"/>
        <v>-31008.65</v>
      </c>
      <c r="L30" s="270">
        <f t="shared" si="14"/>
        <v>-46372.92</v>
      </c>
      <c r="M30" s="270">
        <f t="shared" si="14"/>
        <v>-69886.58</v>
      </c>
      <c r="N30" s="89">
        <f t="shared" si="8"/>
        <v>-559694.33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0.5" hidden="1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0.5" hidden="1" customHeight="1">
      <c r="A32" s="78" t="s">
        <v>316</v>
      </c>
      <c r="B32" s="78" t="s">
        <v>58</v>
      </c>
      <c r="C32" s="78" t="s">
        <v>59</v>
      </c>
      <c r="D32" s="78" t="s">
        <v>60</v>
      </c>
      <c r="E32" s="78" t="s">
        <v>61</v>
      </c>
      <c r="F32" s="78" t="s">
        <v>62</v>
      </c>
      <c r="G32" s="78" t="s">
        <v>63</v>
      </c>
      <c r="H32" s="78" t="s">
        <v>64</v>
      </c>
      <c r="I32" s="78" t="s">
        <v>65</v>
      </c>
      <c r="J32" s="78" t="s">
        <v>66</v>
      </c>
      <c r="K32" s="78" t="s">
        <v>67</v>
      </c>
      <c r="L32" s="78" t="s">
        <v>68</v>
      </c>
      <c r="M32" s="78" t="s">
        <v>69</v>
      </c>
      <c r="N32" s="78" t="s">
        <v>70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0.5" hidden="1" customHeight="1">
      <c r="A33" s="82" t="s">
        <v>40</v>
      </c>
      <c r="B33" s="83">
        <v>156605.0</v>
      </c>
      <c r="C33" s="83">
        <v>151190.0</v>
      </c>
      <c r="D33" s="83">
        <v>151173.0</v>
      </c>
      <c r="E33" s="83">
        <v>164700.0</v>
      </c>
      <c r="F33" s="83">
        <v>159780.0</v>
      </c>
      <c r="G33" s="83">
        <v>166905.0</v>
      </c>
      <c r="H33" s="83">
        <v>181805.0</v>
      </c>
      <c r="I33" s="83">
        <v>200350.0</v>
      </c>
      <c r="J33" s="83">
        <v>195766.0</v>
      </c>
      <c r="K33" s="83">
        <v>196200.0</v>
      </c>
      <c r="L33" s="83">
        <v>191260.0</v>
      </c>
      <c r="M33" s="83">
        <v>171885.0</v>
      </c>
      <c r="N33" s="89">
        <f t="shared" ref="N33:N45" si="15">SUM(B33:M33)</f>
        <v>2087619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.5" hidden="1" customHeight="1">
      <c r="A34" s="82" t="s">
        <v>71</v>
      </c>
      <c r="B34" s="83">
        <v>-22316.21</v>
      </c>
      <c r="C34" s="83">
        <v>-21544.58</v>
      </c>
      <c r="D34" s="83">
        <v>-21542.15</v>
      </c>
      <c r="E34" s="83">
        <v>-23469.75</v>
      </c>
      <c r="F34" s="83">
        <v>-22768.65</v>
      </c>
      <c r="G34" s="83">
        <v>-23783.97</v>
      </c>
      <c r="H34" s="83">
        <v>-25907.22</v>
      </c>
      <c r="I34" s="83">
        <v>-28549.88</v>
      </c>
      <c r="J34" s="83">
        <v>-27896.66</v>
      </c>
      <c r="K34" s="83">
        <v>-27958.51</v>
      </c>
      <c r="L34" s="83">
        <v>-27254.56</v>
      </c>
      <c r="M34" s="83">
        <v>-24493.61</v>
      </c>
      <c r="N34" s="89">
        <f t="shared" si="15"/>
        <v>-297485.75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0.5" hidden="1" customHeight="1">
      <c r="A35" s="82" t="s">
        <v>72</v>
      </c>
      <c r="B35" s="83">
        <f t="shared" ref="B35:M35" si="16">B33+B34</f>
        <v>134288.79</v>
      </c>
      <c r="C35" s="83">
        <f t="shared" si="16"/>
        <v>129645.42</v>
      </c>
      <c r="D35" s="83">
        <f t="shared" si="16"/>
        <v>129630.85</v>
      </c>
      <c r="E35" s="83">
        <f t="shared" si="16"/>
        <v>141230.25</v>
      </c>
      <c r="F35" s="83">
        <f t="shared" si="16"/>
        <v>137011.35</v>
      </c>
      <c r="G35" s="83">
        <f t="shared" si="16"/>
        <v>143121.03</v>
      </c>
      <c r="H35" s="83">
        <f t="shared" si="16"/>
        <v>155897.78</v>
      </c>
      <c r="I35" s="83">
        <f t="shared" si="16"/>
        <v>171800.12</v>
      </c>
      <c r="J35" s="83">
        <f t="shared" si="16"/>
        <v>167869.34</v>
      </c>
      <c r="K35" s="83">
        <f t="shared" si="16"/>
        <v>168241.49</v>
      </c>
      <c r="L35" s="83">
        <f t="shared" si="16"/>
        <v>164005.44</v>
      </c>
      <c r="M35" s="83">
        <f t="shared" si="16"/>
        <v>147391.39</v>
      </c>
      <c r="N35" s="89">
        <f t="shared" si="15"/>
        <v>1790133.25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.5" hidden="1" customHeight="1">
      <c r="A36" s="82" t="s">
        <v>73</v>
      </c>
      <c r="B36" s="83">
        <v>0.0</v>
      </c>
      <c r="C36" s="83">
        <v>0.0</v>
      </c>
      <c r="D36" s="83">
        <v>0.0</v>
      </c>
      <c r="E36" s="83">
        <v>0.0</v>
      </c>
      <c r="F36" s="83">
        <v>0.0</v>
      </c>
      <c r="G36" s="83">
        <v>0.0</v>
      </c>
      <c r="H36" s="83">
        <v>0.0</v>
      </c>
      <c r="I36" s="83">
        <v>0.0</v>
      </c>
      <c r="J36" s="83">
        <v>0.0</v>
      </c>
      <c r="K36" s="83">
        <v>0.0</v>
      </c>
      <c r="L36" s="83">
        <v>0.0</v>
      </c>
      <c r="M36" s="83">
        <v>0.0</v>
      </c>
      <c r="N36" s="89">
        <f t="shared" si="15"/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.5" hidden="1" customHeight="1">
      <c r="A37" s="82" t="s">
        <v>75</v>
      </c>
      <c r="B37" s="83">
        <f t="shared" ref="B37:M37" si="17">B35+B36</f>
        <v>134288.79</v>
      </c>
      <c r="C37" s="83">
        <f t="shared" si="17"/>
        <v>129645.42</v>
      </c>
      <c r="D37" s="83">
        <f t="shared" si="17"/>
        <v>129630.85</v>
      </c>
      <c r="E37" s="83">
        <f t="shared" si="17"/>
        <v>141230.25</v>
      </c>
      <c r="F37" s="83">
        <f t="shared" si="17"/>
        <v>137011.35</v>
      </c>
      <c r="G37" s="83">
        <f t="shared" si="17"/>
        <v>143121.03</v>
      </c>
      <c r="H37" s="83">
        <f t="shared" si="17"/>
        <v>155897.78</v>
      </c>
      <c r="I37" s="83">
        <f t="shared" si="17"/>
        <v>171800.12</v>
      </c>
      <c r="J37" s="83">
        <f t="shared" si="17"/>
        <v>167869.34</v>
      </c>
      <c r="K37" s="83">
        <f t="shared" si="17"/>
        <v>168241.49</v>
      </c>
      <c r="L37" s="83">
        <f t="shared" si="17"/>
        <v>164005.44</v>
      </c>
      <c r="M37" s="83">
        <f t="shared" si="17"/>
        <v>147391.39</v>
      </c>
      <c r="N37" s="89">
        <f t="shared" si="15"/>
        <v>1790133.25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.5" hidden="1" customHeight="1">
      <c r="A38" s="82" t="s">
        <v>77</v>
      </c>
      <c r="B38" s="83">
        <v>-133446.95</v>
      </c>
      <c r="C38" s="83">
        <v>-118320.32</v>
      </c>
      <c r="D38" s="83">
        <v>-125852.76</v>
      </c>
      <c r="E38" s="83">
        <v>-124353.06</v>
      </c>
      <c r="F38" s="83">
        <v>-147943.8</v>
      </c>
      <c r="G38" s="83">
        <v>-135916.29</v>
      </c>
      <c r="H38" s="83">
        <v>-128934.98</v>
      </c>
      <c r="I38" s="83">
        <v>-137190.78</v>
      </c>
      <c r="J38" s="83">
        <v>-129544.25</v>
      </c>
      <c r="K38" s="83">
        <v>-130697.22</v>
      </c>
      <c r="L38" s="83">
        <v>-135091.17</v>
      </c>
      <c r="M38" s="83">
        <v>-130346.28</v>
      </c>
      <c r="N38" s="89">
        <f t="shared" si="15"/>
        <v>-1577637.86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0.5" hidden="1" customHeight="1">
      <c r="A39" s="1127" t="s">
        <v>80</v>
      </c>
      <c r="B39" s="264">
        <f t="shared" ref="B39:M39" si="18">B37+B38</f>
        <v>841.84</v>
      </c>
      <c r="C39" s="264">
        <f t="shared" si="18"/>
        <v>11325.1</v>
      </c>
      <c r="D39" s="264">
        <f t="shared" si="18"/>
        <v>3778.09</v>
      </c>
      <c r="E39" s="264">
        <f t="shared" si="18"/>
        <v>16877.19</v>
      </c>
      <c r="F39" s="264">
        <f t="shared" si="18"/>
        <v>-10932.45</v>
      </c>
      <c r="G39" s="264">
        <f t="shared" si="18"/>
        <v>7204.74</v>
      </c>
      <c r="H39" s="264">
        <f t="shared" si="18"/>
        <v>26962.8</v>
      </c>
      <c r="I39" s="264">
        <f t="shared" si="18"/>
        <v>34609.34</v>
      </c>
      <c r="J39" s="264">
        <f t="shared" si="18"/>
        <v>38325.09</v>
      </c>
      <c r="K39" s="264">
        <f t="shared" si="18"/>
        <v>37544.27</v>
      </c>
      <c r="L39" s="264">
        <f t="shared" si="18"/>
        <v>28914.27</v>
      </c>
      <c r="M39" s="264">
        <f t="shared" si="18"/>
        <v>17045.11</v>
      </c>
      <c r="N39" s="264">
        <f t="shared" si="15"/>
        <v>212495.39</v>
      </c>
      <c r="O39" s="1128"/>
      <c r="P39" s="1128"/>
      <c r="Q39" s="1128"/>
      <c r="R39" s="1128"/>
      <c r="S39" s="1128"/>
      <c r="T39" s="1128"/>
      <c r="U39" s="1128"/>
      <c r="V39" s="1128"/>
      <c r="W39" s="1128"/>
      <c r="X39" s="1128"/>
      <c r="Y39" s="1128"/>
      <c r="Z39" s="1128"/>
    </row>
    <row r="40" ht="10.5" hidden="1" customHeight="1">
      <c r="A40" s="82" t="s">
        <v>82</v>
      </c>
      <c r="B40" s="83">
        <v>-27049.78</v>
      </c>
      <c r="C40" s="83">
        <v>-27049.78</v>
      </c>
      <c r="D40" s="83">
        <v>-27232.95</v>
      </c>
      <c r="E40" s="83">
        <v>-27232.95</v>
      </c>
      <c r="F40" s="83">
        <v>-27232.95</v>
      </c>
      <c r="G40" s="83">
        <v>-27256.27</v>
      </c>
      <c r="H40" s="83">
        <v>-27256.27</v>
      </c>
      <c r="I40" s="83">
        <v>-27256.27</v>
      </c>
      <c r="J40" s="83">
        <v>-27256.27</v>
      </c>
      <c r="K40" s="83">
        <v>-27283.65</v>
      </c>
      <c r="L40" s="83">
        <v>-27283.65</v>
      </c>
      <c r="M40" s="83">
        <v>-27283.65</v>
      </c>
      <c r="N40" s="89">
        <f t="shared" si="15"/>
        <v>-326674.44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0.5" hidden="1" customHeight="1">
      <c r="A41" s="82" t="s">
        <v>83</v>
      </c>
      <c r="B41" s="83">
        <f t="shared" ref="B41:M41" si="19">B39+B40</f>
        <v>-26207.94</v>
      </c>
      <c r="C41" s="83">
        <f t="shared" si="19"/>
        <v>-15724.68</v>
      </c>
      <c r="D41" s="83">
        <f t="shared" si="19"/>
        <v>-23454.86</v>
      </c>
      <c r="E41" s="83">
        <f t="shared" si="19"/>
        <v>-10355.76</v>
      </c>
      <c r="F41" s="83">
        <f t="shared" si="19"/>
        <v>-38165.4</v>
      </c>
      <c r="G41" s="83">
        <f t="shared" si="19"/>
        <v>-20051.53</v>
      </c>
      <c r="H41" s="83">
        <f t="shared" si="19"/>
        <v>-293.47</v>
      </c>
      <c r="I41" s="83">
        <f t="shared" si="19"/>
        <v>7353.07</v>
      </c>
      <c r="J41" s="83">
        <f t="shared" si="19"/>
        <v>11068.82</v>
      </c>
      <c r="K41" s="83">
        <f t="shared" si="19"/>
        <v>10260.62</v>
      </c>
      <c r="L41" s="83">
        <f t="shared" si="19"/>
        <v>1630.62</v>
      </c>
      <c r="M41" s="83">
        <f t="shared" si="19"/>
        <v>-10238.54</v>
      </c>
      <c r="N41" s="89">
        <f t="shared" si="15"/>
        <v>-114179.05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.5" hidden="1" customHeight="1">
      <c r="A42" s="82" t="s">
        <v>84</v>
      </c>
      <c r="B42" s="83">
        <v>-4012.99</v>
      </c>
      <c r="C42" s="83">
        <v>-3806.62</v>
      </c>
      <c r="D42" s="83">
        <v>-3688.4</v>
      </c>
      <c r="E42" s="83">
        <v>-3695.61</v>
      </c>
      <c r="F42" s="83">
        <v>-3499.4</v>
      </c>
      <c r="G42" s="83">
        <v>-3425.23</v>
      </c>
      <c r="H42" s="83">
        <v>-3323.95</v>
      </c>
      <c r="I42" s="83">
        <v>-3227.07</v>
      </c>
      <c r="J42" s="83">
        <v>-2530.0</v>
      </c>
      <c r="K42" s="83">
        <v>-2530.0</v>
      </c>
      <c r="L42" s="83">
        <v>-2530.0</v>
      </c>
      <c r="M42" s="83">
        <v>-2530.0</v>
      </c>
      <c r="N42" s="89">
        <f t="shared" si="15"/>
        <v>-38799.27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0.5" hidden="1" customHeight="1">
      <c r="A43" s="82" t="s">
        <v>86</v>
      </c>
      <c r="B43" s="83">
        <f t="shared" ref="B43:M43" si="20">B41+B42</f>
        <v>-30220.93</v>
      </c>
      <c r="C43" s="83">
        <f t="shared" si="20"/>
        <v>-19531.3</v>
      </c>
      <c r="D43" s="83">
        <f t="shared" si="20"/>
        <v>-27143.26</v>
      </c>
      <c r="E43" s="83">
        <f t="shared" si="20"/>
        <v>-14051.37</v>
      </c>
      <c r="F43" s="83">
        <f t="shared" si="20"/>
        <v>-41664.8</v>
      </c>
      <c r="G43" s="83">
        <f t="shared" si="20"/>
        <v>-23476.76</v>
      </c>
      <c r="H43" s="83">
        <f t="shared" si="20"/>
        <v>-3617.42</v>
      </c>
      <c r="I43" s="83">
        <f t="shared" si="20"/>
        <v>4126</v>
      </c>
      <c r="J43" s="83">
        <f t="shared" si="20"/>
        <v>8538.82</v>
      </c>
      <c r="K43" s="83">
        <f t="shared" si="20"/>
        <v>7730.62</v>
      </c>
      <c r="L43" s="83">
        <f t="shared" si="20"/>
        <v>-899.38</v>
      </c>
      <c r="M43" s="83">
        <f t="shared" si="20"/>
        <v>-12768.54</v>
      </c>
      <c r="N43" s="89">
        <f t="shared" si="15"/>
        <v>-152978.32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0.5" hidden="1" customHeight="1">
      <c r="A44" s="82" t="s">
        <v>87</v>
      </c>
      <c r="B44" s="83">
        <v>0.0</v>
      </c>
      <c r="C44" s="83">
        <v>0.0</v>
      </c>
      <c r="D44" s="83">
        <v>0.0</v>
      </c>
      <c r="E44" s="83">
        <v>0.0</v>
      </c>
      <c r="F44" s="83">
        <v>0.0</v>
      </c>
      <c r="G44" s="83">
        <v>0.0</v>
      </c>
      <c r="H44" s="83">
        <v>0.0</v>
      </c>
      <c r="I44" s="83">
        <v>0.0</v>
      </c>
      <c r="J44" s="83">
        <v>0.0</v>
      </c>
      <c r="K44" s="83">
        <v>0.0</v>
      </c>
      <c r="L44" s="83">
        <v>0.0</v>
      </c>
      <c r="M44" s="83">
        <v>0.0</v>
      </c>
      <c r="N44" s="89">
        <f t="shared" si="15"/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0.5" hidden="1" customHeight="1">
      <c r="A45" s="82" t="s">
        <v>89</v>
      </c>
      <c r="B45" s="83">
        <f t="shared" ref="B45:M45" si="21">B43+B44</f>
        <v>-30220.93</v>
      </c>
      <c r="C45" s="83">
        <f t="shared" si="21"/>
        <v>-19531.3</v>
      </c>
      <c r="D45" s="83">
        <f t="shared" si="21"/>
        <v>-27143.26</v>
      </c>
      <c r="E45" s="83">
        <f t="shared" si="21"/>
        <v>-14051.37</v>
      </c>
      <c r="F45" s="83">
        <f t="shared" si="21"/>
        <v>-41664.8</v>
      </c>
      <c r="G45" s="83">
        <f t="shared" si="21"/>
        <v>-23476.76</v>
      </c>
      <c r="H45" s="83">
        <f t="shared" si="21"/>
        <v>-3617.42</v>
      </c>
      <c r="I45" s="83">
        <f t="shared" si="21"/>
        <v>4126</v>
      </c>
      <c r="J45" s="83">
        <f t="shared" si="21"/>
        <v>8538.82</v>
      </c>
      <c r="K45" s="83">
        <f t="shared" si="21"/>
        <v>7730.62</v>
      </c>
      <c r="L45" s="83">
        <f t="shared" si="21"/>
        <v>-899.38</v>
      </c>
      <c r="M45" s="83">
        <f t="shared" si="21"/>
        <v>-12768.54</v>
      </c>
      <c r="N45" s="89">
        <f t="shared" si="15"/>
        <v>-152978.32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0.5" hidden="1" customHeight="1">
      <c r="A46" s="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0.5" hidden="1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0.5" hidden="1" customHeight="1">
      <c r="A48" s="78" t="s">
        <v>57</v>
      </c>
      <c r="B48" s="78" t="s">
        <v>58</v>
      </c>
      <c r="C48" s="78" t="s">
        <v>59</v>
      </c>
      <c r="D48" s="78" t="s">
        <v>60</v>
      </c>
      <c r="E48" s="78" t="s">
        <v>61</v>
      </c>
      <c r="F48" s="78" t="s">
        <v>62</v>
      </c>
      <c r="G48" s="78" t="s">
        <v>63</v>
      </c>
      <c r="H48" s="78" t="s">
        <v>64</v>
      </c>
      <c r="I48" s="78" t="s">
        <v>65</v>
      </c>
      <c r="J48" s="78" t="s">
        <v>66</v>
      </c>
      <c r="K48" s="78" t="s">
        <v>67</v>
      </c>
      <c r="L48" s="78" t="s">
        <v>68</v>
      </c>
      <c r="M48" s="78" t="s">
        <v>69</v>
      </c>
      <c r="N48" s="78" t="s">
        <v>70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0.5" hidden="1" customHeight="1">
      <c r="A49" s="82" t="s">
        <v>40</v>
      </c>
      <c r="B49" s="83">
        <v>149054.02</v>
      </c>
      <c r="C49" s="83">
        <v>125738.67</v>
      </c>
      <c r="D49" s="83">
        <v>159757.83</v>
      </c>
      <c r="E49" s="83">
        <v>166331.07</v>
      </c>
      <c r="F49" s="83">
        <v>187017.6</v>
      </c>
      <c r="G49" s="890">
        <v>181305.39</v>
      </c>
      <c r="H49" s="890">
        <v>222522.43</v>
      </c>
      <c r="I49" s="886">
        <v>209755.58</v>
      </c>
      <c r="J49" s="886">
        <v>259555.86</v>
      </c>
      <c r="K49" s="886">
        <v>232815.81</v>
      </c>
      <c r="L49" s="886">
        <v>230367.69</v>
      </c>
      <c r="M49" s="887">
        <v>197632.0</v>
      </c>
      <c r="N49" s="888">
        <f t="shared" ref="N49:N61" si="22">SUM(B49:M49)</f>
        <v>2321853.95</v>
      </c>
      <c r="O49" s="93"/>
      <c r="P49" s="4"/>
      <c r="Q49" s="1129"/>
      <c r="R49" s="4"/>
      <c r="S49" s="4"/>
      <c r="T49" s="4"/>
      <c r="U49" s="4"/>
      <c r="V49" s="4"/>
      <c r="W49" s="4"/>
      <c r="X49" s="4"/>
      <c r="Y49" s="4"/>
      <c r="Z49" s="4"/>
    </row>
    <row r="50" ht="10.5" hidden="1" customHeight="1">
      <c r="A50" s="82" t="s">
        <v>71</v>
      </c>
      <c r="B50" s="83">
        <v>-21704.61</v>
      </c>
      <c r="C50" s="83">
        <v>-18799.42</v>
      </c>
      <c r="D50" s="83">
        <v>-23339.66</v>
      </c>
      <c r="E50" s="83">
        <v>-23861.91</v>
      </c>
      <c r="F50" s="83">
        <v>-26960.9</v>
      </c>
      <c r="G50" s="890">
        <v>-25995.78</v>
      </c>
      <c r="H50" s="890">
        <v>-32131.29</v>
      </c>
      <c r="I50" s="886">
        <v>-30237.55</v>
      </c>
      <c r="J50" s="886">
        <v>-37260.98</v>
      </c>
      <c r="K50" s="886">
        <v>-33579.78</v>
      </c>
      <c r="L50" s="886">
        <v>-34493.22</v>
      </c>
      <c r="M50" s="887">
        <v>-28162.56</v>
      </c>
      <c r="N50" s="888">
        <f t="shared" si="22"/>
        <v>-336527.66</v>
      </c>
      <c r="O50" s="9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0.5" hidden="1" customHeight="1">
      <c r="A51" s="82" t="s">
        <v>72</v>
      </c>
      <c r="B51" s="83">
        <f t="shared" ref="B51:M51" si="23">B49+B50</f>
        <v>127349.41</v>
      </c>
      <c r="C51" s="83">
        <f t="shared" si="23"/>
        <v>106939.25</v>
      </c>
      <c r="D51" s="83">
        <f t="shared" si="23"/>
        <v>136418.17</v>
      </c>
      <c r="E51" s="83">
        <f t="shared" si="23"/>
        <v>142469.16</v>
      </c>
      <c r="F51" s="83">
        <f t="shared" si="23"/>
        <v>160056.7</v>
      </c>
      <c r="G51" s="83">
        <f t="shared" si="23"/>
        <v>155309.61</v>
      </c>
      <c r="H51" s="83">
        <f t="shared" si="23"/>
        <v>190391.14</v>
      </c>
      <c r="I51" s="135">
        <f t="shared" si="23"/>
        <v>179518.03</v>
      </c>
      <c r="J51" s="135">
        <f t="shared" si="23"/>
        <v>222294.88</v>
      </c>
      <c r="K51" s="135">
        <f t="shared" si="23"/>
        <v>199236.03</v>
      </c>
      <c r="L51" s="135">
        <f t="shared" si="23"/>
        <v>195874.47</v>
      </c>
      <c r="M51" s="891">
        <f t="shared" si="23"/>
        <v>169469.44</v>
      </c>
      <c r="N51" s="888">
        <f t="shared" si="22"/>
        <v>1985326.29</v>
      </c>
      <c r="O51" s="9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0.5" hidden="1" customHeight="1">
      <c r="A52" s="82" t="s">
        <v>73</v>
      </c>
      <c r="B52" s="83">
        <v>0.0</v>
      </c>
      <c r="C52" s="83">
        <v>0.0</v>
      </c>
      <c r="D52" s="83">
        <v>0.0</v>
      </c>
      <c r="E52" s="83">
        <v>0.0</v>
      </c>
      <c r="F52" s="83">
        <v>0.0</v>
      </c>
      <c r="G52" s="83">
        <v>0.0</v>
      </c>
      <c r="H52" s="83">
        <v>0.0</v>
      </c>
      <c r="I52" s="135">
        <v>0.0</v>
      </c>
      <c r="J52" s="135">
        <v>0.0</v>
      </c>
      <c r="K52" s="135">
        <v>0.0</v>
      </c>
      <c r="L52" s="135">
        <v>0.0</v>
      </c>
      <c r="M52" s="891">
        <v>0.0</v>
      </c>
      <c r="N52" s="888">
        <f t="shared" si="22"/>
        <v>0</v>
      </c>
      <c r="O52" s="9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0.5" hidden="1" customHeight="1">
      <c r="A53" s="82" t="s">
        <v>75</v>
      </c>
      <c r="B53" s="83">
        <f t="shared" ref="B53:M53" si="24">B51+B52</f>
        <v>127349.41</v>
      </c>
      <c r="C53" s="83">
        <f t="shared" si="24"/>
        <v>106939.25</v>
      </c>
      <c r="D53" s="83">
        <f t="shared" si="24"/>
        <v>136418.17</v>
      </c>
      <c r="E53" s="83">
        <f t="shared" si="24"/>
        <v>142469.16</v>
      </c>
      <c r="F53" s="83">
        <f t="shared" si="24"/>
        <v>160056.7</v>
      </c>
      <c r="G53" s="83">
        <f t="shared" si="24"/>
        <v>155309.61</v>
      </c>
      <c r="H53" s="83">
        <f t="shared" si="24"/>
        <v>190391.14</v>
      </c>
      <c r="I53" s="135">
        <f t="shared" si="24"/>
        <v>179518.03</v>
      </c>
      <c r="J53" s="135">
        <f t="shared" si="24"/>
        <v>222294.88</v>
      </c>
      <c r="K53" s="135">
        <f t="shared" si="24"/>
        <v>199236.03</v>
      </c>
      <c r="L53" s="135">
        <f t="shared" si="24"/>
        <v>195874.47</v>
      </c>
      <c r="M53" s="891">
        <f t="shared" si="24"/>
        <v>169469.44</v>
      </c>
      <c r="N53" s="888">
        <f t="shared" si="22"/>
        <v>1985326.29</v>
      </c>
      <c r="O53" s="9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0.5" hidden="1" customHeight="1">
      <c r="A54" s="82" t="s">
        <v>77</v>
      </c>
      <c r="B54" s="83">
        <v>-119600.7</v>
      </c>
      <c r="C54" s="83">
        <v>-116142.96</v>
      </c>
      <c r="D54" s="83">
        <v>-126675.47</v>
      </c>
      <c r="E54" s="83">
        <v>-155414.07</v>
      </c>
      <c r="F54" s="83">
        <v>-168268.86</v>
      </c>
      <c r="G54" s="890">
        <v>-147284.64</v>
      </c>
      <c r="H54" s="890">
        <v>-144221.85</v>
      </c>
      <c r="I54" s="886">
        <v>-128761.47</v>
      </c>
      <c r="J54" s="886">
        <v>-140841.98</v>
      </c>
      <c r="K54" s="886">
        <v>-144184.69</v>
      </c>
      <c r="L54" s="886">
        <v>-171076.06</v>
      </c>
      <c r="M54" s="887">
        <v>-188524.94</v>
      </c>
      <c r="N54" s="888">
        <f t="shared" si="22"/>
        <v>-1750997.69</v>
      </c>
      <c r="O54" s="9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0.5" hidden="1" customHeight="1">
      <c r="A55" s="1127" t="s">
        <v>80</v>
      </c>
      <c r="B55" s="264">
        <f t="shared" ref="B55:M55" si="25">B53+B54</f>
        <v>7748.71</v>
      </c>
      <c r="C55" s="264">
        <f t="shared" si="25"/>
        <v>-9203.71</v>
      </c>
      <c r="D55" s="264">
        <f t="shared" si="25"/>
        <v>9742.7</v>
      </c>
      <c r="E55" s="264">
        <f t="shared" si="25"/>
        <v>-12944.91</v>
      </c>
      <c r="F55" s="264">
        <f t="shared" si="25"/>
        <v>-8212.16</v>
      </c>
      <c r="G55" s="264">
        <f t="shared" si="25"/>
        <v>8024.97</v>
      </c>
      <c r="H55" s="264">
        <f t="shared" si="25"/>
        <v>46169.29</v>
      </c>
      <c r="I55" s="1130">
        <f t="shared" si="25"/>
        <v>50756.56</v>
      </c>
      <c r="J55" s="1130">
        <f t="shared" si="25"/>
        <v>81452.9</v>
      </c>
      <c r="K55" s="1130">
        <f t="shared" si="25"/>
        <v>55051.34</v>
      </c>
      <c r="L55" s="1130">
        <f t="shared" si="25"/>
        <v>24798.41</v>
      </c>
      <c r="M55" s="1131">
        <f t="shared" si="25"/>
        <v>-19055.5</v>
      </c>
      <c r="N55" s="1130">
        <f t="shared" si="22"/>
        <v>234328.6</v>
      </c>
      <c r="O55" s="9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0.5" hidden="1" customHeight="1">
      <c r="A56" s="82" t="s">
        <v>82</v>
      </c>
      <c r="B56" s="83">
        <v>-25384.32</v>
      </c>
      <c r="C56" s="83">
        <v>-25384.32</v>
      </c>
      <c r="D56" s="83">
        <v>-25384.32</v>
      </c>
      <c r="E56" s="83">
        <v>-25321.07</v>
      </c>
      <c r="F56" s="83">
        <v>-25093.6</v>
      </c>
      <c r="G56" s="890">
        <v>-25164.18</v>
      </c>
      <c r="H56" s="890">
        <v>-25151.75</v>
      </c>
      <c r="I56" s="886">
        <v>-25054.27</v>
      </c>
      <c r="J56" s="886">
        <v>-24403.04</v>
      </c>
      <c r="K56" s="886">
        <v>-17071.46</v>
      </c>
      <c r="L56" s="886">
        <v>-13402.96</v>
      </c>
      <c r="M56" s="887">
        <v>-27283.65</v>
      </c>
      <c r="N56" s="888">
        <f t="shared" si="22"/>
        <v>-284098.94</v>
      </c>
      <c r="O56" s="9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0.5" hidden="1" customHeight="1">
      <c r="A57" s="82" t="s">
        <v>83</v>
      </c>
      <c r="B57" s="83">
        <f t="shared" ref="B57:M57" si="26">B55+B56</f>
        <v>-17635.61</v>
      </c>
      <c r="C57" s="83">
        <f t="shared" si="26"/>
        <v>-34588.03</v>
      </c>
      <c r="D57" s="83">
        <f t="shared" si="26"/>
        <v>-15641.62</v>
      </c>
      <c r="E57" s="83">
        <f t="shared" si="26"/>
        <v>-38265.98</v>
      </c>
      <c r="F57" s="83">
        <f t="shared" si="26"/>
        <v>-33305.76</v>
      </c>
      <c r="G57" s="83">
        <f t="shared" si="26"/>
        <v>-17139.21</v>
      </c>
      <c r="H57" s="83">
        <f t="shared" si="26"/>
        <v>21017.54</v>
      </c>
      <c r="I57" s="135">
        <f t="shared" si="26"/>
        <v>25702.29</v>
      </c>
      <c r="J57" s="135">
        <f t="shared" si="26"/>
        <v>57049.86</v>
      </c>
      <c r="K57" s="135">
        <f t="shared" si="26"/>
        <v>37979.88</v>
      </c>
      <c r="L57" s="135">
        <f t="shared" si="26"/>
        <v>11395.45</v>
      </c>
      <c r="M57" s="891">
        <f t="shared" si="26"/>
        <v>-46339.15</v>
      </c>
      <c r="N57" s="888">
        <f t="shared" si="22"/>
        <v>-49770.34</v>
      </c>
      <c r="O57" s="9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0.5" hidden="1" customHeight="1">
      <c r="A58" s="82" t="s">
        <v>84</v>
      </c>
      <c r="B58" s="83">
        <v>-4416.37</v>
      </c>
      <c r="C58" s="83">
        <v>-3860.56</v>
      </c>
      <c r="D58" s="83">
        <v>-4492.13</v>
      </c>
      <c r="E58" s="83">
        <v>-4523.78</v>
      </c>
      <c r="F58" s="83">
        <v>-4745.28</v>
      </c>
      <c r="G58" s="890">
        <v>-4597.99</v>
      </c>
      <c r="H58" s="890">
        <v>-5737.81</v>
      </c>
      <c r="I58" s="886">
        <v>-4845.22</v>
      </c>
      <c r="J58" s="886">
        <v>-5201.57</v>
      </c>
      <c r="K58" s="886">
        <v>-4626.98</v>
      </c>
      <c r="L58" s="886">
        <v>-4623.14</v>
      </c>
      <c r="M58" s="887">
        <v>-4530.0</v>
      </c>
      <c r="N58" s="888">
        <f t="shared" si="22"/>
        <v>-56200.83</v>
      </c>
      <c r="O58" s="9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0.5" hidden="1" customHeight="1">
      <c r="A59" s="82" t="s">
        <v>86</v>
      </c>
      <c r="B59" s="83">
        <f t="shared" ref="B59:M59" si="27">B57+B58</f>
        <v>-22051.98</v>
      </c>
      <c r="C59" s="83">
        <f t="shared" si="27"/>
        <v>-38448.59</v>
      </c>
      <c r="D59" s="83">
        <f t="shared" si="27"/>
        <v>-20133.75</v>
      </c>
      <c r="E59" s="83">
        <f t="shared" si="27"/>
        <v>-42789.76</v>
      </c>
      <c r="F59" s="83">
        <f t="shared" si="27"/>
        <v>-38051.04</v>
      </c>
      <c r="G59" s="83">
        <f t="shared" si="27"/>
        <v>-21737.2</v>
      </c>
      <c r="H59" s="83">
        <f t="shared" si="27"/>
        <v>15279.73</v>
      </c>
      <c r="I59" s="135">
        <f t="shared" si="27"/>
        <v>20857.07</v>
      </c>
      <c r="J59" s="135">
        <f t="shared" si="27"/>
        <v>51848.29</v>
      </c>
      <c r="K59" s="135">
        <f t="shared" si="27"/>
        <v>33352.9</v>
      </c>
      <c r="L59" s="135">
        <f t="shared" si="27"/>
        <v>6772.31</v>
      </c>
      <c r="M59" s="891">
        <f t="shared" si="27"/>
        <v>-50869.15</v>
      </c>
      <c r="N59" s="888">
        <f t="shared" si="22"/>
        <v>-105971.17</v>
      </c>
      <c r="O59" s="9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0.5" hidden="1" customHeight="1">
      <c r="A60" s="82" t="s">
        <v>87</v>
      </c>
      <c r="B60" s="83">
        <v>0.0</v>
      </c>
      <c r="C60" s="83">
        <v>0.0</v>
      </c>
      <c r="D60" s="83">
        <v>0.0</v>
      </c>
      <c r="E60" s="83">
        <v>0.0</v>
      </c>
      <c r="F60" s="83">
        <v>0.0</v>
      </c>
      <c r="G60" s="83">
        <v>0.0</v>
      </c>
      <c r="H60" s="83">
        <v>0.0</v>
      </c>
      <c r="I60" s="135">
        <v>0.0</v>
      </c>
      <c r="J60" s="135">
        <v>0.0</v>
      </c>
      <c r="K60" s="135">
        <v>0.0</v>
      </c>
      <c r="L60" s="135">
        <v>0.0</v>
      </c>
      <c r="M60" s="891">
        <v>0.0</v>
      </c>
      <c r="N60" s="888">
        <f t="shared" si="22"/>
        <v>0</v>
      </c>
      <c r="O60" s="9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0.5" hidden="1" customHeight="1">
      <c r="A61" s="1132" t="s">
        <v>89</v>
      </c>
      <c r="B61" s="270">
        <f t="shared" ref="B61:M61" si="28">B59+B60</f>
        <v>-22051.98</v>
      </c>
      <c r="C61" s="270">
        <f t="shared" si="28"/>
        <v>-38448.59</v>
      </c>
      <c r="D61" s="270">
        <f t="shared" si="28"/>
        <v>-20133.75</v>
      </c>
      <c r="E61" s="270">
        <f t="shared" si="28"/>
        <v>-42789.76</v>
      </c>
      <c r="F61" s="270">
        <f t="shared" si="28"/>
        <v>-38051.04</v>
      </c>
      <c r="G61" s="270">
        <f t="shared" si="28"/>
        <v>-21737.2</v>
      </c>
      <c r="H61" s="270">
        <f t="shared" si="28"/>
        <v>15279.73</v>
      </c>
      <c r="I61" s="1133">
        <f t="shared" si="28"/>
        <v>20857.07</v>
      </c>
      <c r="J61" s="1133">
        <f t="shared" si="28"/>
        <v>51848.29</v>
      </c>
      <c r="K61" s="1133">
        <f t="shared" si="28"/>
        <v>33352.9</v>
      </c>
      <c r="L61" s="1133">
        <f t="shared" si="28"/>
        <v>6772.31</v>
      </c>
      <c r="M61" s="1134">
        <f t="shared" si="28"/>
        <v>-50869.15</v>
      </c>
      <c r="N61" s="888">
        <f t="shared" si="22"/>
        <v>-105971.17</v>
      </c>
      <c r="O61" s="9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0.5" hidden="1" customHeight="1">
      <c r="A62" s="126" t="s">
        <v>92</v>
      </c>
      <c r="B62" s="895">
        <v>44603.0</v>
      </c>
      <c r="C62" s="895">
        <v>44631.0</v>
      </c>
      <c r="D62" s="895">
        <v>44659.0</v>
      </c>
      <c r="E62" s="895">
        <v>44690.0</v>
      </c>
      <c r="F62" s="895">
        <v>44720.0</v>
      </c>
      <c r="G62" s="897">
        <v>44750.0</v>
      </c>
      <c r="H62" s="897">
        <v>44778.0</v>
      </c>
      <c r="I62" s="897">
        <v>44820.0</v>
      </c>
      <c r="J62" s="897">
        <v>44841.0</v>
      </c>
      <c r="K62" s="897">
        <v>44875.0</v>
      </c>
      <c r="L62" s="897">
        <v>44902.0</v>
      </c>
      <c r="M62" s="1135">
        <v>44931.0</v>
      </c>
      <c r="N62" s="1135">
        <v>44931.0</v>
      </c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ht="10.5" hidden="1" customHeight="1">
      <c r="A63" s="1136"/>
      <c r="B63" s="946"/>
      <c r="C63" s="939"/>
      <c r="D63" s="939"/>
      <c r="E63" s="939"/>
      <c r="F63" s="939"/>
      <c r="G63" s="939"/>
      <c r="H63" s="939"/>
      <c r="I63" s="939"/>
      <c r="J63" s="93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0.5" hidden="1" customHeight="1">
      <c r="A64" s="1035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0.5" hidden="1" customHeight="1">
      <c r="A65" s="1035"/>
      <c r="B65" s="1137">
        <v>7277.54</v>
      </c>
      <c r="C65" s="1028">
        <v>1.0</v>
      </c>
      <c r="D65" s="310"/>
      <c r="E65" s="310"/>
      <c r="F65" s="1138" t="s">
        <v>143</v>
      </c>
      <c r="G65" s="310"/>
      <c r="H65" s="310"/>
      <c r="I65" s="310"/>
      <c r="J65" s="310"/>
      <c r="K65" s="310"/>
      <c r="L65" s="310"/>
      <c r="M65" s="31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0.5" hidden="1" customHeight="1">
      <c r="A66" s="4"/>
      <c r="B66" s="1137">
        <v>723.76</v>
      </c>
      <c r="C66" s="310">
        <f>B66/B65</f>
        <v>0.09945118818</v>
      </c>
      <c r="D66" s="5"/>
      <c r="E66" s="5"/>
      <c r="F66" s="5"/>
      <c r="G66" s="5"/>
      <c r="H66" s="5"/>
      <c r="I66" s="5"/>
      <c r="J66" s="5"/>
      <c r="K66" s="4"/>
      <c r="L66" s="921" t="s">
        <v>342</v>
      </c>
      <c r="M66" s="922"/>
      <c r="N66" s="923">
        <v>0.0065</v>
      </c>
      <c r="O66" s="924" t="s">
        <v>343</v>
      </c>
      <c r="P66" s="925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0.5" hidden="1" customHeight="1">
      <c r="A67" s="4"/>
      <c r="B67" s="1137">
        <v>4628.81</v>
      </c>
      <c r="C67" s="1139">
        <f>B67/B65</f>
        <v>0.6360404752</v>
      </c>
      <c r="D67" s="5"/>
      <c r="E67" s="5"/>
      <c r="F67" s="5"/>
      <c r="G67" s="5"/>
      <c r="H67" s="5"/>
      <c r="I67" s="5"/>
      <c r="J67" s="5"/>
      <c r="K67" s="4"/>
      <c r="L67" s="928"/>
      <c r="M67" s="803"/>
      <c r="N67" s="929">
        <v>0.03</v>
      </c>
      <c r="O67" s="931" t="s">
        <v>357</v>
      </c>
      <c r="P67" s="933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0.5" hidden="1" customHeight="1">
      <c r="A68" s="91"/>
      <c r="B68" s="1137">
        <v>1447.51</v>
      </c>
      <c r="C68" s="1139">
        <f>B68/B65</f>
        <v>0.1989010023</v>
      </c>
      <c r="D68" s="927"/>
      <c r="E68" s="5"/>
      <c r="F68" s="5"/>
      <c r="G68" s="5"/>
      <c r="H68" s="5"/>
      <c r="I68" s="5"/>
      <c r="J68" s="5"/>
      <c r="K68" s="4"/>
      <c r="L68" s="928"/>
      <c r="M68" s="803"/>
      <c r="N68" s="929">
        <v>0.05</v>
      </c>
      <c r="O68" s="931" t="s">
        <v>450</v>
      </c>
      <c r="P68" s="933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0.5" hidden="1" customHeight="1">
      <c r="A69" s="889"/>
      <c r="B69" s="86"/>
      <c r="C69" s="86"/>
      <c r="D69" s="927"/>
      <c r="E69" s="86"/>
      <c r="F69" s="5"/>
      <c r="G69" s="134"/>
      <c r="H69" s="5"/>
      <c r="I69" s="5"/>
      <c r="J69" s="5"/>
      <c r="K69" s="4"/>
      <c r="L69" s="940" t="s">
        <v>359</v>
      </c>
      <c r="M69" s="802"/>
      <c r="N69" s="941">
        <v>0.1088</v>
      </c>
      <c r="O69" s="802" t="s">
        <v>360</v>
      </c>
      <c r="P69" s="933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0.5" hidden="1" customHeight="1">
      <c r="A70" s="91"/>
      <c r="B70" s="5"/>
      <c r="C70" s="5"/>
      <c r="D70" s="5"/>
      <c r="E70" s="5"/>
      <c r="F70" s="5"/>
      <c r="G70" s="5"/>
      <c r="H70" s="5"/>
      <c r="I70" s="5"/>
      <c r="J70" s="5"/>
      <c r="K70" s="4"/>
      <c r="L70" s="942" t="s">
        <v>361</v>
      </c>
      <c r="M70" s="943"/>
      <c r="N70" s="943"/>
      <c r="O70" s="943"/>
      <c r="P70" s="94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0.5" hidden="1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0.5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0.5" customHeight="1">
      <c r="A73" s="78"/>
      <c r="B73" s="1140" t="s">
        <v>318</v>
      </c>
      <c r="C73" s="1140" t="s">
        <v>319</v>
      </c>
      <c r="D73" s="1140" t="s">
        <v>320</v>
      </c>
      <c r="E73" s="1140" t="s">
        <v>321</v>
      </c>
      <c r="F73" s="1140" t="s">
        <v>322</v>
      </c>
      <c r="G73" s="1140" t="s">
        <v>323</v>
      </c>
      <c r="H73" s="1140" t="s">
        <v>324</v>
      </c>
      <c r="I73" s="1140" t="s">
        <v>325</v>
      </c>
      <c r="J73" s="1140" t="s">
        <v>326</v>
      </c>
      <c r="K73" s="1140" t="s">
        <v>327</v>
      </c>
      <c r="L73" s="1140" t="s">
        <v>328</v>
      </c>
      <c r="M73" s="1140" t="s">
        <v>329</v>
      </c>
      <c r="N73" s="76"/>
      <c r="O73" s="7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0.5" customHeight="1">
      <c r="A74" s="1141" t="s">
        <v>27</v>
      </c>
      <c r="B74" s="1142">
        <v>124514.12</v>
      </c>
      <c r="C74" s="1142">
        <v>61509.12</v>
      </c>
      <c r="D74" s="1142">
        <v>79830.77</v>
      </c>
      <c r="E74" s="1142">
        <v>52678.68</v>
      </c>
      <c r="F74" s="1142">
        <v>82704.06</v>
      </c>
      <c r="G74" s="1142">
        <v>130898.38</v>
      </c>
      <c r="H74" s="1142">
        <v>141442.45</v>
      </c>
      <c r="I74" s="1142">
        <v>142390.9</v>
      </c>
      <c r="J74" s="1142">
        <v>156198.68</v>
      </c>
      <c r="K74" s="1142">
        <v>45578.61</v>
      </c>
      <c r="L74" s="1142">
        <v>-58892.5</v>
      </c>
      <c r="M74" s="1142">
        <v>90132.46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0.5" customHeight="1">
      <c r="A75" s="1141" t="s">
        <v>138</v>
      </c>
      <c r="B75" s="1142">
        <v>127061.08</v>
      </c>
      <c r="C75" s="1142">
        <v>61551.95</v>
      </c>
      <c r="D75" s="1142">
        <v>88999.01</v>
      </c>
      <c r="E75" s="1142">
        <v>92397.33</v>
      </c>
      <c r="F75" s="1142">
        <v>93268.14</v>
      </c>
      <c r="G75" s="1142">
        <v>89521.01</v>
      </c>
      <c r="H75" s="1142">
        <v>193346.32</v>
      </c>
      <c r="I75" s="1142">
        <v>133980.99</v>
      </c>
      <c r="J75" s="1142">
        <v>155412.9</v>
      </c>
      <c r="K75" s="1142">
        <v>152542.42</v>
      </c>
      <c r="L75" s="1142">
        <v>161739.25</v>
      </c>
      <c r="M75" s="1142">
        <v>171761.6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0.5" customHeight="1">
      <c r="A76" s="1141" t="s">
        <v>36</v>
      </c>
      <c r="B76" s="1143">
        <v>238054.32</v>
      </c>
      <c r="C76" s="1144">
        <v>119292.41</v>
      </c>
      <c r="D76" s="1144">
        <v>176017.31</v>
      </c>
      <c r="E76" s="1144">
        <v>105018.52</v>
      </c>
      <c r="F76" s="1143">
        <v>189343.6</v>
      </c>
      <c r="G76" s="1143">
        <v>100045.15</v>
      </c>
      <c r="H76" s="1143">
        <v>260075.37</v>
      </c>
      <c r="I76" s="1143"/>
      <c r="J76" s="1143"/>
      <c r="K76" s="1143"/>
      <c r="L76" s="1143"/>
      <c r="M76" s="114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0.5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0.5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0.5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0.5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0.5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0.5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0.5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0.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0.5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0.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0.5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0.5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0.5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0.5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0.5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0.5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0.5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0.5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0.5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0.5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0.5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0.5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0.5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0.5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0.5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0.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0.5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0.5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0.5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0.5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0.5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0.5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0.5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0.5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0.5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0.5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0.5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0.5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0.5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0.5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0.5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0.5" customHeight="1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0.5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0.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0.5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0.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0.5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0.5" customHeight="1">
      <c r="A130" s="979"/>
      <c r="B130" s="980" t="s">
        <v>383</v>
      </c>
      <c r="C130" s="980" t="s">
        <v>385</v>
      </c>
      <c r="D130" s="980" t="s">
        <v>386</v>
      </c>
      <c r="E130" s="1145" t="s">
        <v>451</v>
      </c>
      <c r="F130" s="980" t="s">
        <v>383</v>
      </c>
      <c r="G130" s="980" t="s">
        <v>385</v>
      </c>
      <c r="H130" s="980" t="s">
        <v>386</v>
      </c>
      <c r="I130" s="1145" t="s">
        <v>451</v>
      </c>
      <c r="J130" s="980" t="s">
        <v>387</v>
      </c>
      <c r="K130" s="980" t="s">
        <v>388</v>
      </c>
      <c r="L130" s="980" t="s">
        <v>389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0.5" customHeight="1">
      <c r="A131" s="982" t="s">
        <v>390</v>
      </c>
      <c r="B131" s="983">
        <v>471433.24</v>
      </c>
      <c r="C131" s="983">
        <v>520386.0</v>
      </c>
      <c r="D131" s="983">
        <v>559403.13</v>
      </c>
      <c r="E131" s="979"/>
      <c r="F131" s="983">
        <v>2650309.01</v>
      </c>
      <c r="G131" s="983">
        <v>3069380.0</v>
      </c>
      <c r="H131" s="983">
        <v>3447709.26</v>
      </c>
      <c r="I131" s="979"/>
      <c r="J131" s="983">
        <v>4863839.6</v>
      </c>
      <c r="K131" s="983">
        <v>5484732.0</v>
      </c>
      <c r="L131" s="983">
        <v>6021299.26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0.5" customHeight="1">
      <c r="A132" s="982" t="s">
        <v>392</v>
      </c>
      <c r="B132" s="985">
        <v>-70383.63</v>
      </c>
      <c r="C132" s="985">
        <v>-74155.01</v>
      </c>
      <c r="D132" s="985">
        <v>-80256.91</v>
      </c>
      <c r="E132" s="979"/>
      <c r="F132" s="985">
        <v>-386053.37</v>
      </c>
      <c r="G132" s="985">
        <v>-437386.69</v>
      </c>
      <c r="H132" s="985">
        <v>-497836.8</v>
      </c>
      <c r="I132" s="979"/>
      <c r="J132" s="985">
        <v>-706703.87</v>
      </c>
      <c r="K132" s="985">
        <v>-781574.36</v>
      </c>
      <c r="L132" s="985">
        <v>-864573.39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0.5" customHeight="1">
      <c r="A133" s="982" t="s">
        <v>394</v>
      </c>
      <c r="B133" s="983">
        <v>401049.61</v>
      </c>
      <c r="C133" s="983">
        <v>446230.99</v>
      </c>
      <c r="D133" s="983">
        <v>479146.22</v>
      </c>
      <c r="E133" s="979"/>
      <c r="F133" s="983">
        <v>2264255.64</v>
      </c>
      <c r="G133" s="983">
        <v>2631993.31</v>
      </c>
      <c r="H133" s="983">
        <v>2949872.46</v>
      </c>
      <c r="I133" s="979"/>
      <c r="J133" s="983">
        <v>4157135.73</v>
      </c>
      <c r="K133" s="983">
        <v>4703157.64</v>
      </c>
      <c r="L133" s="983">
        <v>5156725.87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0.5" customHeight="1">
      <c r="A134" s="982" t="s">
        <v>397</v>
      </c>
      <c r="B134" s="983">
        <v>401049.61</v>
      </c>
      <c r="C134" s="983">
        <v>446230.99</v>
      </c>
      <c r="D134" s="983">
        <v>479146.22</v>
      </c>
      <c r="E134" s="979"/>
      <c r="F134" s="983">
        <v>2264255.64</v>
      </c>
      <c r="G134" s="983">
        <v>2631993.31</v>
      </c>
      <c r="H134" s="983">
        <v>2949872.46</v>
      </c>
      <c r="I134" s="979"/>
      <c r="J134" s="983">
        <v>4157135.73</v>
      </c>
      <c r="K134" s="983">
        <v>4703157.64</v>
      </c>
      <c r="L134" s="983">
        <v>5156725.87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0.5" customHeight="1">
      <c r="A135" s="982" t="s">
        <v>398</v>
      </c>
      <c r="B135" s="985">
        <v>-259607.16</v>
      </c>
      <c r="C135" s="985">
        <v>-252884.67</v>
      </c>
      <c r="D135" s="985">
        <v>-219070.85</v>
      </c>
      <c r="E135" s="979"/>
      <c r="F135" s="985">
        <v>-1590678.06</v>
      </c>
      <c r="G135" s="985">
        <v>-1885848.47</v>
      </c>
      <c r="H135" s="985">
        <v>-1762025.78</v>
      </c>
      <c r="I135" s="979"/>
      <c r="J135" s="985">
        <v>-3108150.0</v>
      </c>
      <c r="K135" s="985">
        <v>-3181575.63</v>
      </c>
      <c r="L135" s="985">
        <v>-3205956.94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0.5" customHeight="1">
      <c r="A136" s="982" t="s">
        <v>400</v>
      </c>
      <c r="B136" s="983">
        <v>141442.45</v>
      </c>
      <c r="C136" s="983">
        <v>193346.32</v>
      </c>
      <c r="D136" s="983">
        <v>260075.37</v>
      </c>
      <c r="E136" s="979"/>
      <c r="F136" s="983">
        <v>673577.58</v>
      </c>
      <c r="G136" s="983">
        <v>746144.84</v>
      </c>
      <c r="H136" s="983">
        <v>1187846.68</v>
      </c>
      <c r="I136" s="979"/>
      <c r="J136" s="983">
        <v>1048985.73</v>
      </c>
      <c r="K136" s="983">
        <v>1521582.01</v>
      </c>
      <c r="L136" s="983">
        <v>1950768.93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0.5" customHeight="1">
      <c r="A137" s="982" t="s">
        <v>401</v>
      </c>
      <c r="B137" s="985">
        <v>-42864.2</v>
      </c>
      <c r="C137" s="985">
        <v>-46251.73</v>
      </c>
      <c r="D137" s="985">
        <v>-43081.63</v>
      </c>
      <c r="E137" s="979"/>
      <c r="F137" s="985">
        <v>-300713.95</v>
      </c>
      <c r="G137" s="985">
        <v>-322832.81</v>
      </c>
      <c r="H137" s="985">
        <v>-299880.51</v>
      </c>
      <c r="I137" s="979"/>
      <c r="J137" s="985">
        <v>-511632.64</v>
      </c>
      <c r="K137" s="985">
        <v>-547666.56</v>
      </c>
      <c r="L137" s="985">
        <v>-524714.26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0.5" customHeight="1">
      <c r="A138" s="982" t="s">
        <v>403</v>
      </c>
      <c r="B138" s="983">
        <v>98578.25</v>
      </c>
      <c r="C138" s="983">
        <v>147094.59</v>
      </c>
      <c r="D138" s="983">
        <v>216993.74</v>
      </c>
      <c r="E138" s="979"/>
      <c r="F138" s="983">
        <v>372863.63</v>
      </c>
      <c r="G138" s="983">
        <v>423312.03</v>
      </c>
      <c r="H138" s="983">
        <v>887966.17</v>
      </c>
      <c r="I138" s="979"/>
      <c r="J138" s="983">
        <v>537353.09</v>
      </c>
      <c r="K138" s="983">
        <v>973915.45</v>
      </c>
      <c r="L138" s="983">
        <v>1426054.67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0.5" customHeight="1">
      <c r="A139" s="982" t="s">
        <v>84</v>
      </c>
      <c r="B139" s="985">
        <v>-11992.34</v>
      </c>
      <c r="C139" s="985">
        <v>-9183.05</v>
      </c>
      <c r="D139" s="985">
        <v>-800.54</v>
      </c>
      <c r="E139" s="979"/>
      <c r="F139" s="985">
        <v>-86242.2</v>
      </c>
      <c r="G139" s="985">
        <v>-65034.89</v>
      </c>
      <c r="H139" s="985">
        <v>-34448.61</v>
      </c>
      <c r="I139" s="979"/>
      <c r="J139" s="985">
        <v>-127921.37</v>
      </c>
      <c r="K139" s="985">
        <v>-111169.26</v>
      </c>
      <c r="L139" s="985">
        <v>-80582.98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36" t="s">
        <v>452</v>
      </c>
      <c r="B140" s="989">
        <v>3788.41</v>
      </c>
      <c r="C140" s="989">
        <v>5215.58</v>
      </c>
      <c r="D140" s="989">
        <v>10036.61</v>
      </c>
      <c r="E140" s="979"/>
      <c r="F140" s="989">
        <v>12393.38</v>
      </c>
      <c r="G140" s="989">
        <v>38038.07</v>
      </c>
      <c r="H140" s="989">
        <v>52776.69</v>
      </c>
      <c r="I140" s="979"/>
      <c r="J140" s="989">
        <v>45183.64</v>
      </c>
      <c r="K140" s="989">
        <v>62833.68</v>
      </c>
      <c r="L140" s="989">
        <v>77572.3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36" t="s">
        <v>453</v>
      </c>
      <c r="B141" s="990">
        <v>-15780.75</v>
      </c>
      <c r="C141" s="990">
        <v>-14398.63</v>
      </c>
      <c r="D141" s="990">
        <v>-10837.15</v>
      </c>
      <c r="E141" s="979"/>
      <c r="F141" s="990">
        <v>-98635.58</v>
      </c>
      <c r="G141" s="990">
        <v>-103072.96</v>
      </c>
      <c r="H141" s="990">
        <v>-87225.3</v>
      </c>
      <c r="I141" s="979"/>
      <c r="J141" s="990">
        <v>-173105.01</v>
      </c>
      <c r="K141" s="990">
        <v>-174002.94</v>
      </c>
      <c r="L141" s="990">
        <v>-158155.28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0.5" customHeight="1">
      <c r="A142" s="982" t="s">
        <v>86</v>
      </c>
      <c r="B142" s="983">
        <v>86585.91</v>
      </c>
      <c r="C142" s="983">
        <v>137911.54</v>
      </c>
      <c r="D142" s="983">
        <v>216193.2</v>
      </c>
      <c r="E142" s="979"/>
      <c r="F142" s="983">
        <v>286621.43</v>
      </c>
      <c r="G142" s="983">
        <v>358277.14</v>
      </c>
      <c r="H142" s="983">
        <v>853517.56</v>
      </c>
      <c r="I142" s="979"/>
      <c r="J142" s="983">
        <v>409431.72</v>
      </c>
      <c r="K142" s="983">
        <v>862746.19</v>
      </c>
      <c r="L142" s="983">
        <v>1345471.69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0.5" customHeight="1">
      <c r="A143" s="982" t="s">
        <v>87</v>
      </c>
      <c r="B143" s="985">
        <v>-15047.49</v>
      </c>
      <c r="C143" s="985">
        <v>-32320.9</v>
      </c>
      <c r="D143" s="985">
        <v>-46463.44</v>
      </c>
      <c r="E143" s="979"/>
      <c r="F143" s="985">
        <v>-53163.72</v>
      </c>
      <c r="G143" s="985">
        <v>-81853.08</v>
      </c>
      <c r="H143" s="985">
        <v>-190167.49</v>
      </c>
      <c r="I143" s="979"/>
      <c r="J143" s="985">
        <v>-101236.0</v>
      </c>
      <c r="K143" s="985">
        <v>-199249.83</v>
      </c>
      <c r="L143" s="985">
        <v>-307564.24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0.5" customHeight="1">
      <c r="A144" s="982" t="s">
        <v>410</v>
      </c>
      <c r="B144" s="983">
        <v>71538.42</v>
      </c>
      <c r="C144" s="983">
        <v>105590.64</v>
      </c>
      <c r="D144" s="983">
        <v>169729.76</v>
      </c>
      <c r="E144" s="979"/>
      <c r="F144" s="983">
        <v>233457.71</v>
      </c>
      <c r="G144" s="983">
        <v>276424.06</v>
      </c>
      <c r="H144" s="983">
        <v>663350.07</v>
      </c>
      <c r="I144" s="979"/>
      <c r="J144" s="983">
        <v>308195.72</v>
      </c>
      <c r="K144" s="983">
        <v>663496.36</v>
      </c>
      <c r="L144" s="983">
        <v>1037907.45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0.5" customHeight="1">
      <c r="A145" s="988" t="s">
        <v>411</v>
      </c>
      <c r="B145" s="992">
        <v>0.3527</v>
      </c>
      <c r="C145" s="992">
        <v>0.4333</v>
      </c>
      <c r="D145" s="992">
        <v>0.5428</v>
      </c>
      <c r="E145" s="979"/>
      <c r="F145" s="992">
        <v>0.2975</v>
      </c>
      <c r="G145" s="992">
        <v>0.2835</v>
      </c>
      <c r="H145" s="993"/>
      <c r="I145" s="979"/>
      <c r="J145" s="992">
        <v>0.2523</v>
      </c>
      <c r="K145" s="992">
        <v>0.3235</v>
      </c>
      <c r="L145" s="992">
        <v>0.3783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0.5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0.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0.5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0.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0.5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0.5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0.5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0.5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0.5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0.5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0.5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0.5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0.5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0.5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0.5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0.5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0.5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0.5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0.5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0.5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0.5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0.5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0.5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0.5" customHeight="1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0.5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0.5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0.5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0.5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0.5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0.5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0.5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0.5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0.5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0.5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0.5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0.5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0.5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0.5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0.5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0.5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0.5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0.5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0.5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0.5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0.5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0.5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0.5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0.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0.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0.5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0.5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0.5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0.5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0.5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0.5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0.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0.5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0.5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0.5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0.5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0.5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0.5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0.5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0.5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0.5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0.5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0.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0.5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0.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0.5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0.5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0.5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0.5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.5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0.5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0.5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0.5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0.5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0.5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0.5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0.5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0.5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0.5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0.5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0.5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0.5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0.5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0.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0.5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0.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0.5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0.5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0.5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0.5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0.5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0.5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0.5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0.5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0.5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0.5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0.5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0.5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0.5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0.5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0.5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0.5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0.5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0.5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0.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0.5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0.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0.5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0.5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0.5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0.5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0.5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0.5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0.5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0.5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0.5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0.5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0.5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0.5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0.5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0.5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0.5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0.5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0.5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0.5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0.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0.5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0.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0.5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0.5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0.5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0.5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0.5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0.5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0.5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0.5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0.5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0.5" customHeight="1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0.5" customHeight="1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0.5" customHeight="1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0.5" customHeight="1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0.5" customHeight="1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0.5" customHeight="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0.5" customHeight="1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0.5" customHeight="1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0.5" customHeight="1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0.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0.5" customHeight="1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0.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0.5" customHeight="1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0.5" customHeight="1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0.5" customHeight="1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0.5" customHeight="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0.5" customHeight="1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0.5" customHeight="1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0.5" customHeight="1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0.5" customHeight="1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0.5" customHeight="1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0.5" customHeight="1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0.5" customHeight="1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0.5" customHeight="1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0.5" customHeight="1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0.5" customHeight="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0.5" customHeight="1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0.5" customHeight="1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0.5" customHeight="1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0.5" customHeight="1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0.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0.5" customHeight="1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0.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0.5" customHeight="1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0.5" customHeight="1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0.5" customHeight="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0.5" customHeight="1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0.5" customHeight="1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0.5" customHeight="1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0.5" customHeight="1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0.5" customHeight="1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0.5" customHeight="1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0.5" customHeight="1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0.5" customHeight="1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0.5" customHeight="1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0.5" customHeight="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0.5" customHeight="1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0.5" customHeight="1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0.5" customHeight="1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0.5" customHeight="1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0.5" customHeight="1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0.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0.5" customHeight="1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0.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0.5" customHeight="1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0.5" customHeight="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0.5" customHeight="1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0.5" customHeight="1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0.5" customHeight="1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0.5" customHeight="1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0.5" customHeight="1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0.5" customHeight="1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0.5" customHeight="1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0.5" customHeight="1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0.5" customHeight="1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0.5" customHeight="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0.5" customHeight="1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0.5" customHeight="1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0.5" customHeight="1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0.5" customHeight="1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0.5" customHeight="1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0.5" customHeight="1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0.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0.5" customHeight="1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0.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0.5" customHeight="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0.5" customHeight="1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0.5" customHeight="1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0.5" customHeight="1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0.5" customHeight="1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0.5" customHeight="1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0.5" customHeight="1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0.5" customHeight="1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0.5" customHeight="1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0.5" customHeight="1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0.5" customHeight="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0.5" customHeight="1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0.5" customHeight="1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0.5" customHeight="1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0.5" customHeight="1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0.5" customHeight="1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0.5" customHeight="1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0.5" customHeight="1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0.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0.5" customHeight="1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0.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0.5" customHeight="1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0.5" customHeight="1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0.5" customHeight="1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0.5" customHeight="1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0.5" customHeight="1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0.5" customHeight="1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0.5" customHeight="1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0.5" customHeight="1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0.5" customHeight="1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0.5" customHeight="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0.5" customHeight="1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0.5" customHeight="1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0.5" customHeight="1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0.5" customHeight="1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0.5" customHeight="1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0.5" customHeight="1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0.5" customHeight="1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0.5" customHeight="1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0.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0.5" customHeight="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0.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0.5" customHeight="1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0.5" customHeight="1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0.5" customHeight="1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0.5" customHeight="1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0.5" customHeight="1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0.5" customHeight="1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0.5" customHeight="1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0.5" customHeight="1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0.5" customHeight="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0.5" customHeight="1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0.5" customHeight="1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0.5" customHeight="1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0.5" customHeight="1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0.5" customHeight="1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0.5" customHeight="1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0.5" customHeight="1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0.5" customHeight="1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0.5" customHeight="1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0.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0.5" customHeight="1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0.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0.5" customHeight="1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0.5" customHeight="1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0.5" customHeight="1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0.5" customHeight="1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0.5" customHeight="1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0.5" customHeight="1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0.5" customHeight="1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0.5" customHeight="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0.5" customHeight="1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0.5" customHeight="1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0.5" customHeight="1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0.5" customHeight="1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0.5" customHeight="1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0.5" customHeight="1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0.5" customHeight="1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0.5" customHeight="1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0.5" customHeight="1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0.5" customHeight="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0.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0.5" customHeight="1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0.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0.5" customHeight="1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0.5" customHeight="1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0.5" customHeight="1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0.5" customHeight="1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0.5" customHeight="1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0.5" customHeight="1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0.5" customHeight="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0.5" customHeight="1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0.5" customHeight="1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0.5" customHeight="1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0.5" customHeight="1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0.5" customHeight="1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0.5" customHeight="1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0.5" customHeight="1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0.5" customHeight="1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0.5" customHeight="1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0.5" customHeight="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0.5" customHeight="1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0.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0.5" customHeight="1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0.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0.5" customHeight="1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0.5" customHeight="1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0.5" customHeight="1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0.5" customHeight="1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0.5" customHeight="1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0.5" customHeight="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0.5" customHeight="1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0.5" customHeight="1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0.5" customHeight="1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0.5" customHeight="1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0.5" customHeight="1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0.5" customHeight="1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0.5" customHeight="1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0.5" customHeight="1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0.5" customHeight="1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0.5" customHeight="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0.5" customHeight="1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0.5" customHeight="1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0.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0.5" customHeight="1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0.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0.5" customHeight="1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0.5" customHeight="1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0.5" customHeight="1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0.5" customHeight="1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0.5" customHeight="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0.5" customHeight="1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0.5" customHeight="1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0.5" customHeight="1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0.5" customHeight="1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0.5" customHeight="1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0.5" customHeight="1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0.5" customHeight="1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0.5" customHeight="1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0.5" customHeight="1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0.5" customHeight="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0.5" customHeight="1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0.5" customHeight="1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0.5" customHeight="1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0.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0.5" customHeight="1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0.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0.5" customHeight="1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0.5" customHeight="1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0.5" customHeight="1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0.5" customHeight="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0.5" customHeight="1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0.5" customHeight="1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0.5" customHeight="1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0.5" customHeight="1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0.5" customHeight="1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0.5" customHeight="1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0.5" customHeight="1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0.5" customHeight="1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0.5" customHeight="1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0.5" customHeight="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0.5" customHeight="1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0.5" customHeight="1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0.5" customHeight="1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0.5" customHeight="1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0.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0.5" customHeight="1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0.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0.5" customHeight="1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0.5" customHeight="1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0.5" customHeight="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0.5" customHeight="1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0.5" customHeight="1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0.5" customHeight="1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0.5" customHeight="1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0.5" customHeight="1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0.5" customHeight="1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0.5" customHeight="1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0.5" customHeight="1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0.5" customHeight="1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0.5" customHeight="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0.5" customHeight="1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0.5" customHeight="1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0.5" customHeight="1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0.5" customHeight="1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0.5" customHeight="1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0.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0.5" customHeight="1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0.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0.5" customHeight="1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0.5" customHeight="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0.5" customHeight="1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0.5" customHeight="1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0.5" customHeight="1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0.5" customHeight="1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0.5" customHeight="1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0.5" customHeight="1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0.5" customHeight="1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0.5" customHeight="1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0.5" customHeight="1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0.5" customHeight="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0.5" customHeight="1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0.5" customHeight="1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0.5" customHeight="1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0.5" customHeight="1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0.5" customHeight="1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0.5" customHeight="1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0.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0.5" customHeight="1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0.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0.5" customHeight="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0.5" customHeight="1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0.5" customHeight="1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0.5" customHeight="1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0.5" customHeight="1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0.5" customHeight="1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0.5" customHeight="1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0.5" customHeight="1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0.5" customHeight="1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0.5" customHeight="1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0.5" customHeight="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0.5" customHeight="1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0.5" customHeight="1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0.5" customHeight="1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0.5" customHeight="1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0.5" customHeight="1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0.5" customHeight="1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0.5" customHeight="1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0.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0.5" customHeight="1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0.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0.5" customHeight="1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0.5" customHeight="1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0.5" customHeight="1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0.5" customHeight="1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0.5" customHeight="1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0.5" customHeight="1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0.5" customHeight="1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0.5" customHeight="1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0.5" customHeight="1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0.5" customHeight="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0.5" customHeight="1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0.5" customHeight="1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0.5" customHeight="1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0.5" customHeight="1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0.5" customHeight="1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0.5" customHeight="1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0.5" customHeight="1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0.5" customHeight="1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0.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0.5" customHeight="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0.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0.5" customHeight="1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0.5" customHeight="1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0.5" customHeight="1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0.5" customHeight="1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0.5" customHeight="1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0.5" customHeight="1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0.5" customHeight="1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0.5" customHeight="1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0.5" customHeight="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0.5" customHeight="1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0.5" customHeight="1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0.5" customHeight="1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0.5" customHeight="1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0.5" customHeight="1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0.5" customHeight="1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0.5" customHeight="1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0.5" customHeight="1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0.5" customHeight="1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0.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0.5" customHeight="1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0.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0.5" customHeight="1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0.5" customHeight="1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0.5" customHeight="1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0.5" customHeight="1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0.5" customHeight="1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0.5" customHeight="1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0.5" customHeight="1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0.5" customHeight="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0.5" customHeight="1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0.5" customHeight="1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0.5" customHeight="1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0.5" customHeight="1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0.5" customHeight="1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0.5" customHeight="1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0.5" customHeight="1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0.5" customHeight="1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0.5" customHeight="1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0.5" customHeight="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0.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0.5" customHeight="1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0.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0.5" customHeight="1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0.5" customHeight="1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0.5" customHeight="1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0.5" customHeight="1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0.5" customHeight="1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0.5" customHeight="1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0.5" customHeight="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0.5" customHeight="1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0.5" customHeight="1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0.5" customHeight="1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0.5" customHeight="1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0.5" customHeight="1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0.5" customHeight="1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0.5" customHeight="1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0.5" customHeight="1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0.5" customHeight="1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0.5" customHeight="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0.5" customHeight="1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0.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0.5" customHeight="1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0.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0.5" customHeight="1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0.5" customHeight="1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0.5" customHeight="1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0.5" customHeight="1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0.5" customHeight="1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0.5" customHeight="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0.5" customHeight="1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0.5" customHeight="1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0.5" customHeight="1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0.5" customHeight="1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0.5" customHeight="1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0.5" customHeight="1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0.5" customHeight="1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0.5" customHeight="1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0.5" customHeight="1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0.5" customHeight="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0.5" customHeight="1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0.5" customHeight="1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0.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0.5" customHeight="1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0.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0.5" customHeight="1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0.5" customHeight="1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0.5" customHeight="1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0.5" customHeight="1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0.5" customHeight="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0.5" customHeight="1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0.5" customHeight="1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0.5" customHeight="1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0.5" customHeight="1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0.5" customHeight="1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0.5" customHeight="1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0.5" customHeight="1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0.5" customHeight="1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0.5" customHeight="1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0.5" customHeight="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0.5" customHeight="1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0.5" customHeight="1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0.5" customHeight="1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0.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0.5" customHeight="1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0.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0.5" customHeight="1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0.5" customHeight="1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0.5" customHeight="1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0.5" customHeight="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0.5" customHeight="1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0.5" customHeight="1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0.5" customHeight="1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0.5" customHeight="1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0.5" customHeight="1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0.5" customHeight="1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0.5" customHeight="1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0.5" customHeight="1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0.5" customHeight="1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0.5" customHeight="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0.5" customHeight="1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0.5" customHeight="1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0.5" customHeight="1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0.5" customHeight="1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0.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0.5" customHeight="1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0.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0.5" customHeight="1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0.5" customHeight="1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0.5" customHeight="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0.5" customHeight="1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0.5" customHeight="1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0.5" customHeight="1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0.5" customHeight="1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0.5" customHeight="1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0.5" customHeight="1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0.5" customHeight="1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0.5" customHeight="1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0.5" customHeight="1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0.5" customHeight="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0.5" customHeight="1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0.5" customHeight="1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0.5" customHeight="1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0.5" customHeight="1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0.5" customHeight="1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0.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0.5" customHeight="1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0.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0.5" customHeight="1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0.5" customHeight="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0.5" customHeight="1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0.5" customHeight="1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0.5" customHeight="1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0.5" customHeight="1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0.5" customHeight="1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0.5" customHeight="1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0.5" customHeight="1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0.5" customHeight="1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0.5" customHeight="1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0.5" customHeight="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0.5" customHeight="1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0.5" customHeight="1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0.5" customHeight="1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0.5" customHeight="1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0.5" customHeight="1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0.5" customHeight="1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0.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0.5" customHeight="1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0.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0.5" customHeight="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0.5" customHeight="1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0.5" customHeight="1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0.5" customHeight="1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0.5" customHeight="1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0.5" customHeight="1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0.5" customHeight="1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0.5" customHeight="1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0.5" customHeight="1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0.5" customHeight="1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0.5" customHeight="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0.5" customHeight="1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0.5" customHeight="1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0.5" customHeight="1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0.5" customHeight="1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0.5" customHeight="1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0.5" customHeight="1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0.5" customHeight="1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0.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0.5" customHeight="1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0.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0.5" customHeight="1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0.5" customHeight="1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0.5" customHeight="1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0.5" customHeight="1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0.5" customHeight="1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0.5" customHeight="1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0.5" customHeight="1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0.5" customHeight="1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0.5" customHeight="1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0.5" customHeight="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0.5" customHeight="1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0.5" customHeight="1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0.5" customHeight="1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0.5" customHeight="1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0.5" customHeight="1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0.5" customHeight="1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0.5" customHeight="1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0.5" customHeight="1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0.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0.5" customHeight="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0.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0.5" customHeight="1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0.5" customHeight="1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0.5" customHeight="1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0.5" customHeight="1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0.5" customHeight="1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0.5" customHeight="1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0.5" customHeight="1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0.5" customHeight="1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0.5" customHeight="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0.5" customHeight="1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0.5" customHeight="1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0.5" customHeight="1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0.5" customHeight="1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0.5" customHeight="1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0.5" customHeight="1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0.5" customHeight="1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0.5" customHeight="1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0.5" customHeight="1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0.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0.5" customHeight="1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0.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0.5" customHeight="1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0.5" customHeight="1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0.5" customHeight="1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0.5" customHeight="1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0.5" customHeight="1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0.5" customHeight="1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0.5" customHeight="1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0.5" customHeight="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0.5" customHeight="1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0.5" customHeight="1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0.5" customHeight="1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0.5" customHeight="1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0.5" customHeight="1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0.5" customHeight="1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0.5" customHeight="1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0.5" customHeight="1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0.5" customHeight="1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0.5" customHeight="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0.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0.5" customHeight="1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0.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0.5" customHeight="1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0.5" customHeight="1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0.5" customHeight="1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0.5" customHeight="1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0.5" customHeight="1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0.5" customHeight="1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0.5" customHeight="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0.5" customHeight="1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0.5" customHeight="1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0.5" customHeight="1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0.5" customHeight="1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0.5" customHeight="1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0.5" customHeight="1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0.5" customHeight="1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0.5" customHeight="1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0.5" customHeight="1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0.5" customHeight="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0.5" customHeight="1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0.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0.5" customHeight="1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0.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0.5" customHeight="1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0.5" customHeight="1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0.5" customHeight="1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0.5" customHeight="1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0.5" customHeight="1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0.5" customHeight="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0.5" customHeight="1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0.5" customHeight="1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0.5" customHeight="1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0.5" customHeight="1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0.5" customHeight="1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0.5" customHeight="1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0.5" customHeight="1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0.5" customHeight="1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0.5" customHeight="1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0.5" customHeight="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0.5" customHeight="1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0.5" customHeight="1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0.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0.5" customHeight="1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0.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0.5" customHeight="1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0.5" customHeight="1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0.5" customHeight="1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0.5" customHeight="1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0.5" customHeight="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0.5" customHeight="1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0.5" customHeight="1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0.5" customHeight="1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0.5" customHeight="1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0.5" customHeight="1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0.5" customHeight="1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0.5" customHeight="1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0.5" customHeight="1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0.5" customHeight="1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0.5" customHeight="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0.5" customHeight="1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0.5" customHeight="1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0.5" customHeight="1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0.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0.5" customHeight="1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0.5" customHeight="1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0.5" customHeight="1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0.5" customHeight="1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0.5" customHeight="1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0.5" customHeight="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0.5" customHeight="1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0.5" customHeight="1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0.5" customHeight="1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0.5" customHeight="1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0.5" customHeight="1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0.5" customHeight="1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0.5" customHeight="1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0.5" customHeight="1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0.5" customHeight="1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0.5" customHeight="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0.5" customHeight="1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0.5" customHeight="1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0.5" customHeight="1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0.5" customHeight="1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0.5" customHeight="1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0.5" customHeight="1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0.5" customHeight="1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0.5" customHeight="1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0.5" customHeight="1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0.5" customHeight="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0.5" customHeight="1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0.5" customHeight="1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0.5" customHeight="1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0.5" customHeight="1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0.5" customHeight="1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0.5" customHeight="1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0.5" customHeight="1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0.5" customHeight="1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0.5" customHeight="1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0.5" customHeight="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0.5" customHeight="1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0.5" customHeight="1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0.5" customHeight="1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0.5" customHeight="1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0.5" customHeight="1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0.5" customHeight="1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0.5" customHeight="1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0.5" customHeight="1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0.5" customHeight="1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0.5" customHeight="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0.5" customHeight="1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0.5" customHeight="1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0.5" customHeight="1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0.5" customHeight="1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0.5" customHeight="1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0.5" customHeight="1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0.5" customHeight="1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0.5" customHeight="1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0.5" customHeight="1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0.5" customHeight="1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L70:P7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39.0"/>
    <col customWidth="1" min="3" max="3" width="12.86"/>
    <col customWidth="1" min="4" max="6" width="11.14"/>
    <col customWidth="1" min="7" max="7" width="13.29"/>
    <col customWidth="1" min="8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1146" t="s">
        <v>293</v>
      </c>
      <c r="C2" s="1147" t="s">
        <v>27</v>
      </c>
      <c r="D2" s="1147" t="s">
        <v>30</v>
      </c>
      <c r="E2" s="1147" t="s">
        <v>31</v>
      </c>
      <c r="F2" s="578" t="s">
        <v>258</v>
      </c>
      <c r="G2" s="578" t="s">
        <v>259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292"/>
      <c r="B3" s="1148" t="s">
        <v>454</v>
      </c>
      <c r="C3" s="1149">
        <v>37565.0</v>
      </c>
      <c r="D3" s="1149">
        <v>43250.0</v>
      </c>
      <c r="E3" s="1149">
        <v>38915.0</v>
      </c>
      <c r="F3" s="1150">
        <f t="shared" ref="F3:F4" si="2">E3-D3</f>
        <v>-4335</v>
      </c>
      <c r="G3" s="1151">
        <f>E3/D3-1</f>
        <v>-0.1002312139</v>
      </c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ht="19.5" customHeight="1">
      <c r="A4" s="292"/>
      <c r="B4" s="1152" t="s">
        <v>70</v>
      </c>
      <c r="C4" s="1153">
        <f t="shared" ref="C4:E4" si="1">SUM(C3)</f>
        <v>37565</v>
      </c>
      <c r="D4" s="1153">
        <f t="shared" si="1"/>
        <v>43250</v>
      </c>
      <c r="E4" s="1153">
        <f t="shared" si="1"/>
        <v>38915</v>
      </c>
      <c r="F4" s="1154">
        <f t="shared" si="2"/>
        <v>-4335</v>
      </c>
      <c r="G4" s="1155">
        <f>E4/D4-1</f>
        <v>-0.1002312139</v>
      </c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</row>
    <row r="5" ht="20.25" customHeight="1">
      <c r="A5" s="1"/>
      <c r="B5" s="1146" t="s">
        <v>262</v>
      </c>
      <c r="C5" s="1147" t="s">
        <v>27</v>
      </c>
      <c r="D5" s="1147" t="s">
        <v>30</v>
      </c>
      <c r="E5" s="1147" t="s">
        <v>31</v>
      </c>
      <c r="F5" s="578" t="s">
        <v>258</v>
      </c>
      <c r="G5" s="578" t="s">
        <v>259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292"/>
      <c r="B6" s="1156" t="s">
        <v>455</v>
      </c>
      <c r="C6" s="1157">
        <v>365581.34</v>
      </c>
      <c r="D6" s="1157">
        <v>400736.0</v>
      </c>
      <c r="E6" s="1157">
        <v>439781.33</v>
      </c>
      <c r="F6" s="1150">
        <f t="shared" ref="F6:F9" si="3">E6-D6</f>
        <v>39045.33</v>
      </c>
      <c r="G6" s="1151">
        <f>E6/D6-1</f>
        <v>0.09743404635</v>
      </c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</row>
    <row r="7" ht="19.5" customHeight="1">
      <c r="A7" s="292"/>
      <c r="B7" s="1156" t="s">
        <v>456</v>
      </c>
      <c r="C7" s="1157">
        <v>68286.9</v>
      </c>
      <c r="D7" s="1157">
        <v>76400.0</v>
      </c>
      <c r="E7" s="1157">
        <v>80706.8</v>
      </c>
      <c r="F7" s="1150">
        <f t="shared" si="3"/>
        <v>4306.8</v>
      </c>
      <c r="G7" s="1151">
        <f t="shared" ref="G7:G9" si="5">E7/D7-1</f>
        <v>0.05637172775</v>
      </c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</row>
    <row r="8" ht="19.5" customHeight="1">
      <c r="A8" s="1"/>
      <c r="B8" s="1152" t="s">
        <v>70</v>
      </c>
      <c r="C8" s="1158">
        <f t="shared" ref="C8:E8" si="4">SUM(C6:C7)</f>
        <v>433868.24</v>
      </c>
      <c r="D8" s="1158">
        <f t="shared" si="4"/>
        <v>477136</v>
      </c>
      <c r="E8" s="1158">
        <f t="shared" si="4"/>
        <v>520488.13</v>
      </c>
      <c r="F8" s="1159">
        <f t="shared" si="3"/>
        <v>43352.13</v>
      </c>
      <c r="G8" s="1155">
        <f t="shared" si="5"/>
        <v>0.09085906324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160" t="s">
        <v>457</v>
      </c>
      <c r="C9" s="1158">
        <f t="shared" ref="C9:E9" si="6">C4+C8</f>
        <v>471433.24</v>
      </c>
      <c r="D9" s="1158">
        <f t="shared" si="6"/>
        <v>520386</v>
      </c>
      <c r="E9" s="1158">
        <f t="shared" si="6"/>
        <v>559403.13</v>
      </c>
      <c r="F9" s="1161">
        <f t="shared" si="3"/>
        <v>39017.13</v>
      </c>
      <c r="G9" s="1162">
        <f t="shared" si="5"/>
        <v>0.07497728609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92"/>
      <c r="B10" s="1099"/>
      <c r="C10" s="1163">
        <f>'Hangar senha_capital OK'!B131</f>
        <v>471433.24</v>
      </c>
      <c r="D10" s="1163">
        <f>'Hangar senha_capital OK'!C131</f>
        <v>520386</v>
      </c>
      <c r="E10" s="1163">
        <f>'Hangar senha_capital OK'!D131</f>
        <v>559403.13</v>
      </c>
      <c r="F10" s="1099"/>
      <c r="G10" s="1099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</row>
    <row r="11" ht="6.0" customHeight="1">
      <c r="A11" s="292"/>
      <c r="B11" s="292"/>
      <c r="C11" s="292"/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</row>
    <row r="12">
      <c r="A12" s="292"/>
      <c r="B12" s="292"/>
      <c r="C12" s="1064">
        <f t="shared" ref="C12:E12" si="7">C9-C10</f>
        <v>0</v>
      </c>
      <c r="D12" s="1164">
        <f t="shared" si="7"/>
        <v>0</v>
      </c>
      <c r="E12" s="1165">
        <f t="shared" si="7"/>
        <v>0</v>
      </c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>
      <c r="A13" s="292"/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</row>
    <row r="14">
      <c r="A14" s="292"/>
      <c r="B14" s="292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</row>
    <row r="15">
      <c r="A15" s="292"/>
      <c r="B15" s="292"/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</row>
    <row r="16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</row>
    <row r="19" ht="15.75" customHeight="1">
      <c r="A19" s="292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</row>
    <row r="20" ht="15.75" customHeight="1">
      <c r="A20" s="292"/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</row>
    <row r="21" ht="15.75" customHeight="1">
      <c r="A21" s="292"/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</row>
    <row r="22" ht="15.75" customHeight="1">
      <c r="A22" s="292"/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</row>
    <row r="23" ht="15.75" customHeight="1">
      <c r="A23" s="292"/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</row>
    <row r="24" ht="15.75" customHeight="1">
      <c r="A24" s="292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</row>
    <row r="25" ht="15.75" customHeight="1">
      <c r="A25" s="292"/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26" ht="15.75" customHeight="1">
      <c r="A26" s="292"/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 ht="15.75" customHeight="1">
      <c r="A27" s="292"/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</row>
    <row r="28" ht="15.75" customHeight="1">
      <c r="A28" s="292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</row>
    <row r="29" ht="15.75" customHeight="1">
      <c r="A29" s="292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</row>
    <row r="30" ht="15.75" customHeight="1">
      <c r="A30" s="292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</row>
    <row r="31" ht="15.75" customHeight="1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</row>
    <row r="32" ht="15.75" customHeight="1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</row>
    <row r="33" ht="15.75" customHeight="1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</row>
    <row r="34" ht="15.75" customHeight="1">
      <c r="A34" s="292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</row>
    <row r="35" ht="15.75" customHeight="1">
      <c r="A35" s="292"/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conditionalFormatting sqref="F3:G4 F6:G9">
    <cfRule type="cellIs" dxfId="0" priority="1" stopIfTrue="1" operator="lessThan">
      <formula>0</formula>
    </cfRule>
  </conditionalFormatting>
  <conditionalFormatting sqref="F3:G4 F6:G9">
    <cfRule type="cellIs" dxfId="1" priority="2" stopIfTrue="1" operator="greater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41.86"/>
    <col customWidth="1" min="3" max="5" width="10.57"/>
    <col customWidth="1" min="6" max="6" width="10.86"/>
    <col customWidth="1" min="7" max="7" width="13.29"/>
    <col customWidth="1" min="8" max="26" width="9.14"/>
  </cols>
  <sheetData>
    <row r="1" ht="6.0" customHeight="1">
      <c r="A1" s="1"/>
      <c r="B1" s="1"/>
      <c r="C1" s="1"/>
      <c r="D1" s="1"/>
      <c r="E1" s="1"/>
      <c r="F1" s="20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166" t="s">
        <v>267</v>
      </c>
      <c r="C2" s="1147" t="s">
        <v>27</v>
      </c>
      <c r="D2" s="1147" t="s">
        <v>30</v>
      </c>
      <c r="E2" s="1147" t="s">
        <v>31</v>
      </c>
      <c r="F2" s="1167" t="s">
        <v>258</v>
      </c>
      <c r="G2" s="1167" t="s">
        <v>259</v>
      </c>
      <c r="H2" s="1"/>
    </row>
    <row r="3" ht="19.5" customHeight="1">
      <c r="A3" s="1"/>
      <c r="B3" s="1101" t="s">
        <v>404</v>
      </c>
      <c r="C3" s="1168">
        <v>21126.75</v>
      </c>
      <c r="D3" s="1168">
        <v>22500</v>
      </c>
      <c r="E3" s="1074">
        <v>23584.77</v>
      </c>
      <c r="F3" s="766">
        <f t="shared" ref="F3:F11" si="1">E3-D3</f>
        <v>1084.77</v>
      </c>
      <c r="G3" s="851">
        <f t="shared" ref="G3:G10" si="2">(E3/D3)-1</f>
        <v>0.048212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101" t="s">
        <v>313</v>
      </c>
      <c r="C4" s="1169">
        <v>953.15</v>
      </c>
      <c r="D4" s="1074">
        <v>1200</v>
      </c>
      <c r="E4" s="1074">
        <v>1854.35</v>
      </c>
      <c r="F4" s="766">
        <f t="shared" si="1"/>
        <v>654.35</v>
      </c>
      <c r="G4" s="851">
        <f t="shared" si="2"/>
        <v>0.5452916667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92"/>
      <c r="B5" s="1101" t="s">
        <v>458</v>
      </c>
      <c r="C5" s="1168">
        <v>12245.22</v>
      </c>
      <c r="D5" s="1074">
        <v>12912.41</v>
      </c>
      <c r="E5" s="1074">
        <v>13177.55</v>
      </c>
      <c r="F5" s="766">
        <f t="shared" si="1"/>
        <v>265.14</v>
      </c>
      <c r="G5" s="851">
        <f t="shared" si="2"/>
        <v>0.0205337346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1101" t="s">
        <v>274</v>
      </c>
      <c r="C6" s="1169">
        <v>2331.53</v>
      </c>
      <c r="D6" s="1170">
        <v>-1640.0</v>
      </c>
      <c r="E6" s="1170">
        <v>-1423.88</v>
      </c>
      <c r="F6" s="766">
        <f t="shared" si="1"/>
        <v>216.12</v>
      </c>
      <c r="G6" s="851">
        <f t="shared" si="2"/>
        <v>-0.1317804878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101" t="s">
        <v>379</v>
      </c>
      <c r="C7" s="1169">
        <v>985.51</v>
      </c>
      <c r="D7" s="1168">
        <v>1089.68</v>
      </c>
      <c r="E7" s="1074">
        <v>1278.1</v>
      </c>
      <c r="F7" s="766">
        <f t="shared" si="1"/>
        <v>188.42</v>
      </c>
      <c r="G7" s="851">
        <f t="shared" si="2"/>
        <v>0.1729131488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056" t="s">
        <v>459</v>
      </c>
      <c r="C8" s="1168">
        <v>1234.46</v>
      </c>
      <c r="D8" s="1169">
        <v>1302.35</v>
      </c>
      <c r="E8" s="1169">
        <v>1335.36</v>
      </c>
      <c r="F8" s="766">
        <f t="shared" si="1"/>
        <v>33.01</v>
      </c>
      <c r="G8" s="851">
        <f t="shared" si="2"/>
        <v>0.02534648904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056" t="s">
        <v>375</v>
      </c>
      <c r="C9" s="904">
        <v>0.0</v>
      </c>
      <c r="D9" s="1074">
        <v>100</v>
      </c>
      <c r="E9" s="1074">
        <v>115.61</v>
      </c>
      <c r="F9" s="766">
        <f t="shared" si="1"/>
        <v>15.61</v>
      </c>
      <c r="G9" s="851">
        <f t="shared" si="2"/>
        <v>0.1561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101" t="s">
        <v>408</v>
      </c>
      <c r="C10" s="1168">
        <v>548.83</v>
      </c>
      <c r="D10" s="1168">
        <v>548.46</v>
      </c>
      <c r="E10" s="1171">
        <v>555.87</v>
      </c>
      <c r="F10" s="766">
        <f t="shared" si="1"/>
        <v>7.41</v>
      </c>
      <c r="G10" s="851">
        <f t="shared" si="2"/>
        <v>0.01351055683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172" t="s">
        <v>70</v>
      </c>
      <c r="C11" s="1173">
        <f t="shared" ref="C11:E11" si="3">SUM(C3:C10)</f>
        <v>39425.45</v>
      </c>
      <c r="D11" s="1173">
        <f t="shared" si="3"/>
        <v>38012.9</v>
      </c>
      <c r="E11" s="1173">
        <f t="shared" si="3"/>
        <v>40477.73</v>
      </c>
      <c r="F11" s="879">
        <f t="shared" si="1"/>
        <v>2464.83</v>
      </c>
      <c r="G11" s="858">
        <f>(E11/D11)-1</f>
        <v>0.06484193524</v>
      </c>
      <c r="H11" s="1"/>
    </row>
    <row r="12" ht="19.5" customHeight="1">
      <c r="A12" s="1"/>
      <c r="B12" s="1174" t="s">
        <v>270</v>
      </c>
      <c r="C12" s="1147" t="s">
        <v>27</v>
      </c>
      <c r="D12" s="1147" t="s">
        <v>30</v>
      </c>
      <c r="E12" s="1147" t="s">
        <v>31</v>
      </c>
      <c r="F12" s="1175" t="s">
        <v>258</v>
      </c>
      <c r="G12" s="1175" t="s">
        <v>259</v>
      </c>
      <c r="H12" s="1"/>
    </row>
    <row r="13" ht="19.5" customHeight="1">
      <c r="A13" s="1"/>
      <c r="B13" s="1101" t="s">
        <v>460</v>
      </c>
      <c r="C13" s="1168">
        <v>4800</v>
      </c>
      <c r="D13" s="1169">
        <v>6750</v>
      </c>
      <c r="E13" s="1113">
        <v>-8463.2</v>
      </c>
      <c r="F13" s="766">
        <f t="shared" ref="F13:F27" si="4">E13-D13</f>
        <v>-15213.2</v>
      </c>
      <c r="G13" s="851">
        <f t="shared" ref="G13:G24" si="5">(E13/D13)-1</f>
        <v>-2.253807407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101" t="s">
        <v>380</v>
      </c>
      <c r="C14" s="1168">
        <v>155954.31</v>
      </c>
      <c r="D14" s="1168">
        <v>148133.48</v>
      </c>
      <c r="E14" s="1074">
        <v>140842.54</v>
      </c>
      <c r="F14" s="766">
        <f t="shared" si="4"/>
        <v>-7290.94</v>
      </c>
      <c r="G14" s="851">
        <f t="shared" si="5"/>
        <v>-0.04921871815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292"/>
      <c r="B15" s="1056" t="s">
        <v>381</v>
      </c>
      <c r="C15" s="904">
        <v>0.0</v>
      </c>
      <c r="D15" s="1074">
        <v>4160</v>
      </c>
      <c r="E15" s="904">
        <v>0.0</v>
      </c>
      <c r="F15" s="766">
        <f t="shared" si="4"/>
        <v>-4160</v>
      </c>
      <c r="G15" s="851">
        <f t="shared" si="5"/>
        <v>-1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056" t="s">
        <v>372</v>
      </c>
      <c r="C16" s="1168">
        <v>3114.05</v>
      </c>
      <c r="D16" s="1169">
        <v>4300</v>
      </c>
      <c r="E16" s="1168">
        <v>312.37</v>
      </c>
      <c r="F16" s="766">
        <f t="shared" si="4"/>
        <v>-3987.63</v>
      </c>
      <c r="G16" s="851">
        <f t="shared" si="5"/>
        <v>-0.927355814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101" t="s">
        <v>374</v>
      </c>
      <c r="C17" s="1074">
        <v>6680.6</v>
      </c>
      <c r="D17" s="1074">
        <v>7951.28</v>
      </c>
      <c r="E17" s="1074">
        <v>6280.14</v>
      </c>
      <c r="F17" s="766">
        <f t="shared" si="4"/>
        <v>-1671.14</v>
      </c>
      <c r="G17" s="851">
        <f t="shared" si="5"/>
        <v>-0.2101724502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101" t="s">
        <v>461</v>
      </c>
      <c r="C18" s="1168">
        <v>21967.52</v>
      </c>
      <c r="D18" s="1168">
        <v>12750</v>
      </c>
      <c r="E18" s="1074">
        <v>11454.99</v>
      </c>
      <c r="F18" s="766">
        <f t="shared" si="4"/>
        <v>-1295.01</v>
      </c>
      <c r="G18" s="851">
        <f t="shared" si="5"/>
        <v>-0.1015694118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292"/>
      <c r="B19" s="1101" t="s">
        <v>393</v>
      </c>
      <c r="C19" s="1169">
        <v>1919.12</v>
      </c>
      <c r="D19" s="1169">
        <v>3136.59</v>
      </c>
      <c r="E19" s="1169">
        <v>2288.97</v>
      </c>
      <c r="F19" s="766">
        <f t="shared" si="4"/>
        <v>-847.62</v>
      </c>
      <c r="G19" s="851">
        <f t="shared" si="5"/>
        <v>-0.2702361482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101" t="s">
        <v>271</v>
      </c>
      <c r="C20" s="1168">
        <v>6163.88</v>
      </c>
      <c r="D20" s="1169">
        <v>6502.89</v>
      </c>
      <c r="E20" s="1169">
        <v>5807.11</v>
      </c>
      <c r="F20" s="766">
        <f t="shared" si="4"/>
        <v>-695.78</v>
      </c>
      <c r="G20" s="851">
        <f t="shared" si="5"/>
        <v>-0.1069955051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101" t="s">
        <v>373</v>
      </c>
      <c r="C21" s="1168">
        <v>3899.69</v>
      </c>
      <c r="D21" s="1168">
        <v>4050</v>
      </c>
      <c r="E21" s="1074">
        <v>3585.99</v>
      </c>
      <c r="F21" s="766">
        <f t="shared" si="4"/>
        <v>-464.01</v>
      </c>
      <c r="G21" s="851">
        <f t="shared" si="5"/>
        <v>-0.1145703704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101" t="s">
        <v>384</v>
      </c>
      <c r="C22" s="1168">
        <v>9517.97</v>
      </c>
      <c r="D22" s="1074">
        <v>10200</v>
      </c>
      <c r="E22" s="1169">
        <v>9926.54</v>
      </c>
      <c r="F22" s="766">
        <f t="shared" si="4"/>
        <v>-273.46</v>
      </c>
      <c r="G22" s="851">
        <f t="shared" si="5"/>
        <v>-0.02680980392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101" t="s">
        <v>278</v>
      </c>
      <c r="C23" s="1168">
        <v>5199.83</v>
      </c>
      <c r="D23" s="1168">
        <v>5717.53</v>
      </c>
      <c r="E23" s="1168">
        <v>5512.05</v>
      </c>
      <c r="F23" s="766">
        <f t="shared" si="4"/>
        <v>-205.48</v>
      </c>
      <c r="G23" s="851">
        <f t="shared" si="5"/>
        <v>-0.03593859586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101" t="s">
        <v>462</v>
      </c>
      <c r="C24" s="1074">
        <v>971.16</v>
      </c>
      <c r="D24" s="1074">
        <v>1220</v>
      </c>
      <c r="E24" s="1074">
        <v>1045.62</v>
      </c>
      <c r="F24" s="766">
        <f t="shared" si="4"/>
        <v>-174.38</v>
      </c>
      <c r="G24" s="851">
        <f t="shared" si="5"/>
        <v>-0.1429344262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292"/>
      <c r="B25" s="1101" t="s">
        <v>368</v>
      </c>
      <c r="C25" s="1176">
        <v>-6.42</v>
      </c>
      <c r="D25" s="904">
        <v>0.0</v>
      </c>
      <c r="E25" s="904">
        <v>0.0</v>
      </c>
      <c r="F25" s="766">
        <f t="shared" si="4"/>
        <v>0</v>
      </c>
      <c r="G25" s="1177">
        <v>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735" t="s">
        <v>70</v>
      </c>
      <c r="C26" s="1173">
        <f t="shared" ref="C26:E26" si="6">SUM(C13:C25)</f>
        <v>220181.71</v>
      </c>
      <c r="D26" s="1173">
        <f t="shared" si="6"/>
        <v>214871.77</v>
      </c>
      <c r="E26" s="1173">
        <f t="shared" si="6"/>
        <v>178593.12</v>
      </c>
      <c r="F26" s="879">
        <f t="shared" si="4"/>
        <v>-36278.65</v>
      </c>
      <c r="G26" s="858">
        <f t="shared" ref="G26:G27" si="8">E26/D26-1</f>
        <v>-0.1688386055</v>
      </c>
      <c r="H26" s="1"/>
    </row>
    <row r="27" ht="19.5" customHeight="1">
      <c r="A27" s="1"/>
      <c r="B27" s="1178" t="s">
        <v>463</v>
      </c>
      <c r="C27" s="1173">
        <f t="shared" ref="C27:E27" si="7">C26+C11</f>
        <v>259607.16</v>
      </c>
      <c r="D27" s="1173">
        <f t="shared" si="7"/>
        <v>252884.67</v>
      </c>
      <c r="E27" s="1173">
        <f t="shared" si="7"/>
        <v>219070.85</v>
      </c>
      <c r="F27" s="879">
        <f t="shared" si="4"/>
        <v>-33813.82</v>
      </c>
      <c r="G27" s="858">
        <f t="shared" si="8"/>
        <v>-0.1337124152</v>
      </c>
      <c r="H27" s="1"/>
    </row>
    <row r="28" ht="15.75" customHeight="1">
      <c r="A28" s="1"/>
      <c r="B28" s="1"/>
      <c r="C28" s="1179">
        <f>-'Hangar senha_capital OK'!B135</f>
        <v>259607.16</v>
      </c>
      <c r="D28" s="1179">
        <f>-'Hangar senha_capital OK'!C135</f>
        <v>252884.67</v>
      </c>
      <c r="E28" s="1179">
        <f>-'Hangar senha_capital OK'!D135</f>
        <v>219070.85</v>
      </c>
      <c r="F28" s="20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C29" s="1180">
        <f t="shared" ref="C29:E29" si="9">C28-C27</f>
        <v>0</v>
      </c>
      <c r="D29" s="1181">
        <f t="shared" si="9"/>
        <v>0</v>
      </c>
      <c r="E29" s="1181">
        <f t="shared" si="9"/>
        <v>0</v>
      </c>
      <c r="F29" s="203"/>
      <c r="G29" s="3"/>
      <c r="H29" s="1"/>
    </row>
    <row r="30" ht="15.75" customHeight="1">
      <c r="A30" s="1"/>
      <c r="C30" s="1181"/>
      <c r="D30" s="1181"/>
      <c r="E30" s="1181"/>
      <c r="F30" s="203"/>
      <c r="G30" s="3"/>
      <c r="H30" s="1"/>
    </row>
    <row r="31" ht="15.75" customHeight="1">
      <c r="A31" s="1"/>
      <c r="F31" s="203"/>
      <c r="G31" s="3"/>
      <c r="H31" s="1"/>
    </row>
    <row r="32" ht="15.75" customHeight="1">
      <c r="A32" s="1"/>
      <c r="F32" s="203"/>
      <c r="G32" s="3"/>
      <c r="H32" s="1"/>
    </row>
    <row r="33" ht="15.75" customHeight="1">
      <c r="A33" s="1"/>
      <c r="F33" s="203"/>
      <c r="G33" s="3"/>
      <c r="H33" s="1"/>
    </row>
    <row r="34" ht="15.75" customHeight="1">
      <c r="A34" s="1"/>
      <c r="F34" s="203"/>
      <c r="G34" s="3"/>
      <c r="H34" s="1"/>
    </row>
    <row r="35" ht="15.75" customHeight="1">
      <c r="A35" s="1"/>
      <c r="F35" s="203"/>
      <c r="G35" s="3"/>
      <c r="H35" s="1"/>
    </row>
    <row r="36" ht="15.75" customHeight="1">
      <c r="A36" s="1"/>
      <c r="F36" s="203"/>
      <c r="G36" s="3"/>
      <c r="H36" s="1"/>
    </row>
    <row r="37" ht="15.75" customHeight="1">
      <c r="A37" s="1"/>
      <c r="F37" s="203"/>
      <c r="G37" s="3"/>
      <c r="H37" s="1"/>
    </row>
    <row r="38" ht="15.75" customHeight="1">
      <c r="A38" s="1"/>
      <c r="F38" s="203"/>
      <c r="G38" s="3"/>
      <c r="H38" s="1"/>
    </row>
    <row r="39" ht="15.75" customHeight="1">
      <c r="A39" s="1"/>
      <c r="F39" s="203"/>
      <c r="G39" s="3"/>
      <c r="H39" s="1"/>
    </row>
    <row r="40" ht="15.75" customHeight="1">
      <c r="A40" s="1"/>
      <c r="F40" s="203"/>
      <c r="G40" s="3"/>
      <c r="H40" s="1"/>
    </row>
    <row r="41" ht="15.75" customHeight="1">
      <c r="A41" s="1"/>
      <c r="F41" s="203"/>
      <c r="G41" s="3"/>
      <c r="H41" s="1"/>
    </row>
    <row r="42" ht="15.75" customHeight="1">
      <c r="A42" s="1"/>
      <c r="F42" s="203"/>
      <c r="G42" s="3"/>
      <c r="H42" s="1"/>
    </row>
    <row r="43" ht="15.75" customHeight="1">
      <c r="A43" s="1"/>
      <c r="F43" s="203"/>
      <c r="G43" s="3"/>
      <c r="H43" s="1"/>
    </row>
    <row r="44" ht="15.75" customHeight="1">
      <c r="A44" s="1"/>
      <c r="F44" s="203"/>
      <c r="G44" s="3"/>
      <c r="H44" s="1"/>
    </row>
    <row r="45" ht="15.75" customHeight="1">
      <c r="A45" s="1"/>
      <c r="F45" s="203"/>
      <c r="G45" s="3"/>
      <c r="H45" s="1"/>
    </row>
    <row r="46" ht="15.75" customHeight="1">
      <c r="A46" s="1"/>
      <c r="F46" s="203"/>
      <c r="G46" s="3"/>
      <c r="H46" s="1"/>
    </row>
    <row r="47" ht="15.75" customHeight="1">
      <c r="A47" s="1"/>
      <c r="F47" s="203"/>
      <c r="G47" s="3"/>
      <c r="H47" s="1"/>
    </row>
    <row r="48" ht="15.75" customHeight="1">
      <c r="A48" s="1"/>
      <c r="F48" s="203"/>
      <c r="G48" s="3"/>
      <c r="H48" s="1"/>
    </row>
    <row r="49" ht="15.75" customHeight="1">
      <c r="A49" s="1"/>
      <c r="F49" s="203"/>
      <c r="G49" s="3"/>
      <c r="H49" s="1"/>
    </row>
    <row r="50" ht="15.75" customHeight="1">
      <c r="A50" s="1"/>
      <c r="F50" s="203"/>
      <c r="G50" s="3"/>
      <c r="H50" s="1"/>
    </row>
    <row r="51" ht="15.75" customHeight="1">
      <c r="A51" s="1"/>
      <c r="F51" s="203"/>
      <c r="G51" s="3"/>
      <c r="H51" s="1"/>
    </row>
    <row r="52" ht="15.75" customHeight="1">
      <c r="A52" s="1"/>
      <c r="F52" s="203"/>
      <c r="G52" s="3"/>
      <c r="H52" s="1"/>
    </row>
    <row r="53" ht="15.75" customHeight="1">
      <c r="A53" s="1"/>
      <c r="F53" s="203"/>
      <c r="G53" s="3"/>
      <c r="H53" s="1"/>
    </row>
    <row r="54" ht="15.75" customHeight="1">
      <c r="A54" s="1"/>
      <c r="F54" s="203"/>
      <c r="G54" s="3"/>
      <c r="H54" s="1"/>
    </row>
    <row r="55" ht="15.75" customHeight="1">
      <c r="A55" s="1"/>
      <c r="F55" s="203"/>
      <c r="G55" s="3"/>
      <c r="H55" s="1"/>
    </row>
    <row r="56" ht="15.75" customHeight="1">
      <c r="A56" s="1"/>
      <c r="F56" s="203"/>
      <c r="G56" s="3"/>
      <c r="H56" s="1"/>
    </row>
    <row r="57" ht="15.75" customHeight="1">
      <c r="A57" s="1"/>
      <c r="F57" s="203"/>
      <c r="G57" s="3"/>
      <c r="H57" s="1"/>
    </row>
    <row r="58" ht="15.75" customHeight="1">
      <c r="A58" s="1"/>
      <c r="F58" s="203"/>
      <c r="G58" s="3"/>
      <c r="H58" s="1"/>
    </row>
    <row r="59" ht="15.75" customHeight="1">
      <c r="A59" s="1"/>
      <c r="F59" s="203"/>
      <c r="G59" s="3"/>
      <c r="H59" s="1"/>
    </row>
    <row r="60" ht="15.75" customHeight="1">
      <c r="A60" s="1"/>
      <c r="F60" s="203"/>
      <c r="G60" s="3"/>
      <c r="H60" s="1"/>
    </row>
    <row r="61" ht="15.75" customHeight="1">
      <c r="A61" s="1"/>
      <c r="F61" s="203"/>
      <c r="G61" s="3"/>
      <c r="H61" s="1"/>
    </row>
    <row r="62" ht="15.75" customHeight="1">
      <c r="A62" s="1"/>
      <c r="F62" s="203"/>
      <c r="G62" s="3"/>
      <c r="H62" s="1"/>
    </row>
    <row r="63" ht="15.75" customHeight="1">
      <c r="A63" s="1"/>
      <c r="F63" s="203"/>
      <c r="G63" s="3"/>
      <c r="H63" s="1"/>
    </row>
    <row r="64" ht="15.75" customHeight="1">
      <c r="A64" s="1"/>
      <c r="F64" s="203"/>
      <c r="G64" s="3"/>
      <c r="H64" s="1"/>
    </row>
    <row r="65" ht="15.75" customHeight="1">
      <c r="A65" s="1"/>
      <c r="F65" s="203"/>
      <c r="G65" s="3"/>
      <c r="H65" s="1"/>
    </row>
    <row r="66" ht="15.75" customHeight="1">
      <c r="A66" s="1"/>
      <c r="F66" s="203"/>
      <c r="G66" s="3"/>
      <c r="H66" s="1"/>
    </row>
    <row r="67" ht="15.75" customHeight="1">
      <c r="A67" s="1"/>
      <c r="F67" s="203"/>
      <c r="G67" s="3"/>
      <c r="H67" s="1"/>
    </row>
    <row r="68" ht="15.75" customHeight="1">
      <c r="A68" s="1"/>
      <c r="F68" s="203"/>
      <c r="G68" s="3"/>
      <c r="H68" s="1"/>
    </row>
    <row r="69" ht="15.75" customHeight="1">
      <c r="A69" s="1"/>
      <c r="F69" s="203"/>
      <c r="G69" s="3"/>
      <c r="H69" s="1"/>
    </row>
    <row r="70" ht="15.75" customHeight="1">
      <c r="A70" s="1"/>
      <c r="F70" s="203"/>
      <c r="G70" s="3"/>
      <c r="H70" s="1"/>
    </row>
    <row r="71" ht="15.75" customHeight="1">
      <c r="A71" s="1"/>
      <c r="F71" s="203"/>
      <c r="G71" s="3"/>
      <c r="H71" s="1"/>
    </row>
    <row r="72" ht="15.75" customHeight="1">
      <c r="A72" s="1"/>
      <c r="F72" s="203"/>
      <c r="G72" s="3"/>
      <c r="H72" s="1"/>
    </row>
    <row r="73" ht="15.75" customHeight="1">
      <c r="A73" s="1"/>
      <c r="F73" s="203"/>
      <c r="G73" s="3"/>
      <c r="H73" s="1"/>
    </row>
    <row r="74" ht="15.75" customHeight="1">
      <c r="A74" s="1"/>
      <c r="F74" s="203"/>
      <c r="G74" s="3"/>
      <c r="H74" s="1"/>
    </row>
    <row r="75" ht="15.75" customHeight="1">
      <c r="A75" s="1"/>
      <c r="F75" s="203"/>
      <c r="G75" s="3"/>
      <c r="H75" s="1"/>
    </row>
    <row r="76" ht="15.75" customHeight="1">
      <c r="A76" s="1"/>
      <c r="F76" s="203"/>
      <c r="G76" s="3"/>
      <c r="H76" s="1"/>
    </row>
    <row r="77" ht="15.75" customHeight="1">
      <c r="A77" s="1"/>
      <c r="F77" s="203"/>
      <c r="G77" s="3"/>
      <c r="H77" s="1"/>
    </row>
    <row r="78" ht="15.75" customHeight="1">
      <c r="A78" s="1"/>
      <c r="F78" s="203"/>
      <c r="G78" s="3"/>
      <c r="H78" s="1"/>
    </row>
    <row r="79" ht="15.75" customHeight="1">
      <c r="A79" s="1"/>
      <c r="F79" s="203"/>
      <c r="G79" s="3"/>
      <c r="H79" s="1"/>
    </row>
    <row r="80" ht="15.75" customHeight="1">
      <c r="A80" s="1"/>
      <c r="F80" s="203"/>
      <c r="G80" s="3"/>
      <c r="H80" s="1"/>
    </row>
    <row r="81" ht="15.75" customHeight="1">
      <c r="A81" s="1"/>
      <c r="F81" s="203"/>
      <c r="G81" s="3"/>
      <c r="H81" s="1"/>
    </row>
    <row r="82" ht="15.75" customHeight="1">
      <c r="A82" s="1"/>
      <c r="F82" s="203"/>
      <c r="G82" s="3"/>
      <c r="H82" s="1"/>
    </row>
    <row r="83" ht="15.75" customHeight="1">
      <c r="A83" s="1"/>
      <c r="F83" s="203"/>
      <c r="G83" s="3"/>
      <c r="H83" s="1"/>
    </row>
    <row r="84" ht="15.75" customHeight="1">
      <c r="A84" s="1"/>
      <c r="F84" s="203"/>
      <c r="G84" s="3"/>
      <c r="H84" s="1"/>
    </row>
    <row r="85" ht="15.75" customHeight="1">
      <c r="A85" s="1"/>
      <c r="F85" s="203"/>
      <c r="G85" s="3"/>
      <c r="H85" s="1"/>
    </row>
    <row r="86" ht="15.75" customHeight="1">
      <c r="A86" s="1"/>
      <c r="F86" s="203"/>
      <c r="G86" s="3"/>
      <c r="H86" s="1"/>
    </row>
    <row r="87" ht="15.75" customHeight="1">
      <c r="A87" s="1"/>
      <c r="F87" s="203"/>
      <c r="G87" s="3"/>
      <c r="H87" s="1"/>
    </row>
    <row r="88" ht="15.75" customHeight="1">
      <c r="A88" s="1"/>
      <c r="F88" s="203"/>
      <c r="G88" s="3"/>
      <c r="H88" s="1"/>
    </row>
    <row r="89" ht="15.75" customHeight="1">
      <c r="A89" s="1"/>
      <c r="F89" s="203"/>
      <c r="G89" s="3"/>
      <c r="H89" s="1"/>
    </row>
    <row r="90" ht="15.75" customHeight="1">
      <c r="A90" s="1"/>
      <c r="F90" s="203"/>
      <c r="G90" s="3"/>
      <c r="H90" s="1"/>
    </row>
    <row r="91" ht="15.75" customHeight="1">
      <c r="A91" s="1"/>
      <c r="F91" s="203"/>
      <c r="G91" s="3"/>
      <c r="H91" s="1"/>
    </row>
    <row r="92" ht="15.75" customHeight="1">
      <c r="A92" s="1"/>
      <c r="F92" s="203"/>
      <c r="G92" s="3"/>
      <c r="H92" s="1"/>
    </row>
    <row r="93" ht="15.75" customHeight="1">
      <c r="A93" s="1"/>
      <c r="F93" s="203"/>
      <c r="G93" s="3"/>
      <c r="H93" s="1"/>
    </row>
    <row r="94" ht="15.75" customHeight="1">
      <c r="A94" s="1"/>
      <c r="F94" s="203"/>
      <c r="G94" s="3"/>
      <c r="H94" s="1"/>
    </row>
    <row r="95" ht="15.75" customHeight="1">
      <c r="A95" s="1"/>
      <c r="F95" s="203"/>
      <c r="G95" s="3"/>
      <c r="H95" s="1"/>
    </row>
    <row r="96" ht="15.75" customHeight="1">
      <c r="A96" s="1"/>
      <c r="F96" s="203"/>
      <c r="G96" s="3"/>
      <c r="H96" s="1"/>
    </row>
    <row r="97" ht="15.75" customHeight="1">
      <c r="A97" s="1"/>
      <c r="F97" s="203"/>
      <c r="G97" s="3"/>
      <c r="H97" s="1"/>
    </row>
    <row r="98" ht="15.75" customHeight="1">
      <c r="A98" s="1"/>
      <c r="F98" s="203"/>
      <c r="G98" s="3"/>
      <c r="H98" s="1"/>
    </row>
    <row r="99" ht="15.75" customHeight="1">
      <c r="A99" s="1"/>
      <c r="F99" s="203"/>
      <c r="G99" s="3"/>
      <c r="H99" s="1"/>
    </row>
    <row r="100" ht="15.75" customHeight="1">
      <c r="A100" s="1"/>
      <c r="F100" s="203"/>
      <c r="G100" s="3"/>
      <c r="H100" s="1"/>
    </row>
    <row r="101" ht="15.75" customHeight="1">
      <c r="A101" s="1"/>
      <c r="F101" s="203"/>
      <c r="G101" s="3"/>
      <c r="H101" s="1"/>
    </row>
    <row r="102" ht="15.75" customHeight="1">
      <c r="A102" s="1"/>
      <c r="F102" s="203"/>
      <c r="G102" s="3"/>
      <c r="H102" s="1"/>
    </row>
    <row r="103" ht="15.75" customHeight="1">
      <c r="A103" s="1"/>
      <c r="F103" s="203"/>
      <c r="G103" s="3"/>
      <c r="H103" s="1"/>
    </row>
    <row r="104" ht="15.75" customHeight="1">
      <c r="A104" s="1"/>
      <c r="F104" s="203"/>
      <c r="G104" s="3"/>
      <c r="H104" s="1"/>
    </row>
    <row r="105" ht="15.75" customHeight="1">
      <c r="A105" s="1"/>
      <c r="F105" s="203"/>
      <c r="G105" s="3"/>
      <c r="H105" s="1"/>
    </row>
    <row r="106" ht="15.75" customHeight="1">
      <c r="A106" s="1"/>
      <c r="F106" s="203"/>
      <c r="G106" s="3"/>
      <c r="H106" s="1"/>
    </row>
    <row r="107" ht="15.75" customHeight="1">
      <c r="A107" s="1"/>
      <c r="F107" s="203"/>
      <c r="G107" s="3"/>
      <c r="H107" s="1"/>
    </row>
    <row r="108" ht="15.75" customHeight="1">
      <c r="A108" s="1"/>
      <c r="F108" s="203"/>
      <c r="G108" s="3"/>
      <c r="H108" s="1"/>
    </row>
    <row r="109" ht="15.75" customHeight="1">
      <c r="A109" s="1"/>
      <c r="F109" s="203"/>
      <c r="G109" s="3"/>
      <c r="H109" s="1"/>
    </row>
    <row r="110" ht="15.75" customHeight="1">
      <c r="A110" s="1"/>
      <c r="F110" s="203"/>
      <c r="G110" s="3"/>
      <c r="H110" s="1"/>
    </row>
    <row r="111" ht="15.75" customHeight="1">
      <c r="A111" s="1"/>
      <c r="F111" s="203"/>
      <c r="G111" s="3"/>
      <c r="H111" s="1"/>
    </row>
    <row r="112" ht="15.75" customHeight="1">
      <c r="A112" s="1"/>
      <c r="F112" s="203"/>
      <c r="G112" s="3"/>
      <c r="H112" s="1"/>
    </row>
    <row r="113" ht="15.75" customHeight="1">
      <c r="A113" s="1"/>
      <c r="F113" s="203"/>
      <c r="G113" s="3"/>
      <c r="H113" s="1"/>
    </row>
    <row r="114" ht="15.75" customHeight="1">
      <c r="A114" s="1"/>
      <c r="F114" s="203"/>
      <c r="G114" s="3"/>
      <c r="H114" s="1"/>
    </row>
    <row r="115" ht="15.75" customHeight="1">
      <c r="A115" s="1"/>
      <c r="F115" s="203"/>
      <c r="G115" s="3"/>
      <c r="H115" s="1"/>
    </row>
    <row r="116" ht="15.75" customHeight="1">
      <c r="A116" s="1"/>
      <c r="F116" s="203"/>
      <c r="G116" s="3"/>
      <c r="H116" s="1"/>
    </row>
    <row r="117" ht="15.75" customHeight="1">
      <c r="A117" s="1"/>
      <c r="F117" s="203"/>
      <c r="G117" s="3"/>
      <c r="H117" s="1"/>
    </row>
    <row r="118" ht="15.75" customHeight="1">
      <c r="A118" s="1"/>
      <c r="F118" s="203"/>
      <c r="G118" s="3"/>
      <c r="H118" s="1"/>
    </row>
    <row r="119" ht="15.75" customHeight="1">
      <c r="A119" s="1"/>
      <c r="F119" s="203"/>
      <c r="G119" s="3"/>
      <c r="H119" s="1"/>
    </row>
    <row r="120" ht="15.75" customHeight="1">
      <c r="A120" s="1"/>
      <c r="F120" s="203"/>
      <c r="G120" s="3"/>
      <c r="H120" s="1"/>
    </row>
    <row r="121" ht="15.75" customHeight="1">
      <c r="A121" s="1"/>
      <c r="F121" s="203"/>
      <c r="G121" s="3"/>
      <c r="H121" s="1"/>
    </row>
    <row r="122" ht="15.75" customHeight="1">
      <c r="A122" s="1"/>
      <c r="F122" s="203"/>
      <c r="G122" s="3"/>
      <c r="H122" s="1"/>
    </row>
    <row r="123" ht="15.75" customHeight="1">
      <c r="A123" s="1"/>
      <c r="F123" s="203"/>
      <c r="G123" s="3"/>
      <c r="H123" s="1"/>
    </row>
    <row r="124" ht="15.75" customHeight="1">
      <c r="A124" s="1"/>
      <c r="F124" s="203"/>
      <c r="G124" s="3"/>
      <c r="H124" s="1"/>
    </row>
    <row r="125" ht="15.75" customHeight="1">
      <c r="A125" s="1"/>
      <c r="F125" s="203"/>
      <c r="G125" s="3"/>
      <c r="H125" s="1"/>
    </row>
    <row r="126" ht="15.75" customHeight="1">
      <c r="A126" s="1"/>
      <c r="F126" s="203"/>
      <c r="G126" s="3"/>
      <c r="H126" s="1"/>
    </row>
    <row r="127" ht="15.75" customHeight="1">
      <c r="A127" s="1"/>
      <c r="F127" s="203"/>
      <c r="G127" s="3"/>
      <c r="H127" s="1"/>
    </row>
    <row r="128" ht="15.75" customHeight="1">
      <c r="A128" s="1"/>
      <c r="F128" s="203"/>
      <c r="G128" s="3"/>
      <c r="H128" s="1"/>
    </row>
    <row r="129" ht="15.75" customHeight="1">
      <c r="A129" s="1"/>
      <c r="F129" s="203"/>
      <c r="G129" s="3"/>
      <c r="H129" s="1"/>
    </row>
    <row r="130" ht="15.75" customHeight="1">
      <c r="A130" s="1"/>
      <c r="F130" s="203"/>
      <c r="G130" s="3"/>
      <c r="H130" s="1"/>
    </row>
    <row r="131" ht="15.75" customHeight="1">
      <c r="A131" s="1"/>
      <c r="F131" s="203"/>
      <c r="G131" s="3"/>
      <c r="H131" s="1"/>
    </row>
    <row r="132" ht="15.75" customHeight="1">
      <c r="A132" s="1"/>
      <c r="F132" s="203"/>
      <c r="G132" s="3"/>
      <c r="H132" s="1"/>
    </row>
    <row r="133" ht="15.75" customHeight="1">
      <c r="A133" s="1"/>
      <c r="F133" s="203"/>
      <c r="G133" s="3"/>
      <c r="H133" s="1"/>
    </row>
    <row r="134" ht="15.75" customHeight="1">
      <c r="A134" s="1"/>
      <c r="F134" s="203"/>
      <c r="G134" s="3"/>
      <c r="H134" s="1"/>
    </row>
    <row r="135" ht="15.75" customHeight="1">
      <c r="A135" s="1"/>
      <c r="F135" s="203"/>
      <c r="G135" s="3"/>
      <c r="H135" s="1"/>
    </row>
    <row r="136" ht="15.75" customHeight="1">
      <c r="A136" s="1"/>
      <c r="F136" s="203"/>
      <c r="G136" s="3"/>
      <c r="H136" s="1"/>
    </row>
    <row r="137" ht="15.75" customHeight="1">
      <c r="A137" s="1"/>
      <c r="F137" s="203"/>
      <c r="G137" s="3"/>
      <c r="H137" s="1"/>
    </row>
    <row r="138" ht="15.75" customHeight="1">
      <c r="A138" s="1"/>
      <c r="F138" s="203"/>
      <c r="G138" s="3"/>
      <c r="H138" s="1"/>
    </row>
    <row r="139" ht="15.75" customHeight="1">
      <c r="A139" s="1"/>
      <c r="F139" s="203"/>
      <c r="G139" s="3"/>
      <c r="H139" s="1"/>
    </row>
    <row r="140" ht="15.75" customHeight="1">
      <c r="A140" s="1"/>
      <c r="F140" s="203"/>
      <c r="G140" s="3"/>
      <c r="H140" s="1"/>
    </row>
    <row r="141" ht="15.75" customHeight="1">
      <c r="A141" s="1"/>
      <c r="F141" s="203"/>
      <c r="G141" s="3"/>
      <c r="H141" s="1"/>
    </row>
    <row r="142" ht="15.75" customHeight="1">
      <c r="A142" s="1"/>
      <c r="F142" s="203"/>
      <c r="G142" s="3"/>
      <c r="H142" s="1"/>
    </row>
    <row r="143" ht="15.75" customHeight="1">
      <c r="A143" s="1"/>
      <c r="F143" s="203"/>
      <c r="G143" s="3"/>
      <c r="H143" s="1"/>
    </row>
    <row r="144" ht="15.75" customHeight="1">
      <c r="A144" s="1"/>
      <c r="F144" s="203"/>
      <c r="G144" s="3"/>
      <c r="H144" s="1"/>
    </row>
    <row r="145" ht="15.75" customHeight="1">
      <c r="A145" s="1"/>
      <c r="F145" s="203"/>
      <c r="G145" s="3"/>
      <c r="H145" s="1"/>
    </row>
    <row r="146" ht="15.75" customHeight="1">
      <c r="A146" s="1"/>
      <c r="F146" s="203"/>
      <c r="G146" s="3"/>
      <c r="H146" s="1"/>
    </row>
    <row r="147" ht="15.75" customHeight="1">
      <c r="A147" s="1"/>
      <c r="F147" s="203"/>
      <c r="G147" s="3"/>
      <c r="H147" s="1"/>
    </row>
    <row r="148" ht="15.75" customHeight="1">
      <c r="A148" s="1"/>
      <c r="F148" s="203"/>
      <c r="G148" s="3"/>
      <c r="H148" s="1"/>
    </row>
    <row r="149" ht="15.75" customHeight="1">
      <c r="A149" s="1"/>
      <c r="F149" s="203"/>
      <c r="G149" s="3"/>
      <c r="H149" s="1"/>
    </row>
    <row r="150" ht="15.75" customHeight="1">
      <c r="A150" s="1"/>
      <c r="F150" s="203"/>
      <c r="G150" s="3"/>
      <c r="H150" s="1"/>
    </row>
    <row r="151" ht="15.75" customHeight="1">
      <c r="A151" s="1"/>
      <c r="F151" s="203"/>
      <c r="G151" s="3"/>
      <c r="H151" s="1"/>
    </row>
    <row r="152" ht="15.75" customHeight="1">
      <c r="A152" s="1"/>
      <c r="F152" s="203"/>
      <c r="G152" s="3"/>
      <c r="H152" s="1"/>
    </row>
    <row r="153" ht="15.75" customHeight="1">
      <c r="A153" s="1"/>
      <c r="F153" s="203"/>
      <c r="G153" s="3"/>
      <c r="H153" s="1"/>
    </row>
    <row r="154" ht="15.75" customHeight="1">
      <c r="A154" s="1"/>
      <c r="F154" s="203"/>
      <c r="G154" s="3"/>
      <c r="H154" s="1"/>
    </row>
    <row r="155" ht="15.75" customHeight="1">
      <c r="A155" s="1"/>
      <c r="F155" s="203"/>
      <c r="G155" s="3"/>
      <c r="H155" s="1"/>
    </row>
    <row r="156" ht="15.75" customHeight="1">
      <c r="A156" s="1"/>
      <c r="F156" s="203"/>
      <c r="G156" s="3"/>
      <c r="H156" s="1"/>
    </row>
    <row r="157" ht="15.75" customHeight="1">
      <c r="A157" s="1"/>
      <c r="F157" s="203"/>
      <c r="G157" s="3"/>
      <c r="H157" s="1"/>
    </row>
    <row r="158" ht="15.75" customHeight="1">
      <c r="A158" s="1"/>
      <c r="F158" s="203"/>
      <c r="G158" s="3"/>
      <c r="H158" s="1"/>
    </row>
    <row r="159" ht="15.75" customHeight="1">
      <c r="A159" s="1"/>
      <c r="F159" s="203"/>
      <c r="G159" s="3"/>
      <c r="H159" s="1"/>
    </row>
    <row r="160" ht="15.75" customHeight="1">
      <c r="A160" s="1"/>
      <c r="F160" s="203"/>
      <c r="G160" s="3"/>
      <c r="H160" s="1"/>
    </row>
    <row r="161" ht="15.75" customHeight="1">
      <c r="A161" s="1"/>
      <c r="F161" s="203"/>
      <c r="G161" s="3"/>
      <c r="H161" s="1"/>
    </row>
    <row r="162" ht="15.75" customHeight="1">
      <c r="A162" s="1"/>
      <c r="F162" s="203"/>
      <c r="G162" s="3"/>
      <c r="H162" s="1"/>
    </row>
    <row r="163" ht="15.75" customHeight="1">
      <c r="A163" s="1"/>
      <c r="F163" s="203"/>
      <c r="G163" s="3"/>
      <c r="H163" s="1"/>
    </row>
    <row r="164" ht="15.75" customHeight="1">
      <c r="A164" s="1"/>
      <c r="F164" s="203"/>
      <c r="G164" s="3"/>
      <c r="H164" s="1"/>
    </row>
    <row r="165" ht="15.75" customHeight="1">
      <c r="A165" s="1"/>
      <c r="F165" s="203"/>
      <c r="G165" s="3"/>
      <c r="H165" s="1"/>
    </row>
    <row r="166" ht="15.75" customHeight="1">
      <c r="A166" s="1"/>
      <c r="F166" s="203"/>
      <c r="G166" s="3"/>
      <c r="H166" s="1"/>
    </row>
    <row r="167" ht="15.75" customHeight="1">
      <c r="A167" s="1"/>
      <c r="F167" s="203"/>
      <c r="G167" s="3"/>
      <c r="H167" s="1"/>
    </row>
    <row r="168" ht="15.75" customHeight="1">
      <c r="A168" s="1"/>
      <c r="F168" s="203"/>
      <c r="G168" s="3"/>
      <c r="H168" s="1"/>
    </row>
    <row r="169" ht="15.75" customHeight="1">
      <c r="A169" s="1"/>
      <c r="F169" s="203"/>
      <c r="G169" s="3"/>
      <c r="H169" s="1"/>
    </row>
    <row r="170" ht="15.75" customHeight="1">
      <c r="A170" s="1"/>
      <c r="F170" s="203"/>
      <c r="G170" s="3"/>
      <c r="H170" s="1"/>
    </row>
    <row r="171" ht="15.75" customHeight="1">
      <c r="A171" s="1"/>
      <c r="F171" s="203"/>
      <c r="G171" s="3"/>
      <c r="H171" s="1"/>
    </row>
    <row r="172" ht="15.75" customHeight="1">
      <c r="A172" s="1"/>
      <c r="F172" s="203"/>
      <c r="G172" s="3"/>
      <c r="H172" s="1"/>
    </row>
    <row r="173" ht="15.75" customHeight="1">
      <c r="A173" s="1"/>
      <c r="F173" s="203"/>
      <c r="G173" s="3"/>
      <c r="H173" s="1"/>
    </row>
    <row r="174" ht="15.75" customHeight="1">
      <c r="A174" s="1"/>
      <c r="F174" s="203"/>
      <c r="G174" s="3"/>
      <c r="H174" s="1"/>
    </row>
    <row r="175" ht="15.75" customHeight="1">
      <c r="A175" s="1"/>
      <c r="F175" s="203"/>
      <c r="G175" s="3"/>
      <c r="H175" s="1"/>
    </row>
    <row r="176" ht="15.75" customHeight="1">
      <c r="A176" s="1"/>
      <c r="F176" s="203"/>
      <c r="G176" s="3"/>
      <c r="H176" s="1"/>
    </row>
    <row r="177" ht="15.75" customHeight="1">
      <c r="A177" s="1"/>
      <c r="F177" s="203"/>
      <c r="G177" s="3"/>
      <c r="H177" s="1"/>
    </row>
    <row r="178" ht="15.75" customHeight="1">
      <c r="A178" s="1"/>
      <c r="F178" s="203"/>
      <c r="G178" s="3"/>
      <c r="H178" s="1"/>
    </row>
    <row r="179" ht="15.75" customHeight="1">
      <c r="A179" s="1"/>
      <c r="F179" s="203"/>
      <c r="G179" s="3"/>
      <c r="H179" s="1"/>
    </row>
    <row r="180" ht="15.75" customHeight="1">
      <c r="A180" s="1"/>
      <c r="F180" s="203"/>
      <c r="G180" s="3"/>
      <c r="H180" s="1"/>
    </row>
    <row r="181" ht="15.75" customHeight="1">
      <c r="A181" s="1"/>
      <c r="F181" s="203"/>
      <c r="G181" s="3"/>
      <c r="H181" s="1"/>
    </row>
    <row r="182" ht="15.75" customHeight="1">
      <c r="A182" s="1"/>
      <c r="F182" s="203"/>
      <c r="G182" s="3"/>
      <c r="H182" s="1"/>
    </row>
    <row r="183" ht="15.75" customHeight="1">
      <c r="A183" s="1"/>
      <c r="F183" s="203"/>
      <c r="G183" s="3"/>
      <c r="H183" s="1"/>
    </row>
    <row r="184" ht="15.75" customHeight="1">
      <c r="A184" s="1"/>
      <c r="F184" s="203"/>
      <c r="G184" s="3"/>
      <c r="H184" s="1"/>
    </row>
    <row r="185" ht="15.75" customHeight="1">
      <c r="A185" s="1"/>
      <c r="F185" s="203"/>
      <c r="G185" s="3"/>
      <c r="H185" s="1"/>
    </row>
    <row r="186" ht="15.75" customHeight="1">
      <c r="A186" s="1"/>
      <c r="F186" s="203"/>
      <c r="G186" s="3"/>
      <c r="H186" s="1"/>
    </row>
    <row r="187" ht="15.75" customHeight="1">
      <c r="A187" s="1"/>
      <c r="F187" s="203"/>
      <c r="G187" s="3"/>
      <c r="H187" s="1"/>
    </row>
    <row r="188" ht="15.75" customHeight="1">
      <c r="A188" s="1"/>
      <c r="F188" s="203"/>
      <c r="G188" s="3"/>
      <c r="H188" s="1"/>
    </row>
    <row r="189" ht="15.75" customHeight="1">
      <c r="A189" s="1"/>
      <c r="F189" s="203"/>
      <c r="G189" s="3"/>
      <c r="H189" s="1"/>
    </row>
    <row r="190" ht="15.75" customHeight="1">
      <c r="A190" s="1"/>
      <c r="F190" s="203"/>
      <c r="G190" s="3"/>
      <c r="H190" s="1"/>
    </row>
    <row r="191" ht="15.75" customHeight="1">
      <c r="A191" s="1"/>
      <c r="F191" s="203"/>
      <c r="G191" s="3"/>
      <c r="H191" s="1"/>
    </row>
    <row r="192" ht="15.75" customHeight="1">
      <c r="A192" s="1"/>
      <c r="F192" s="203"/>
      <c r="G192" s="3"/>
      <c r="H192" s="1"/>
    </row>
    <row r="193" ht="15.75" customHeight="1">
      <c r="A193" s="1"/>
      <c r="F193" s="203"/>
      <c r="G193" s="3"/>
      <c r="H193" s="1"/>
    </row>
    <row r="194" ht="15.75" customHeight="1">
      <c r="A194" s="1"/>
      <c r="F194" s="203"/>
      <c r="G194" s="3"/>
      <c r="H194" s="1"/>
    </row>
    <row r="195" ht="15.75" customHeight="1">
      <c r="A195" s="1"/>
      <c r="F195" s="203"/>
      <c r="G195" s="3"/>
      <c r="H195" s="1"/>
    </row>
    <row r="196" ht="15.75" customHeight="1">
      <c r="A196" s="1"/>
      <c r="F196" s="203"/>
      <c r="G196" s="3"/>
      <c r="H196" s="1"/>
    </row>
    <row r="197" ht="15.75" customHeight="1">
      <c r="A197" s="1"/>
      <c r="F197" s="203"/>
      <c r="G197" s="3"/>
      <c r="H197" s="1"/>
    </row>
    <row r="198" ht="15.75" customHeight="1">
      <c r="A198" s="1"/>
      <c r="F198" s="203"/>
      <c r="G198" s="3"/>
      <c r="H198" s="1"/>
    </row>
    <row r="199" ht="15.75" customHeight="1">
      <c r="A199" s="1"/>
      <c r="F199" s="203"/>
      <c r="G199" s="3"/>
      <c r="H199" s="1"/>
    </row>
    <row r="200" ht="15.75" customHeight="1">
      <c r="A200" s="1"/>
      <c r="F200" s="203"/>
      <c r="G200" s="3"/>
      <c r="H200" s="1"/>
    </row>
    <row r="201" ht="15.75" customHeight="1">
      <c r="A201" s="1"/>
      <c r="F201" s="203"/>
      <c r="G201" s="3"/>
      <c r="H201" s="1"/>
    </row>
    <row r="202" ht="15.75" customHeight="1">
      <c r="A202" s="1"/>
      <c r="F202" s="203"/>
      <c r="G202" s="3"/>
      <c r="H202" s="1"/>
    </row>
    <row r="203" ht="15.75" customHeight="1">
      <c r="A203" s="1"/>
      <c r="F203" s="203"/>
      <c r="G203" s="3"/>
      <c r="H203" s="1"/>
    </row>
    <row r="204" ht="15.75" customHeight="1">
      <c r="A204" s="1"/>
      <c r="F204" s="203"/>
      <c r="G204" s="3"/>
      <c r="H204" s="1"/>
    </row>
    <row r="205" ht="15.75" customHeight="1">
      <c r="A205" s="1"/>
      <c r="F205" s="203"/>
      <c r="G205" s="3"/>
      <c r="H205" s="1"/>
    </row>
    <row r="206" ht="15.75" customHeight="1">
      <c r="A206" s="1"/>
      <c r="F206" s="203"/>
      <c r="G206" s="3"/>
      <c r="H206" s="1"/>
    </row>
    <row r="207" ht="15.75" customHeight="1">
      <c r="A207" s="1"/>
      <c r="F207" s="203"/>
      <c r="G207" s="3"/>
      <c r="H207" s="1"/>
    </row>
    <row r="208" ht="15.75" customHeight="1">
      <c r="A208" s="1"/>
      <c r="F208" s="203"/>
      <c r="G208" s="3"/>
      <c r="H208" s="1"/>
    </row>
    <row r="209" ht="15.75" customHeight="1">
      <c r="A209" s="1"/>
      <c r="F209" s="203"/>
      <c r="G209" s="3"/>
      <c r="H209" s="1"/>
    </row>
    <row r="210" ht="15.75" customHeight="1">
      <c r="A210" s="1"/>
      <c r="F210" s="203"/>
      <c r="G210" s="3"/>
      <c r="H210" s="1"/>
    </row>
    <row r="211" ht="15.75" customHeight="1">
      <c r="A211" s="1"/>
      <c r="F211" s="203"/>
      <c r="G211" s="3"/>
      <c r="H211" s="1"/>
    </row>
    <row r="212" ht="15.75" customHeight="1">
      <c r="A212" s="1"/>
      <c r="F212" s="203"/>
      <c r="G212" s="3"/>
      <c r="H212" s="1"/>
    </row>
    <row r="213" ht="15.75" customHeight="1">
      <c r="A213" s="1"/>
      <c r="F213" s="203"/>
      <c r="G213" s="3"/>
      <c r="H213" s="1"/>
    </row>
    <row r="214" ht="15.75" customHeight="1">
      <c r="A214" s="1"/>
      <c r="F214" s="203"/>
      <c r="G214" s="3"/>
      <c r="H214" s="1"/>
    </row>
    <row r="215" ht="15.75" customHeight="1">
      <c r="A215" s="1"/>
      <c r="F215" s="203"/>
      <c r="G215" s="3"/>
      <c r="H215" s="1"/>
    </row>
    <row r="216" ht="15.75" customHeight="1">
      <c r="A216" s="1"/>
      <c r="F216" s="203"/>
      <c r="G216" s="3"/>
      <c r="H216" s="1"/>
    </row>
    <row r="217" ht="15.75" customHeight="1">
      <c r="A217" s="1"/>
      <c r="F217" s="203"/>
      <c r="G217" s="3"/>
      <c r="H217" s="1"/>
    </row>
    <row r="218" ht="15.75" customHeight="1">
      <c r="A218" s="1"/>
      <c r="F218" s="203"/>
      <c r="G218" s="3"/>
      <c r="H218" s="1"/>
    </row>
    <row r="219" ht="15.75" customHeight="1">
      <c r="A219" s="1"/>
      <c r="F219" s="203"/>
      <c r="G219" s="3"/>
      <c r="H219" s="1"/>
    </row>
    <row r="220" ht="15.75" customHeight="1">
      <c r="A220" s="1"/>
      <c r="F220" s="203"/>
      <c r="G220" s="3"/>
      <c r="H220" s="1"/>
    </row>
    <row r="221" ht="15.75" customHeight="1">
      <c r="A221" s="1"/>
      <c r="F221" s="203"/>
      <c r="G221" s="3"/>
      <c r="H221" s="1"/>
    </row>
    <row r="222" ht="15.75" customHeight="1">
      <c r="A222" s="1"/>
      <c r="F222" s="203"/>
      <c r="G222" s="3"/>
      <c r="H222" s="1"/>
    </row>
    <row r="223" ht="15.75" customHeight="1">
      <c r="A223" s="1"/>
      <c r="F223" s="203"/>
      <c r="G223" s="3"/>
      <c r="H223" s="1"/>
    </row>
    <row r="224" ht="15.75" customHeight="1">
      <c r="A224" s="1"/>
      <c r="F224" s="203"/>
      <c r="G224" s="3"/>
      <c r="H224" s="1"/>
    </row>
    <row r="225" ht="15.75" customHeight="1">
      <c r="A225" s="1"/>
      <c r="F225" s="203"/>
      <c r="G225" s="3"/>
      <c r="H225" s="1"/>
    </row>
    <row r="226" ht="15.75" customHeight="1">
      <c r="A226" s="1"/>
      <c r="F226" s="203"/>
      <c r="G226" s="3"/>
      <c r="H226" s="1"/>
    </row>
    <row r="227" ht="15.75" customHeight="1">
      <c r="A227" s="1"/>
      <c r="F227" s="203"/>
      <c r="G227" s="3"/>
      <c r="H227" s="1"/>
    </row>
    <row r="228" ht="15.75" customHeight="1">
      <c r="A228" s="1"/>
      <c r="F228" s="203"/>
      <c r="G228" s="3"/>
      <c r="H228" s="1"/>
    </row>
    <row r="229" ht="15.75" customHeight="1">
      <c r="A229" s="1"/>
      <c r="F229" s="203"/>
      <c r="G229" s="3"/>
      <c r="H229" s="1"/>
    </row>
    <row r="230" ht="15.75" customHeight="1">
      <c r="A230" s="1"/>
      <c r="F230" s="203"/>
      <c r="G230" s="3"/>
      <c r="H230" s="1"/>
    </row>
    <row r="231" ht="15.75" customHeight="1">
      <c r="A231" s="1"/>
      <c r="F231" s="203"/>
      <c r="G231" s="3"/>
      <c r="H231" s="1"/>
    </row>
    <row r="232" ht="15.75" customHeight="1">
      <c r="A232" s="1"/>
      <c r="F232" s="203"/>
      <c r="G232" s="3"/>
      <c r="H232" s="1"/>
    </row>
    <row r="233" ht="15.75" customHeight="1">
      <c r="A233" s="1"/>
      <c r="F233" s="203"/>
      <c r="G233" s="3"/>
      <c r="H233" s="1"/>
    </row>
    <row r="234" ht="15.75" customHeight="1">
      <c r="A234" s="1"/>
      <c r="F234" s="203"/>
      <c r="G234" s="3"/>
      <c r="H234" s="1"/>
    </row>
    <row r="235" ht="15.75" customHeight="1">
      <c r="A235" s="1"/>
      <c r="F235" s="203"/>
      <c r="G235" s="3"/>
      <c r="H235" s="1"/>
    </row>
    <row r="236" ht="15.75" customHeight="1">
      <c r="A236" s="1"/>
      <c r="F236" s="203"/>
      <c r="G236" s="3"/>
      <c r="H236" s="1"/>
    </row>
    <row r="237" ht="15.75" customHeight="1">
      <c r="A237" s="1"/>
      <c r="F237" s="203"/>
      <c r="G237" s="3"/>
      <c r="H237" s="1"/>
    </row>
    <row r="238" ht="15.75" customHeight="1">
      <c r="A238" s="1"/>
      <c r="F238" s="203"/>
      <c r="G238" s="3"/>
      <c r="H238" s="1"/>
    </row>
    <row r="239" ht="15.75" customHeight="1">
      <c r="A239" s="1"/>
      <c r="F239" s="203"/>
      <c r="G239" s="3"/>
      <c r="H239" s="1"/>
    </row>
    <row r="240" ht="15.75" customHeight="1">
      <c r="A240" s="1"/>
      <c r="F240" s="203"/>
      <c r="G240" s="3"/>
      <c r="H240" s="1"/>
    </row>
    <row r="241" ht="15.75" customHeight="1">
      <c r="A241" s="1"/>
      <c r="F241" s="203"/>
      <c r="G241" s="3"/>
      <c r="H241" s="1"/>
    </row>
    <row r="242" ht="15.75" customHeight="1">
      <c r="A242" s="1"/>
      <c r="F242" s="203"/>
      <c r="G242" s="3"/>
      <c r="H242" s="1"/>
    </row>
    <row r="243" ht="15.75" customHeight="1">
      <c r="A243" s="1"/>
      <c r="F243" s="203"/>
      <c r="G243" s="3"/>
      <c r="H243" s="1"/>
    </row>
    <row r="244" ht="15.75" customHeight="1">
      <c r="A244" s="1"/>
      <c r="F244" s="203"/>
      <c r="G244" s="3"/>
      <c r="H244" s="1"/>
    </row>
    <row r="245" ht="15.75" customHeight="1">
      <c r="A245" s="1"/>
      <c r="F245" s="203"/>
      <c r="G245" s="3"/>
      <c r="H245" s="1"/>
    </row>
    <row r="246" ht="15.75" customHeight="1">
      <c r="A246" s="1"/>
      <c r="F246" s="203"/>
      <c r="G246" s="3"/>
      <c r="H246" s="1"/>
    </row>
    <row r="247" ht="15.75" customHeight="1">
      <c r="A247" s="1"/>
      <c r="F247" s="203"/>
      <c r="G247" s="3"/>
      <c r="H247" s="1"/>
    </row>
    <row r="248" ht="15.75" customHeight="1">
      <c r="A248" s="1"/>
      <c r="F248" s="203"/>
      <c r="G248" s="3"/>
      <c r="H248" s="1"/>
    </row>
    <row r="249" ht="15.75" customHeight="1">
      <c r="A249" s="1"/>
      <c r="F249" s="203"/>
      <c r="G249" s="3"/>
      <c r="H249" s="1"/>
    </row>
    <row r="250" ht="15.75" customHeight="1">
      <c r="A250" s="1"/>
      <c r="F250" s="203"/>
      <c r="G250" s="3"/>
      <c r="H250" s="1"/>
    </row>
    <row r="251" ht="15.75" customHeight="1">
      <c r="A251" s="1"/>
      <c r="F251" s="203"/>
      <c r="G251" s="3"/>
      <c r="H251" s="1"/>
    </row>
    <row r="252" ht="15.75" customHeight="1">
      <c r="A252" s="1"/>
      <c r="F252" s="203"/>
      <c r="G252" s="3"/>
      <c r="H252" s="1"/>
    </row>
    <row r="253" ht="15.75" customHeight="1">
      <c r="A253" s="1"/>
      <c r="F253" s="203"/>
      <c r="G253" s="3"/>
      <c r="H253" s="1"/>
    </row>
    <row r="254" ht="15.75" customHeight="1">
      <c r="A254" s="1"/>
      <c r="F254" s="203"/>
      <c r="G254" s="3"/>
      <c r="H254" s="1"/>
    </row>
    <row r="255" ht="15.75" customHeight="1">
      <c r="A255" s="1"/>
      <c r="F255" s="203"/>
      <c r="G255" s="3"/>
      <c r="H255" s="1"/>
    </row>
    <row r="256" ht="15.75" customHeight="1">
      <c r="A256" s="1"/>
      <c r="F256" s="203"/>
      <c r="G256" s="3"/>
      <c r="H256" s="1"/>
    </row>
    <row r="257" ht="15.75" customHeight="1">
      <c r="A257" s="1"/>
      <c r="F257" s="203"/>
      <c r="G257" s="3"/>
      <c r="H257" s="1"/>
    </row>
    <row r="258" ht="15.75" customHeight="1">
      <c r="A258" s="1"/>
      <c r="F258" s="203"/>
      <c r="G258" s="3"/>
      <c r="H258" s="1"/>
    </row>
    <row r="259" ht="15.75" customHeight="1">
      <c r="A259" s="1"/>
      <c r="F259" s="203"/>
      <c r="G259" s="3"/>
      <c r="H259" s="1"/>
    </row>
    <row r="260" ht="15.75" customHeight="1">
      <c r="A260" s="1"/>
      <c r="F260" s="203"/>
      <c r="G260" s="3"/>
      <c r="H260" s="1"/>
    </row>
    <row r="261" ht="15.75" customHeight="1">
      <c r="A261" s="1"/>
      <c r="F261" s="203"/>
      <c r="G261" s="3"/>
      <c r="H261" s="1"/>
    </row>
    <row r="262" ht="15.75" customHeight="1">
      <c r="A262" s="1"/>
      <c r="F262" s="203"/>
      <c r="G262" s="3"/>
      <c r="H262" s="1"/>
    </row>
    <row r="263" ht="15.75" customHeight="1">
      <c r="A263" s="1"/>
      <c r="F263" s="203"/>
      <c r="G263" s="3"/>
      <c r="H263" s="1"/>
    </row>
    <row r="264" ht="15.75" customHeight="1">
      <c r="A264" s="1"/>
      <c r="F264" s="203"/>
      <c r="G264" s="3"/>
      <c r="H264" s="1"/>
    </row>
    <row r="265" ht="15.75" customHeight="1">
      <c r="A265" s="1"/>
      <c r="F265" s="203"/>
      <c r="G265" s="3"/>
      <c r="H265" s="1"/>
    </row>
    <row r="266" ht="15.75" customHeight="1">
      <c r="A266" s="1"/>
      <c r="F266" s="203"/>
      <c r="G266" s="3"/>
      <c r="H266" s="1"/>
    </row>
    <row r="267" ht="15.75" customHeight="1">
      <c r="A267" s="1"/>
      <c r="F267" s="203"/>
      <c r="G267" s="3"/>
      <c r="H267" s="1"/>
    </row>
    <row r="268" ht="15.75" customHeight="1">
      <c r="A268" s="1"/>
      <c r="F268" s="203"/>
      <c r="G268" s="3"/>
      <c r="H268" s="1"/>
    </row>
    <row r="269" ht="15.75" customHeight="1">
      <c r="A269" s="1"/>
      <c r="F269" s="203"/>
      <c r="G269" s="3"/>
      <c r="H269" s="1"/>
    </row>
    <row r="270" ht="15.75" customHeight="1">
      <c r="A270" s="1"/>
      <c r="F270" s="203"/>
      <c r="G270" s="3"/>
      <c r="H270" s="1"/>
    </row>
    <row r="271" ht="15.75" customHeight="1">
      <c r="A271" s="1"/>
      <c r="F271" s="203"/>
      <c r="G271" s="3"/>
      <c r="H271" s="1"/>
    </row>
    <row r="272" ht="15.75" customHeight="1">
      <c r="A272" s="1"/>
      <c r="F272" s="203"/>
      <c r="G272" s="3"/>
      <c r="H272" s="1"/>
    </row>
    <row r="273" ht="15.75" customHeight="1">
      <c r="A273" s="1"/>
      <c r="F273" s="203"/>
      <c r="G273" s="3"/>
      <c r="H273" s="1"/>
    </row>
    <row r="274" ht="15.75" customHeight="1">
      <c r="A274" s="1"/>
      <c r="F274" s="203"/>
      <c r="G274" s="3"/>
      <c r="H274" s="1"/>
    </row>
    <row r="275" ht="15.75" customHeight="1">
      <c r="A275" s="1"/>
      <c r="F275" s="203"/>
      <c r="G275" s="3"/>
      <c r="H275" s="1"/>
    </row>
    <row r="276" ht="15.75" customHeight="1">
      <c r="A276" s="1"/>
      <c r="F276" s="203"/>
      <c r="G276" s="3"/>
      <c r="H276" s="1"/>
    </row>
    <row r="277" ht="15.75" customHeight="1">
      <c r="A277" s="1"/>
      <c r="F277" s="203"/>
      <c r="G277" s="3"/>
      <c r="H277" s="1"/>
    </row>
    <row r="278" ht="15.75" customHeight="1">
      <c r="A278" s="1"/>
      <c r="F278" s="203"/>
      <c r="G278" s="3"/>
      <c r="H278" s="1"/>
    </row>
    <row r="279" ht="15.75" customHeight="1">
      <c r="A279" s="1"/>
      <c r="F279" s="203"/>
      <c r="G279" s="3"/>
      <c r="H279" s="1"/>
    </row>
    <row r="280" ht="15.75" customHeight="1">
      <c r="A280" s="1"/>
      <c r="F280" s="203"/>
      <c r="G280" s="3"/>
      <c r="H280" s="1"/>
    </row>
    <row r="281" ht="15.75" customHeight="1">
      <c r="A281" s="1"/>
      <c r="F281" s="203"/>
      <c r="G281" s="3"/>
      <c r="H281" s="1"/>
    </row>
    <row r="282" ht="15.75" customHeight="1">
      <c r="A282" s="1"/>
      <c r="F282" s="203"/>
      <c r="G282" s="3"/>
      <c r="H282" s="1"/>
    </row>
    <row r="283" ht="15.75" customHeight="1">
      <c r="A283" s="1"/>
      <c r="F283" s="203"/>
      <c r="G283" s="3"/>
      <c r="H283" s="1"/>
    </row>
    <row r="284" ht="15.75" customHeight="1">
      <c r="A284" s="1"/>
      <c r="F284" s="203"/>
      <c r="G284" s="3"/>
      <c r="H284" s="1"/>
    </row>
    <row r="285" ht="15.75" customHeight="1">
      <c r="A285" s="1"/>
      <c r="F285" s="203"/>
      <c r="G285" s="3"/>
      <c r="H285" s="1"/>
    </row>
    <row r="286" ht="15.75" customHeight="1">
      <c r="A286" s="1"/>
      <c r="F286" s="203"/>
      <c r="G286" s="3"/>
      <c r="H286" s="1"/>
    </row>
    <row r="287" ht="15.75" customHeight="1">
      <c r="A287" s="1"/>
      <c r="F287" s="203"/>
      <c r="G287" s="3"/>
      <c r="H287" s="1"/>
    </row>
    <row r="288" ht="15.75" customHeight="1">
      <c r="A288" s="1"/>
      <c r="F288" s="203"/>
      <c r="G288" s="3"/>
      <c r="H288" s="1"/>
    </row>
    <row r="289" ht="15.75" customHeight="1">
      <c r="A289" s="1"/>
      <c r="F289" s="203"/>
      <c r="G289" s="3"/>
      <c r="H289" s="1"/>
    </row>
    <row r="290" ht="15.75" customHeight="1">
      <c r="A290" s="1"/>
      <c r="F290" s="203"/>
      <c r="G290" s="3"/>
      <c r="H290" s="1"/>
    </row>
    <row r="291" ht="15.75" customHeight="1">
      <c r="A291" s="1"/>
      <c r="F291" s="203"/>
      <c r="G291" s="3"/>
      <c r="H291" s="1"/>
    </row>
    <row r="292" ht="15.75" customHeight="1">
      <c r="A292" s="1"/>
      <c r="F292" s="203"/>
      <c r="G292" s="3"/>
      <c r="H292" s="1"/>
    </row>
    <row r="293" ht="15.75" customHeight="1">
      <c r="A293" s="1"/>
      <c r="F293" s="203"/>
      <c r="G293" s="3"/>
      <c r="H293" s="1"/>
    </row>
    <row r="294" ht="15.75" customHeight="1">
      <c r="A294" s="1"/>
      <c r="F294" s="203"/>
      <c r="G294" s="3"/>
      <c r="H294" s="1"/>
    </row>
    <row r="295" ht="15.75" customHeight="1">
      <c r="A295" s="1"/>
      <c r="F295" s="203"/>
      <c r="G295" s="3"/>
      <c r="H295" s="1"/>
    </row>
    <row r="296" ht="15.75" customHeight="1">
      <c r="A296" s="1"/>
      <c r="F296" s="203"/>
      <c r="G296" s="3"/>
      <c r="H296" s="1"/>
    </row>
    <row r="297" ht="15.75" customHeight="1">
      <c r="A297" s="1"/>
      <c r="F297" s="203"/>
      <c r="G297" s="3"/>
      <c r="H297" s="1"/>
    </row>
    <row r="298" ht="15.75" customHeight="1">
      <c r="A298" s="1"/>
      <c r="F298" s="203"/>
      <c r="G298" s="3"/>
      <c r="H298" s="1"/>
    </row>
    <row r="299" ht="15.75" customHeight="1">
      <c r="A299" s="1"/>
      <c r="F299" s="203"/>
      <c r="G299" s="3"/>
      <c r="H299" s="1"/>
    </row>
    <row r="300" ht="15.75" customHeight="1">
      <c r="A300" s="1"/>
      <c r="F300" s="203"/>
      <c r="G300" s="3"/>
      <c r="H300" s="1"/>
    </row>
    <row r="301" ht="15.75" customHeight="1">
      <c r="A301" s="1"/>
      <c r="F301" s="203"/>
      <c r="G301" s="3"/>
      <c r="H301" s="1"/>
    </row>
    <row r="302" ht="15.75" customHeight="1">
      <c r="A302" s="1"/>
      <c r="F302" s="203"/>
      <c r="G302" s="3"/>
      <c r="H302" s="1"/>
    </row>
    <row r="303" ht="15.75" customHeight="1">
      <c r="A303" s="1"/>
      <c r="F303" s="203"/>
      <c r="G303" s="3"/>
      <c r="H303" s="1"/>
    </row>
    <row r="304" ht="15.75" customHeight="1">
      <c r="A304" s="1"/>
      <c r="F304" s="203"/>
      <c r="G304" s="3"/>
      <c r="H304" s="1"/>
    </row>
    <row r="305" ht="15.75" customHeight="1">
      <c r="A305" s="1"/>
      <c r="F305" s="203"/>
      <c r="G305" s="3"/>
      <c r="H305" s="1"/>
    </row>
    <row r="306" ht="15.75" customHeight="1">
      <c r="A306" s="1"/>
      <c r="F306" s="203"/>
      <c r="G306" s="3"/>
      <c r="H306" s="1"/>
    </row>
    <row r="307" ht="15.75" customHeight="1">
      <c r="A307" s="1"/>
      <c r="F307" s="203"/>
      <c r="G307" s="3"/>
      <c r="H307" s="1"/>
    </row>
    <row r="308" ht="15.75" customHeight="1">
      <c r="A308" s="1"/>
      <c r="F308" s="203"/>
      <c r="G308" s="3"/>
      <c r="H308" s="1"/>
    </row>
    <row r="309" ht="15.75" customHeight="1">
      <c r="A309" s="1"/>
      <c r="F309" s="203"/>
      <c r="G309" s="3"/>
      <c r="H309" s="1"/>
    </row>
    <row r="310" ht="15.75" customHeight="1">
      <c r="A310" s="1"/>
      <c r="F310" s="203"/>
      <c r="G310" s="3"/>
      <c r="H310" s="1"/>
    </row>
    <row r="311" ht="15.75" customHeight="1">
      <c r="A311" s="1"/>
      <c r="F311" s="203"/>
      <c r="G311" s="3"/>
      <c r="H311" s="1"/>
    </row>
    <row r="312" ht="15.75" customHeight="1">
      <c r="A312" s="1"/>
      <c r="F312" s="203"/>
      <c r="G312" s="3"/>
      <c r="H312" s="1"/>
    </row>
    <row r="313" ht="15.75" customHeight="1">
      <c r="A313" s="1"/>
      <c r="F313" s="203"/>
      <c r="G313" s="3"/>
      <c r="H313" s="1"/>
    </row>
    <row r="314" ht="15.75" customHeight="1">
      <c r="A314" s="1"/>
      <c r="F314" s="203"/>
      <c r="G314" s="3"/>
      <c r="H314" s="1"/>
    </row>
    <row r="315" ht="15.75" customHeight="1">
      <c r="A315" s="1"/>
      <c r="F315" s="203"/>
      <c r="G315" s="3"/>
      <c r="H315" s="1"/>
    </row>
    <row r="316" ht="15.75" customHeight="1">
      <c r="A316" s="1"/>
      <c r="F316" s="203"/>
      <c r="G316" s="3"/>
      <c r="H316" s="1"/>
    </row>
    <row r="317" ht="15.75" customHeight="1">
      <c r="A317" s="1"/>
      <c r="F317" s="203"/>
      <c r="G317" s="3"/>
      <c r="H317" s="1"/>
    </row>
    <row r="318" ht="15.75" customHeight="1">
      <c r="A318" s="1"/>
      <c r="F318" s="203"/>
      <c r="G318" s="3"/>
      <c r="H318" s="1"/>
    </row>
    <row r="319" ht="15.75" customHeight="1">
      <c r="A319" s="1"/>
      <c r="F319" s="203"/>
      <c r="G319" s="3"/>
      <c r="H319" s="1"/>
    </row>
    <row r="320" ht="15.75" customHeight="1">
      <c r="A320" s="1"/>
      <c r="F320" s="203"/>
      <c r="G320" s="3"/>
      <c r="H320" s="1"/>
    </row>
    <row r="321" ht="15.75" customHeight="1">
      <c r="A321" s="1"/>
      <c r="F321" s="203"/>
      <c r="G321" s="3"/>
      <c r="H321" s="1"/>
    </row>
    <row r="322" ht="15.75" customHeight="1">
      <c r="A322" s="1"/>
      <c r="F322" s="203"/>
      <c r="G322" s="3"/>
      <c r="H322" s="1"/>
    </row>
    <row r="323" ht="15.75" customHeight="1">
      <c r="A323" s="1"/>
      <c r="F323" s="203"/>
      <c r="G323" s="3"/>
      <c r="H323" s="1"/>
    </row>
    <row r="324" ht="15.75" customHeight="1">
      <c r="A324" s="1"/>
      <c r="F324" s="203"/>
      <c r="G324" s="3"/>
      <c r="H324" s="1"/>
    </row>
    <row r="325" ht="15.75" customHeight="1">
      <c r="A325" s="1"/>
      <c r="F325" s="203"/>
      <c r="G325" s="3"/>
      <c r="H325" s="1"/>
    </row>
    <row r="326" ht="15.75" customHeight="1">
      <c r="A326" s="1"/>
      <c r="F326" s="203"/>
      <c r="G326" s="3"/>
      <c r="H326" s="1"/>
    </row>
    <row r="327" ht="15.75" customHeight="1">
      <c r="A327" s="1"/>
      <c r="F327" s="203"/>
      <c r="G327" s="3"/>
      <c r="H327" s="1"/>
    </row>
    <row r="328" ht="15.75" customHeight="1">
      <c r="A328" s="1"/>
      <c r="F328" s="203"/>
      <c r="G328" s="3"/>
      <c r="H328" s="1"/>
    </row>
    <row r="329" ht="15.75" customHeight="1">
      <c r="A329" s="1"/>
      <c r="F329" s="203"/>
      <c r="G329" s="3"/>
      <c r="H329" s="1"/>
    </row>
    <row r="330" ht="15.75" customHeight="1">
      <c r="A330" s="1"/>
      <c r="F330" s="203"/>
      <c r="G330" s="3"/>
      <c r="H330" s="1"/>
    </row>
    <row r="331" ht="15.75" customHeight="1">
      <c r="A331" s="1"/>
      <c r="F331" s="203"/>
      <c r="G331" s="3"/>
      <c r="H331" s="1"/>
    </row>
    <row r="332" ht="15.75" customHeight="1">
      <c r="A332" s="1"/>
      <c r="F332" s="203"/>
      <c r="G332" s="3"/>
      <c r="H332" s="1"/>
    </row>
    <row r="333" ht="15.75" customHeight="1">
      <c r="A333" s="1"/>
      <c r="F333" s="203"/>
      <c r="G333" s="3"/>
      <c r="H333" s="1"/>
    </row>
    <row r="334" ht="15.75" customHeight="1">
      <c r="A334" s="1"/>
      <c r="F334" s="203"/>
      <c r="G334" s="3"/>
      <c r="H334" s="1"/>
    </row>
    <row r="335" ht="15.75" customHeight="1">
      <c r="A335" s="1"/>
      <c r="F335" s="203"/>
      <c r="G335" s="3"/>
      <c r="H335" s="1"/>
    </row>
    <row r="336" ht="15.75" customHeight="1">
      <c r="A336" s="1"/>
      <c r="F336" s="203"/>
      <c r="G336" s="3"/>
      <c r="H336" s="1"/>
    </row>
    <row r="337" ht="15.75" customHeight="1">
      <c r="A337" s="1"/>
      <c r="F337" s="203"/>
      <c r="G337" s="3"/>
      <c r="H337" s="1"/>
    </row>
    <row r="338" ht="15.75" customHeight="1">
      <c r="A338" s="1"/>
      <c r="F338" s="203"/>
      <c r="G338" s="3"/>
      <c r="H338" s="1"/>
    </row>
    <row r="339" ht="15.75" customHeight="1">
      <c r="A339" s="1"/>
      <c r="F339" s="203"/>
      <c r="G339" s="3"/>
      <c r="H339" s="1"/>
    </row>
    <row r="340" ht="15.75" customHeight="1">
      <c r="A340" s="1"/>
      <c r="F340" s="203"/>
      <c r="G340" s="3"/>
      <c r="H340" s="1"/>
    </row>
    <row r="341" ht="15.75" customHeight="1">
      <c r="A341" s="1"/>
      <c r="F341" s="203"/>
      <c r="G341" s="3"/>
      <c r="H341" s="1"/>
    </row>
    <row r="342" ht="15.75" customHeight="1">
      <c r="A342" s="1"/>
      <c r="F342" s="203"/>
      <c r="G342" s="3"/>
      <c r="H342" s="1"/>
    </row>
    <row r="343" ht="15.75" customHeight="1">
      <c r="A343" s="1"/>
      <c r="F343" s="203"/>
      <c r="G343" s="3"/>
      <c r="H343" s="1"/>
    </row>
    <row r="344" ht="15.75" customHeight="1">
      <c r="A344" s="1"/>
      <c r="F344" s="203"/>
      <c r="G344" s="3"/>
      <c r="H344" s="1"/>
    </row>
    <row r="345" ht="15.75" customHeight="1">
      <c r="A345" s="1"/>
      <c r="F345" s="203"/>
      <c r="G345" s="3"/>
      <c r="H345" s="1"/>
    </row>
    <row r="346" ht="15.75" customHeight="1">
      <c r="A346" s="1"/>
      <c r="F346" s="203"/>
      <c r="G346" s="3"/>
      <c r="H346" s="1"/>
    </row>
    <row r="347" ht="15.75" customHeight="1">
      <c r="A347" s="1"/>
      <c r="F347" s="203"/>
      <c r="G347" s="3"/>
      <c r="H347" s="1"/>
    </row>
    <row r="348" ht="15.75" customHeight="1">
      <c r="A348" s="1"/>
      <c r="F348" s="203"/>
      <c r="G348" s="3"/>
      <c r="H348" s="1"/>
    </row>
    <row r="349" ht="15.75" customHeight="1">
      <c r="A349" s="1"/>
      <c r="F349" s="203"/>
      <c r="G349" s="3"/>
      <c r="H349" s="1"/>
    </row>
    <row r="350" ht="15.75" customHeight="1">
      <c r="A350" s="1"/>
      <c r="F350" s="203"/>
      <c r="G350" s="3"/>
      <c r="H350" s="1"/>
    </row>
    <row r="351" ht="15.75" customHeight="1">
      <c r="A351" s="1"/>
      <c r="F351" s="203"/>
      <c r="G351" s="3"/>
      <c r="H351" s="1"/>
    </row>
    <row r="352" ht="15.75" customHeight="1">
      <c r="A352" s="1"/>
      <c r="F352" s="203"/>
      <c r="G352" s="3"/>
      <c r="H352" s="1"/>
    </row>
    <row r="353" ht="15.75" customHeight="1">
      <c r="A353" s="1"/>
      <c r="F353" s="203"/>
      <c r="G353" s="3"/>
      <c r="H353" s="1"/>
    </row>
    <row r="354" ht="15.75" customHeight="1">
      <c r="A354" s="1"/>
      <c r="F354" s="203"/>
      <c r="G354" s="3"/>
      <c r="H354" s="1"/>
    </row>
    <row r="355" ht="15.75" customHeight="1">
      <c r="A355" s="1"/>
      <c r="F355" s="203"/>
      <c r="G355" s="3"/>
      <c r="H355" s="1"/>
    </row>
    <row r="356" ht="15.75" customHeight="1">
      <c r="A356" s="1"/>
      <c r="F356" s="203"/>
      <c r="G356" s="3"/>
      <c r="H356" s="1"/>
    </row>
    <row r="357" ht="15.75" customHeight="1">
      <c r="A357" s="1"/>
      <c r="F357" s="203"/>
      <c r="G357" s="3"/>
      <c r="H357" s="1"/>
    </row>
    <row r="358" ht="15.75" customHeight="1">
      <c r="A358" s="1"/>
      <c r="F358" s="203"/>
      <c r="G358" s="3"/>
      <c r="H358" s="1"/>
    </row>
    <row r="359" ht="15.75" customHeight="1">
      <c r="A359" s="1"/>
      <c r="F359" s="203"/>
      <c r="G359" s="3"/>
      <c r="H359" s="1"/>
    </row>
    <row r="360" ht="15.75" customHeight="1">
      <c r="A360" s="1"/>
      <c r="F360" s="203"/>
      <c r="G360" s="3"/>
      <c r="H360" s="1"/>
    </row>
    <row r="361" ht="15.75" customHeight="1">
      <c r="A361" s="1"/>
      <c r="F361" s="203"/>
      <c r="G361" s="3"/>
      <c r="H361" s="1"/>
    </row>
    <row r="362" ht="15.75" customHeight="1">
      <c r="A362" s="1"/>
      <c r="F362" s="203"/>
      <c r="G362" s="3"/>
      <c r="H362" s="1"/>
    </row>
    <row r="363" ht="15.75" customHeight="1">
      <c r="A363" s="1"/>
      <c r="F363" s="203"/>
      <c r="G363" s="3"/>
      <c r="H363" s="1"/>
    </row>
    <row r="364" ht="15.75" customHeight="1">
      <c r="A364" s="1"/>
      <c r="F364" s="203"/>
      <c r="G364" s="3"/>
      <c r="H364" s="1"/>
    </row>
    <row r="365" ht="15.75" customHeight="1">
      <c r="A365" s="1"/>
      <c r="F365" s="203"/>
      <c r="G365" s="3"/>
      <c r="H365" s="1"/>
    </row>
    <row r="366" ht="15.75" customHeight="1">
      <c r="A366" s="1"/>
      <c r="F366" s="203"/>
      <c r="G366" s="3"/>
      <c r="H366" s="1"/>
    </row>
    <row r="367" ht="15.75" customHeight="1">
      <c r="A367" s="1"/>
      <c r="F367" s="203"/>
      <c r="G367" s="3"/>
      <c r="H367" s="1"/>
    </row>
    <row r="368" ht="15.75" customHeight="1">
      <c r="A368" s="1"/>
      <c r="F368" s="203"/>
      <c r="G368" s="3"/>
      <c r="H368" s="1"/>
    </row>
    <row r="369" ht="15.75" customHeight="1">
      <c r="A369" s="1"/>
      <c r="F369" s="203"/>
      <c r="G369" s="3"/>
      <c r="H369" s="1"/>
    </row>
    <row r="370" ht="15.75" customHeight="1">
      <c r="A370" s="1"/>
      <c r="F370" s="203"/>
      <c r="G370" s="3"/>
      <c r="H370" s="1"/>
    </row>
    <row r="371" ht="15.75" customHeight="1">
      <c r="A371" s="1"/>
      <c r="F371" s="203"/>
      <c r="G371" s="3"/>
      <c r="H371" s="1"/>
    </row>
    <row r="372" ht="15.75" customHeight="1">
      <c r="A372" s="1"/>
      <c r="F372" s="203"/>
      <c r="G372" s="3"/>
      <c r="H372" s="1"/>
    </row>
    <row r="373" ht="15.75" customHeight="1">
      <c r="A373" s="1"/>
      <c r="F373" s="203"/>
      <c r="G373" s="3"/>
      <c r="H373" s="1"/>
    </row>
    <row r="374" ht="15.75" customHeight="1">
      <c r="A374" s="1"/>
      <c r="F374" s="203"/>
      <c r="G374" s="3"/>
      <c r="H374" s="1"/>
    </row>
    <row r="375" ht="15.75" customHeight="1">
      <c r="A375" s="1"/>
      <c r="F375" s="203"/>
      <c r="G375" s="3"/>
      <c r="H375" s="1"/>
    </row>
    <row r="376" ht="15.75" customHeight="1">
      <c r="A376" s="1"/>
      <c r="F376" s="203"/>
      <c r="G376" s="3"/>
      <c r="H376" s="1"/>
    </row>
    <row r="377" ht="15.75" customHeight="1">
      <c r="A377" s="1"/>
      <c r="F377" s="203"/>
      <c r="G377" s="3"/>
      <c r="H377" s="1"/>
    </row>
    <row r="378" ht="15.75" customHeight="1">
      <c r="A378" s="1"/>
      <c r="F378" s="203"/>
      <c r="G378" s="3"/>
      <c r="H378" s="1"/>
    </row>
    <row r="379" ht="15.75" customHeight="1">
      <c r="A379" s="1"/>
      <c r="F379" s="203"/>
      <c r="G379" s="3"/>
      <c r="H379" s="1"/>
    </row>
    <row r="380" ht="15.75" customHeight="1">
      <c r="A380" s="1"/>
      <c r="F380" s="203"/>
      <c r="G380" s="3"/>
      <c r="H380" s="1"/>
    </row>
    <row r="381" ht="15.75" customHeight="1">
      <c r="A381" s="1"/>
      <c r="F381" s="203"/>
      <c r="G381" s="3"/>
      <c r="H381" s="1"/>
    </row>
    <row r="382" ht="15.75" customHeight="1">
      <c r="A382" s="1"/>
      <c r="F382" s="203"/>
      <c r="G382" s="3"/>
      <c r="H382" s="1"/>
    </row>
    <row r="383" ht="15.75" customHeight="1">
      <c r="A383" s="1"/>
      <c r="F383" s="203"/>
      <c r="G383" s="3"/>
      <c r="H383" s="1"/>
    </row>
    <row r="384" ht="15.75" customHeight="1">
      <c r="A384" s="1"/>
      <c r="F384" s="203"/>
      <c r="G384" s="3"/>
      <c r="H384" s="1"/>
    </row>
    <row r="385" ht="15.75" customHeight="1">
      <c r="A385" s="1"/>
      <c r="F385" s="203"/>
      <c r="G385" s="3"/>
      <c r="H385" s="1"/>
    </row>
    <row r="386" ht="15.75" customHeight="1">
      <c r="A386" s="1"/>
      <c r="F386" s="203"/>
      <c r="G386" s="3"/>
      <c r="H386" s="1"/>
    </row>
    <row r="387" ht="15.75" customHeight="1">
      <c r="A387" s="1"/>
      <c r="F387" s="203"/>
      <c r="G387" s="3"/>
      <c r="H387" s="1"/>
    </row>
    <row r="388" ht="15.75" customHeight="1">
      <c r="A388" s="1"/>
      <c r="F388" s="203"/>
      <c r="G388" s="3"/>
      <c r="H388" s="1"/>
    </row>
    <row r="389" ht="15.75" customHeight="1">
      <c r="A389" s="1"/>
      <c r="F389" s="203"/>
      <c r="G389" s="3"/>
      <c r="H389" s="1"/>
    </row>
    <row r="390" ht="15.75" customHeight="1">
      <c r="A390" s="1"/>
      <c r="F390" s="203"/>
      <c r="G390" s="3"/>
      <c r="H390" s="1"/>
    </row>
    <row r="391" ht="15.75" customHeight="1">
      <c r="A391" s="1"/>
      <c r="F391" s="203"/>
      <c r="G391" s="3"/>
      <c r="H391" s="1"/>
    </row>
    <row r="392" ht="15.75" customHeight="1">
      <c r="A392" s="1"/>
      <c r="F392" s="203"/>
      <c r="G392" s="3"/>
      <c r="H392" s="1"/>
    </row>
    <row r="393" ht="15.75" customHeight="1">
      <c r="A393" s="1"/>
      <c r="F393" s="203"/>
      <c r="G393" s="3"/>
      <c r="H393" s="1"/>
    </row>
    <row r="394" ht="15.75" customHeight="1">
      <c r="A394" s="1"/>
      <c r="F394" s="203"/>
      <c r="G394" s="3"/>
      <c r="H394" s="1"/>
    </row>
    <row r="395" ht="15.75" customHeight="1">
      <c r="A395" s="1"/>
      <c r="F395" s="203"/>
      <c r="G395" s="3"/>
      <c r="H395" s="1"/>
    </row>
    <row r="396" ht="15.75" customHeight="1">
      <c r="A396" s="1"/>
      <c r="F396" s="203"/>
      <c r="G396" s="3"/>
      <c r="H396" s="1"/>
    </row>
    <row r="397" ht="15.75" customHeight="1">
      <c r="A397" s="1"/>
      <c r="F397" s="203"/>
      <c r="G397" s="3"/>
      <c r="H397" s="1"/>
    </row>
    <row r="398" ht="15.75" customHeight="1">
      <c r="A398" s="1"/>
      <c r="F398" s="203"/>
      <c r="G398" s="3"/>
      <c r="H398" s="1"/>
    </row>
    <row r="399" ht="15.75" customHeight="1">
      <c r="A399" s="1"/>
      <c r="F399" s="203"/>
      <c r="G399" s="3"/>
      <c r="H399" s="1"/>
    </row>
    <row r="400" ht="15.75" customHeight="1">
      <c r="A400" s="1"/>
      <c r="F400" s="203"/>
      <c r="G400" s="3"/>
      <c r="H400" s="1"/>
    </row>
    <row r="401" ht="15.75" customHeight="1">
      <c r="A401" s="1"/>
      <c r="F401" s="203"/>
      <c r="G401" s="3"/>
      <c r="H401" s="1"/>
    </row>
    <row r="402" ht="15.75" customHeight="1">
      <c r="A402" s="1"/>
      <c r="F402" s="203"/>
      <c r="G402" s="3"/>
      <c r="H402" s="1"/>
    </row>
    <row r="403" ht="15.75" customHeight="1">
      <c r="A403" s="1"/>
      <c r="F403" s="203"/>
      <c r="G403" s="3"/>
      <c r="H403" s="1"/>
    </row>
    <row r="404" ht="15.75" customHeight="1">
      <c r="A404" s="1"/>
      <c r="F404" s="203"/>
      <c r="G404" s="3"/>
      <c r="H404" s="1"/>
    </row>
    <row r="405" ht="15.75" customHeight="1">
      <c r="A405" s="1"/>
      <c r="F405" s="203"/>
      <c r="G405" s="3"/>
      <c r="H405" s="1"/>
    </row>
    <row r="406" ht="15.75" customHeight="1">
      <c r="A406" s="1"/>
      <c r="F406" s="203"/>
      <c r="G406" s="3"/>
      <c r="H406" s="1"/>
    </row>
    <row r="407" ht="15.75" customHeight="1">
      <c r="A407" s="1"/>
      <c r="F407" s="203"/>
      <c r="G407" s="3"/>
      <c r="H407" s="1"/>
    </row>
    <row r="408" ht="15.75" customHeight="1">
      <c r="A408" s="1"/>
      <c r="F408" s="203"/>
      <c r="G408" s="3"/>
      <c r="H408" s="1"/>
    </row>
    <row r="409" ht="15.75" customHeight="1">
      <c r="A409" s="1"/>
      <c r="F409" s="203"/>
      <c r="G409" s="3"/>
      <c r="H409" s="1"/>
    </row>
    <row r="410" ht="15.75" customHeight="1">
      <c r="A410" s="1"/>
      <c r="F410" s="203"/>
      <c r="G410" s="3"/>
      <c r="H410" s="1"/>
    </row>
    <row r="411" ht="15.75" customHeight="1">
      <c r="A411" s="1"/>
      <c r="F411" s="203"/>
      <c r="G411" s="3"/>
      <c r="H411" s="1"/>
    </row>
    <row r="412" ht="15.75" customHeight="1">
      <c r="A412" s="1"/>
      <c r="F412" s="203"/>
      <c r="G412" s="3"/>
      <c r="H412" s="1"/>
    </row>
    <row r="413" ht="15.75" customHeight="1">
      <c r="A413" s="1"/>
      <c r="F413" s="203"/>
      <c r="G413" s="3"/>
      <c r="H413" s="1"/>
    </row>
    <row r="414" ht="15.75" customHeight="1">
      <c r="A414" s="1"/>
      <c r="F414" s="203"/>
      <c r="G414" s="3"/>
      <c r="H414" s="1"/>
    </row>
    <row r="415" ht="15.75" customHeight="1">
      <c r="A415" s="1"/>
      <c r="F415" s="203"/>
      <c r="G415" s="3"/>
      <c r="H415" s="1"/>
    </row>
    <row r="416" ht="15.75" customHeight="1">
      <c r="A416" s="1"/>
      <c r="F416" s="203"/>
      <c r="G416" s="3"/>
      <c r="H416" s="1"/>
    </row>
    <row r="417" ht="15.75" customHeight="1">
      <c r="A417" s="1"/>
      <c r="F417" s="203"/>
      <c r="G417" s="3"/>
      <c r="H417" s="1"/>
    </row>
    <row r="418" ht="15.75" customHeight="1">
      <c r="A418" s="1"/>
      <c r="F418" s="203"/>
      <c r="G418" s="3"/>
      <c r="H418" s="1"/>
    </row>
    <row r="419" ht="15.75" customHeight="1">
      <c r="A419" s="1"/>
      <c r="F419" s="203"/>
      <c r="G419" s="3"/>
      <c r="H419" s="1"/>
    </row>
    <row r="420" ht="15.75" customHeight="1">
      <c r="A420" s="1"/>
      <c r="F420" s="203"/>
      <c r="G420" s="3"/>
      <c r="H420" s="1"/>
    </row>
    <row r="421" ht="15.75" customHeight="1">
      <c r="A421" s="1"/>
      <c r="F421" s="203"/>
      <c r="G421" s="3"/>
      <c r="H421" s="1"/>
    </row>
    <row r="422" ht="15.75" customHeight="1">
      <c r="A422" s="1"/>
      <c r="F422" s="203"/>
      <c r="G422" s="3"/>
      <c r="H422" s="1"/>
    </row>
    <row r="423" ht="15.75" customHeight="1">
      <c r="A423" s="1"/>
      <c r="F423" s="203"/>
      <c r="G423" s="3"/>
      <c r="H423" s="1"/>
    </row>
    <row r="424" ht="15.75" customHeight="1">
      <c r="A424" s="1"/>
      <c r="F424" s="203"/>
      <c r="G424" s="3"/>
      <c r="H424" s="1"/>
    </row>
    <row r="425" ht="15.75" customHeight="1">
      <c r="A425" s="1"/>
      <c r="F425" s="203"/>
      <c r="G425" s="3"/>
      <c r="H425" s="1"/>
    </row>
    <row r="426" ht="15.75" customHeight="1">
      <c r="A426" s="1"/>
      <c r="F426" s="203"/>
      <c r="G426" s="3"/>
      <c r="H426" s="1"/>
    </row>
    <row r="427" ht="15.75" customHeight="1">
      <c r="A427" s="1"/>
      <c r="F427" s="203"/>
      <c r="G427" s="3"/>
      <c r="H427" s="1"/>
    </row>
    <row r="428" ht="15.75" customHeight="1">
      <c r="A428" s="1"/>
      <c r="F428" s="203"/>
      <c r="G428" s="3"/>
      <c r="H428" s="1"/>
    </row>
    <row r="429" ht="15.75" customHeight="1">
      <c r="A429" s="1"/>
      <c r="F429" s="203"/>
      <c r="G429" s="3"/>
      <c r="H429" s="1"/>
    </row>
    <row r="430" ht="15.75" customHeight="1">
      <c r="A430" s="1"/>
      <c r="F430" s="203"/>
      <c r="G430" s="3"/>
      <c r="H430" s="1"/>
    </row>
    <row r="431" ht="15.75" customHeight="1">
      <c r="A431" s="1"/>
      <c r="F431" s="203"/>
      <c r="G431" s="3"/>
      <c r="H431" s="1"/>
    </row>
    <row r="432" ht="15.75" customHeight="1">
      <c r="A432" s="1"/>
      <c r="F432" s="203"/>
      <c r="G432" s="3"/>
      <c r="H432" s="1"/>
    </row>
    <row r="433" ht="15.75" customHeight="1">
      <c r="A433" s="1"/>
      <c r="F433" s="203"/>
      <c r="G433" s="3"/>
      <c r="H433" s="1"/>
    </row>
    <row r="434" ht="15.75" customHeight="1">
      <c r="A434" s="1"/>
      <c r="F434" s="203"/>
      <c r="G434" s="3"/>
      <c r="H434" s="1"/>
    </row>
    <row r="435" ht="15.75" customHeight="1">
      <c r="A435" s="1"/>
      <c r="F435" s="203"/>
      <c r="G435" s="3"/>
      <c r="H435" s="1"/>
    </row>
    <row r="436" ht="15.75" customHeight="1">
      <c r="A436" s="1"/>
      <c r="F436" s="203"/>
      <c r="G436" s="3"/>
      <c r="H436" s="1"/>
    </row>
    <row r="437" ht="15.75" customHeight="1">
      <c r="A437" s="1"/>
      <c r="F437" s="203"/>
      <c r="G437" s="3"/>
      <c r="H437" s="1"/>
    </row>
    <row r="438" ht="15.75" customHeight="1">
      <c r="A438" s="1"/>
      <c r="F438" s="203"/>
      <c r="G438" s="3"/>
      <c r="H438" s="1"/>
    </row>
    <row r="439" ht="15.75" customHeight="1">
      <c r="A439" s="1"/>
      <c r="F439" s="203"/>
      <c r="G439" s="3"/>
      <c r="H439" s="1"/>
    </row>
    <row r="440" ht="15.75" customHeight="1">
      <c r="A440" s="1"/>
      <c r="F440" s="203"/>
      <c r="G440" s="3"/>
      <c r="H440" s="1"/>
    </row>
    <row r="441" ht="15.75" customHeight="1">
      <c r="A441" s="1"/>
      <c r="F441" s="203"/>
      <c r="G441" s="3"/>
      <c r="H441" s="1"/>
    </row>
    <row r="442" ht="15.75" customHeight="1">
      <c r="A442" s="1"/>
      <c r="F442" s="203"/>
      <c r="G442" s="3"/>
      <c r="H442" s="1"/>
    </row>
    <row r="443" ht="15.75" customHeight="1">
      <c r="A443" s="1"/>
      <c r="F443" s="203"/>
      <c r="G443" s="3"/>
      <c r="H443" s="1"/>
    </row>
    <row r="444" ht="15.75" customHeight="1">
      <c r="A444" s="1"/>
      <c r="F444" s="203"/>
      <c r="G444" s="3"/>
      <c r="H444" s="1"/>
    </row>
    <row r="445" ht="15.75" customHeight="1">
      <c r="A445" s="1"/>
      <c r="F445" s="203"/>
      <c r="G445" s="3"/>
      <c r="H445" s="1"/>
    </row>
    <row r="446" ht="15.75" customHeight="1">
      <c r="A446" s="1"/>
      <c r="F446" s="203"/>
      <c r="G446" s="3"/>
      <c r="H446" s="1"/>
    </row>
    <row r="447" ht="15.75" customHeight="1">
      <c r="A447" s="1"/>
      <c r="F447" s="203"/>
      <c r="G447" s="3"/>
      <c r="H447" s="1"/>
    </row>
    <row r="448" ht="15.75" customHeight="1">
      <c r="A448" s="1"/>
      <c r="F448" s="203"/>
      <c r="G448" s="3"/>
      <c r="H448" s="1"/>
    </row>
    <row r="449" ht="15.75" customHeight="1">
      <c r="A449" s="1"/>
      <c r="F449" s="203"/>
      <c r="G449" s="3"/>
      <c r="H449" s="1"/>
    </row>
    <row r="450" ht="15.75" customHeight="1">
      <c r="A450" s="1"/>
      <c r="F450" s="203"/>
      <c r="G450" s="3"/>
      <c r="H450" s="1"/>
    </row>
    <row r="451" ht="15.75" customHeight="1">
      <c r="A451" s="1"/>
      <c r="F451" s="203"/>
      <c r="G451" s="3"/>
      <c r="H451" s="1"/>
    </row>
    <row r="452" ht="15.75" customHeight="1">
      <c r="A452" s="1"/>
      <c r="F452" s="203"/>
      <c r="G452" s="3"/>
      <c r="H452" s="1"/>
    </row>
    <row r="453" ht="15.75" customHeight="1">
      <c r="A453" s="1"/>
      <c r="F453" s="203"/>
      <c r="G453" s="3"/>
      <c r="H453" s="1"/>
    </row>
    <row r="454" ht="15.75" customHeight="1">
      <c r="A454" s="1"/>
      <c r="F454" s="203"/>
      <c r="G454" s="3"/>
      <c r="H454" s="1"/>
    </row>
    <row r="455" ht="15.75" customHeight="1">
      <c r="A455" s="1"/>
      <c r="F455" s="203"/>
      <c r="G455" s="3"/>
      <c r="H455" s="1"/>
    </row>
    <row r="456" ht="15.75" customHeight="1">
      <c r="A456" s="1"/>
      <c r="F456" s="203"/>
      <c r="G456" s="3"/>
      <c r="H456" s="1"/>
    </row>
    <row r="457" ht="15.75" customHeight="1">
      <c r="A457" s="1"/>
      <c r="F457" s="203"/>
      <c r="G457" s="3"/>
      <c r="H457" s="1"/>
    </row>
    <row r="458" ht="15.75" customHeight="1">
      <c r="A458" s="1"/>
      <c r="F458" s="203"/>
      <c r="G458" s="3"/>
      <c r="H458" s="1"/>
    </row>
    <row r="459" ht="15.75" customHeight="1">
      <c r="A459" s="1"/>
      <c r="F459" s="203"/>
      <c r="G459" s="3"/>
      <c r="H459" s="1"/>
    </row>
    <row r="460" ht="15.75" customHeight="1">
      <c r="A460" s="1"/>
      <c r="F460" s="203"/>
      <c r="G460" s="3"/>
      <c r="H460" s="1"/>
    </row>
    <row r="461" ht="15.75" customHeight="1">
      <c r="A461" s="1"/>
      <c r="F461" s="203"/>
      <c r="G461" s="3"/>
      <c r="H461" s="1"/>
    </row>
    <row r="462" ht="15.75" customHeight="1">
      <c r="A462" s="1"/>
      <c r="F462" s="203"/>
      <c r="G462" s="3"/>
      <c r="H462" s="1"/>
    </row>
    <row r="463" ht="15.75" customHeight="1">
      <c r="A463" s="1"/>
      <c r="F463" s="203"/>
      <c r="G463" s="3"/>
      <c r="H463" s="1"/>
    </row>
    <row r="464" ht="15.75" customHeight="1">
      <c r="A464" s="1"/>
      <c r="F464" s="203"/>
      <c r="G464" s="3"/>
      <c r="H464" s="1"/>
    </row>
    <row r="465" ht="15.75" customHeight="1">
      <c r="A465" s="1"/>
      <c r="F465" s="203"/>
      <c r="G465" s="3"/>
      <c r="H465" s="1"/>
    </row>
    <row r="466" ht="15.75" customHeight="1">
      <c r="A466" s="1"/>
      <c r="F466" s="203"/>
      <c r="G466" s="3"/>
      <c r="H466" s="1"/>
    </row>
    <row r="467" ht="15.75" customHeight="1">
      <c r="A467" s="1"/>
      <c r="F467" s="203"/>
      <c r="G467" s="3"/>
      <c r="H467" s="1"/>
    </row>
    <row r="468" ht="15.75" customHeight="1">
      <c r="A468" s="1"/>
      <c r="F468" s="203"/>
      <c r="G468" s="3"/>
      <c r="H468" s="1"/>
    </row>
    <row r="469" ht="15.75" customHeight="1">
      <c r="A469" s="1"/>
      <c r="F469" s="203"/>
      <c r="G469" s="3"/>
      <c r="H469" s="1"/>
    </row>
    <row r="470" ht="15.75" customHeight="1">
      <c r="A470" s="1"/>
      <c r="F470" s="203"/>
      <c r="G470" s="3"/>
      <c r="H470" s="1"/>
    </row>
    <row r="471" ht="15.75" customHeight="1">
      <c r="A471" s="1"/>
      <c r="F471" s="203"/>
      <c r="G471" s="3"/>
      <c r="H471" s="1"/>
    </row>
    <row r="472" ht="15.75" customHeight="1">
      <c r="A472" s="1"/>
      <c r="F472" s="203"/>
      <c r="G472" s="3"/>
      <c r="H472" s="1"/>
    </row>
    <row r="473" ht="15.75" customHeight="1">
      <c r="A473" s="1"/>
      <c r="F473" s="203"/>
      <c r="G473" s="3"/>
      <c r="H473" s="1"/>
    </row>
    <row r="474" ht="15.75" customHeight="1">
      <c r="A474" s="1"/>
      <c r="F474" s="203"/>
      <c r="G474" s="3"/>
      <c r="H474" s="1"/>
    </row>
    <row r="475" ht="15.75" customHeight="1">
      <c r="A475" s="1"/>
      <c r="F475" s="203"/>
      <c r="G475" s="3"/>
      <c r="H475" s="1"/>
    </row>
    <row r="476" ht="15.75" customHeight="1">
      <c r="A476" s="1"/>
      <c r="F476" s="203"/>
      <c r="G476" s="3"/>
      <c r="H476" s="1"/>
    </row>
    <row r="477" ht="15.75" customHeight="1">
      <c r="A477" s="1"/>
      <c r="F477" s="203"/>
      <c r="G477" s="3"/>
      <c r="H477" s="1"/>
    </row>
    <row r="478" ht="15.75" customHeight="1">
      <c r="A478" s="1"/>
      <c r="F478" s="203"/>
      <c r="G478" s="3"/>
      <c r="H478" s="1"/>
    </row>
    <row r="479" ht="15.75" customHeight="1">
      <c r="A479" s="1"/>
      <c r="F479" s="203"/>
      <c r="G479" s="3"/>
      <c r="H479" s="1"/>
    </row>
    <row r="480" ht="15.75" customHeight="1">
      <c r="A480" s="1"/>
      <c r="F480" s="203"/>
      <c r="G480" s="3"/>
      <c r="H480" s="1"/>
    </row>
    <row r="481" ht="15.75" customHeight="1">
      <c r="A481" s="1"/>
      <c r="F481" s="203"/>
      <c r="G481" s="3"/>
      <c r="H481" s="1"/>
    </row>
    <row r="482" ht="15.75" customHeight="1">
      <c r="A482" s="1"/>
      <c r="F482" s="203"/>
      <c r="G482" s="3"/>
      <c r="H482" s="1"/>
    </row>
    <row r="483" ht="15.75" customHeight="1">
      <c r="A483" s="1"/>
      <c r="F483" s="203"/>
      <c r="G483" s="3"/>
      <c r="H483" s="1"/>
    </row>
    <row r="484" ht="15.75" customHeight="1">
      <c r="A484" s="1"/>
      <c r="F484" s="203"/>
      <c r="G484" s="3"/>
      <c r="H484" s="1"/>
    </row>
    <row r="485" ht="15.75" customHeight="1">
      <c r="A485" s="1"/>
      <c r="F485" s="203"/>
      <c r="G485" s="3"/>
      <c r="H485" s="1"/>
    </row>
    <row r="486" ht="15.75" customHeight="1">
      <c r="A486" s="1"/>
      <c r="F486" s="203"/>
      <c r="G486" s="3"/>
      <c r="H486" s="1"/>
    </row>
    <row r="487" ht="15.75" customHeight="1">
      <c r="A487" s="1"/>
      <c r="F487" s="203"/>
      <c r="G487" s="3"/>
      <c r="H487" s="1"/>
    </row>
    <row r="488" ht="15.75" customHeight="1">
      <c r="A488" s="1"/>
      <c r="F488" s="203"/>
      <c r="G488" s="3"/>
      <c r="H488" s="1"/>
    </row>
    <row r="489" ht="15.75" customHeight="1">
      <c r="A489" s="1"/>
      <c r="F489" s="203"/>
      <c r="G489" s="3"/>
      <c r="H489" s="1"/>
    </row>
    <row r="490" ht="15.75" customHeight="1">
      <c r="A490" s="1"/>
      <c r="F490" s="203"/>
      <c r="G490" s="3"/>
      <c r="H490" s="1"/>
    </row>
    <row r="491" ht="15.75" customHeight="1">
      <c r="A491" s="1"/>
      <c r="F491" s="203"/>
      <c r="G491" s="3"/>
      <c r="H491" s="1"/>
    </row>
    <row r="492" ht="15.75" customHeight="1">
      <c r="A492" s="1"/>
      <c r="F492" s="203"/>
      <c r="G492" s="3"/>
      <c r="H492" s="1"/>
    </row>
    <row r="493" ht="15.75" customHeight="1">
      <c r="A493" s="1"/>
      <c r="F493" s="203"/>
      <c r="G493" s="3"/>
      <c r="H493" s="1"/>
    </row>
    <row r="494" ht="15.75" customHeight="1">
      <c r="A494" s="1"/>
      <c r="F494" s="203"/>
      <c r="G494" s="3"/>
      <c r="H494" s="1"/>
    </row>
    <row r="495" ht="15.75" customHeight="1">
      <c r="A495" s="1"/>
      <c r="F495" s="203"/>
      <c r="G495" s="3"/>
      <c r="H495" s="1"/>
    </row>
    <row r="496" ht="15.75" customHeight="1">
      <c r="A496" s="1"/>
      <c r="F496" s="203"/>
      <c r="G496" s="3"/>
      <c r="H496" s="1"/>
    </row>
    <row r="497" ht="15.75" customHeight="1">
      <c r="A497" s="1"/>
      <c r="F497" s="203"/>
      <c r="G497" s="3"/>
      <c r="H497" s="1"/>
    </row>
    <row r="498" ht="15.75" customHeight="1">
      <c r="A498" s="1"/>
      <c r="F498" s="203"/>
      <c r="G498" s="3"/>
      <c r="H498" s="1"/>
    </row>
    <row r="499" ht="15.75" customHeight="1">
      <c r="A499" s="1"/>
      <c r="F499" s="203"/>
      <c r="G499" s="3"/>
      <c r="H499" s="1"/>
    </row>
    <row r="500" ht="15.75" customHeight="1">
      <c r="A500" s="1"/>
      <c r="F500" s="203"/>
      <c r="G500" s="3"/>
      <c r="H500" s="1"/>
    </row>
    <row r="501" ht="15.75" customHeight="1">
      <c r="A501" s="1"/>
      <c r="F501" s="203"/>
      <c r="G501" s="3"/>
      <c r="H501" s="1"/>
    </row>
    <row r="502" ht="15.75" customHeight="1">
      <c r="A502" s="1"/>
      <c r="F502" s="203"/>
      <c r="G502" s="3"/>
      <c r="H502" s="1"/>
    </row>
    <row r="503" ht="15.75" customHeight="1">
      <c r="A503" s="1"/>
      <c r="F503" s="203"/>
      <c r="G503" s="3"/>
      <c r="H503" s="1"/>
    </row>
    <row r="504" ht="15.75" customHeight="1">
      <c r="A504" s="1"/>
      <c r="F504" s="203"/>
      <c r="G504" s="3"/>
      <c r="H504" s="1"/>
    </row>
    <row r="505" ht="15.75" customHeight="1">
      <c r="A505" s="1"/>
      <c r="F505" s="203"/>
      <c r="G505" s="3"/>
      <c r="H505" s="1"/>
    </row>
    <row r="506" ht="15.75" customHeight="1">
      <c r="A506" s="1"/>
      <c r="F506" s="203"/>
      <c r="G506" s="3"/>
      <c r="H506" s="1"/>
    </row>
    <row r="507" ht="15.75" customHeight="1">
      <c r="A507" s="1"/>
      <c r="F507" s="203"/>
      <c r="G507" s="3"/>
      <c r="H507" s="1"/>
    </row>
    <row r="508" ht="15.75" customHeight="1">
      <c r="A508" s="1"/>
      <c r="F508" s="203"/>
      <c r="G508" s="3"/>
      <c r="H508" s="1"/>
    </row>
    <row r="509" ht="15.75" customHeight="1">
      <c r="A509" s="1"/>
      <c r="F509" s="203"/>
      <c r="G509" s="3"/>
      <c r="H509" s="1"/>
    </row>
    <row r="510" ht="15.75" customHeight="1">
      <c r="A510" s="1"/>
      <c r="F510" s="203"/>
      <c r="G510" s="3"/>
      <c r="H510" s="1"/>
    </row>
    <row r="511" ht="15.75" customHeight="1">
      <c r="A511" s="1"/>
      <c r="F511" s="203"/>
      <c r="G511" s="3"/>
      <c r="H511" s="1"/>
    </row>
    <row r="512" ht="15.75" customHeight="1">
      <c r="A512" s="1"/>
      <c r="F512" s="203"/>
      <c r="G512" s="3"/>
      <c r="H512" s="1"/>
    </row>
    <row r="513" ht="15.75" customHeight="1">
      <c r="A513" s="1"/>
      <c r="F513" s="203"/>
      <c r="G513" s="3"/>
      <c r="H513" s="1"/>
    </row>
    <row r="514" ht="15.75" customHeight="1">
      <c r="A514" s="1"/>
      <c r="F514" s="203"/>
      <c r="G514" s="3"/>
      <c r="H514" s="1"/>
    </row>
    <row r="515" ht="15.75" customHeight="1">
      <c r="A515" s="1"/>
      <c r="F515" s="203"/>
      <c r="G515" s="3"/>
      <c r="H515" s="1"/>
    </row>
    <row r="516" ht="15.75" customHeight="1">
      <c r="A516" s="1"/>
      <c r="F516" s="203"/>
      <c r="G516" s="3"/>
      <c r="H516" s="1"/>
    </row>
    <row r="517" ht="15.75" customHeight="1">
      <c r="A517" s="1"/>
      <c r="F517" s="203"/>
      <c r="G517" s="3"/>
      <c r="H517" s="1"/>
    </row>
    <row r="518" ht="15.75" customHeight="1">
      <c r="A518" s="1"/>
      <c r="F518" s="203"/>
      <c r="G518" s="3"/>
      <c r="H518" s="1"/>
    </row>
    <row r="519" ht="15.75" customHeight="1">
      <c r="A519" s="1"/>
      <c r="F519" s="203"/>
      <c r="G519" s="3"/>
      <c r="H519" s="1"/>
    </row>
    <row r="520" ht="15.75" customHeight="1">
      <c r="A520" s="1"/>
      <c r="F520" s="203"/>
      <c r="G520" s="3"/>
      <c r="H520" s="1"/>
    </row>
    <row r="521" ht="15.75" customHeight="1">
      <c r="A521" s="1"/>
      <c r="F521" s="203"/>
      <c r="G521" s="3"/>
      <c r="H521" s="1"/>
    </row>
    <row r="522" ht="15.75" customHeight="1">
      <c r="A522" s="1"/>
      <c r="F522" s="203"/>
      <c r="G522" s="3"/>
      <c r="H522" s="1"/>
    </row>
    <row r="523" ht="15.75" customHeight="1">
      <c r="A523" s="1"/>
      <c r="F523" s="203"/>
      <c r="G523" s="3"/>
      <c r="H523" s="1"/>
    </row>
    <row r="524" ht="15.75" customHeight="1">
      <c r="A524" s="1"/>
      <c r="F524" s="203"/>
      <c r="G524" s="3"/>
      <c r="H524" s="1"/>
    </row>
    <row r="525" ht="15.75" customHeight="1">
      <c r="A525" s="1"/>
      <c r="F525" s="203"/>
      <c r="G525" s="3"/>
      <c r="H525" s="1"/>
    </row>
    <row r="526" ht="15.75" customHeight="1">
      <c r="A526" s="1"/>
      <c r="F526" s="203"/>
      <c r="G526" s="3"/>
      <c r="H526" s="1"/>
    </row>
    <row r="527" ht="15.75" customHeight="1">
      <c r="A527" s="1"/>
      <c r="F527" s="203"/>
      <c r="G527" s="3"/>
      <c r="H527" s="1"/>
    </row>
    <row r="528" ht="15.75" customHeight="1">
      <c r="A528" s="1"/>
      <c r="F528" s="203"/>
      <c r="G528" s="3"/>
      <c r="H528" s="1"/>
    </row>
    <row r="529" ht="15.75" customHeight="1">
      <c r="A529" s="1"/>
      <c r="F529" s="203"/>
      <c r="G529" s="3"/>
      <c r="H529" s="1"/>
    </row>
    <row r="530" ht="15.75" customHeight="1">
      <c r="A530" s="1"/>
      <c r="F530" s="203"/>
      <c r="G530" s="3"/>
      <c r="H530" s="1"/>
    </row>
    <row r="531" ht="15.75" customHeight="1">
      <c r="A531" s="1"/>
      <c r="F531" s="203"/>
      <c r="G531" s="3"/>
      <c r="H531" s="1"/>
    </row>
    <row r="532" ht="15.75" customHeight="1">
      <c r="A532" s="1"/>
      <c r="F532" s="203"/>
      <c r="G532" s="3"/>
      <c r="H532" s="1"/>
    </row>
    <row r="533" ht="15.75" customHeight="1">
      <c r="A533" s="1"/>
      <c r="F533" s="203"/>
      <c r="G533" s="3"/>
      <c r="H533" s="1"/>
    </row>
    <row r="534" ht="15.75" customHeight="1">
      <c r="A534" s="1"/>
      <c r="F534" s="203"/>
      <c r="G534" s="3"/>
      <c r="H534" s="1"/>
    </row>
    <row r="535" ht="15.75" customHeight="1">
      <c r="A535" s="1"/>
      <c r="F535" s="203"/>
      <c r="G535" s="3"/>
      <c r="H535" s="1"/>
    </row>
    <row r="536" ht="15.75" customHeight="1">
      <c r="A536" s="1"/>
      <c r="F536" s="203"/>
      <c r="G536" s="3"/>
      <c r="H536" s="1"/>
    </row>
    <row r="537" ht="15.75" customHeight="1">
      <c r="A537" s="1"/>
      <c r="F537" s="203"/>
      <c r="G537" s="3"/>
      <c r="H537" s="1"/>
    </row>
    <row r="538" ht="15.75" customHeight="1">
      <c r="A538" s="1"/>
      <c r="F538" s="203"/>
      <c r="G538" s="3"/>
      <c r="H538" s="1"/>
    </row>
    <row r="539" ht="15.75" customHeight="1">
      <c r="A539" s="1"/>
      <c r="F539" s="203"/>
      <c r="G539" s="3"/>
      <c r="H539" s="1"/>
    </row>
    <row r="540" ht="15.75" customHeight="1">
      <c r="A540" s="1"/>
      <c r="F540" s="203"/>
      <c r="G540" s="3"/>
      <c r="H540" s="1"/>
    </row>
    <row r="541" ht="15.75" customHeight="1">
      <c r="A541" s="1"/>
      <c r="F541" s="203"/>
      <c r="G541" s="3"/>
      <c r="H541" s="1"/>
    </row>
    <row r="542" ht="15.75" customHeight="1">
      <c r="A542" s="1"/>
      <c r="F542" s="203"/>
      <c r="G542" s="3"/>
      <c r="H542" s="1"/>
    </row>
    <row r="543" ht="15.75" customHeight="1">
      <c r="A543" s="1"/>
      <c r="F543" s="203"/>
      <c r="G543" s="3"/>
      <c r="H543" s="1"/>
    </row>
    <row r="544" ht="15.75" customHeight="1">
      <c r="A544" s="1"/>
      <c r="F544" s="203"/>
      <c r="G544" s="3"/>
      <c r="H544" s="1"/>
    </row>
    <row r="545" ht="15.75" customHeight="1">
      <c r="A545" s="1"/>
      <c r="F545" s="203"/>
      <c r="G545" s="3"/>
      <c r="H545" s="1"/>
    </row>
    <row r="546" ht="15.75" customHeight="1">
      <c r="A546" s="1"/>
      <c r="F546" s="203"/>
      <c r="G546" s="3"/>
      <c r="H546" s="1"/>
    </row>
    <row r="547" ht="15.75" customHeight="1">
      <c r="A547" s="1"/>
      <c r="F547" s="203"/>
      <c r="G547" s="3"/>
      <c r="H547" s="1"/>
    </row>
    <row r="548" ht="15.75" customHeight="1">
      <c r="A548" s="1"/>
      <c r="F548" s="203"/>
      <c r="G548" s="3"/>
      <c r="H548" s="1"/>
    </row>
    <row r="549" ht="15.75" customHeight="1">
      <c r="A549" s="1"/>
      <c r="F549" s="203"/>
      <c r="G549" s="3"/>
      <c r="H549" s="1"/>
    </row>
    <row r="550" ht="15.75" customHeight="1">
      <c r="A550" s="1"/>
      <c r="F550" s="203"/>
      <c r="G550" s="3"/>
      <c r="H550" s="1"/>
    </row>
    <row r="551" ht="15.75" customHeight="1">
      <c r="A551" s="1"/>
      <c r="F551" s="203"/>
      <c r="G551" s="3"/>
      <c r="H551" s="1"/>
    </row>
    <row r="552" ht="15.75" customHeight="1">
      <c r="A552" s="1"/>
      <c r="F552" s="203"/>
      <c r="G552" s="3"/>
      <c r="H552" s="1"/>
    </row>
    <row r="553" ht="15.75" customHeight="1">
      <c r="A553" s="1"/>
      <c r="F553" s="203"/>
      <c r="G553" s="3"/>
      <c r="H553" s="1"/>
    </row>
    <row r="554" ht="15.75" customHeight="1">
      <c r="A554" s="1"/>
      <c r="F554" s="203"/>
      <c r="G554" s="3"/>
      <c r="H554" s="1"/>
    </row>
    <row r="555" ht="15.75" customHeight="1">
      <c r="A555" s="1"/>
      <c r="F555" s="203"/>
      <c r="G555" s="3"/>
      <c r="H555" s="1"/>
    </row>
    <row r="556" ht="15.75" customHeight="1">
      <c r="A556" s="1"/>
      <c r="F556" s="203"/>
      <c r="G556" s="3"/>
      <c r="H556" s="1"/>
    </row>
    <row r="557" ht="15.75" customHeight="1">
      <c r="A557" s="1"/>
      <c r="F557" s="203"/>
      <c r="G557" s="3"/>
      <c r="H557" s="1"/>
    </row>
    <row r="558" ht="15.75" customHeight="1">
      <c r="A558" s="1"/>
      <c r="F558" s="203"/>
      <c r="G558" s="3"/>
      <c r="H558" s="1"/>
    </row>
    <row r="559" ht="15.75" customHeight="1">
      <c r="A559" s="1"/>
      <c r="F559" s="203"/>
      <c r="G559" s="3"/>
      <c r="H559" s="1"/>
    </row>
    <row r="560" ht="15.75" customHeight="1">
      <c r="A560" s="1"/>
      <c r="F560" s="203"/>
      <c r="G560" s="3"/>
      <c r="H560" s="1"/>
    </row>
    <row r="561" ht="15.75" customHeight="1">
      <c r="A561" s="1"/>
      <c r="F561" s="203"/>
      <c r="G561" s="3"/>
      <c r="H561" s="1"/>
    </row>
    <row r="562" ht="15.75" customHeight="1">
      <c r="A562" s="1"/>
      <c r="F562" s="203"/>
      <c r="G562" s="3"/>
      <c r="H562" s="1"/>
    </row>
    <row r="563" ht="15.75" customHeight="1">
      <c r="A563" s="1"/>
      <c r="F563" s="203"/>
      <c r="G563" s="3"/>
      <c r="H563" s="1"/>
    </row>
    <row r="564" ht="15.75" customHeight="1">
      <c r="A564" s="1"/>
      <c r="F564" s="203"/>
      <c r="G564" s="3"/>
      <c r="H564" s="1"/>
    </row>
    <row r="565" ht="15.75" customHeight="1">
      <c r="A565" s="1"/>
      <c r="F565" s="203"/>
      <c r="G565" s="3"/>
      <c r="H565" s="1"/>
    </row>
    <row r="566" ht="15.75" customHeight="1">
      <c r="A566" s="1"/>
      <c r="F566" s="203"/>
      <c r="G566" s="3"/>
      <c r="H566" s="1"/>
    </row>
    <row r="567" ht="15.75" customHeight="1">
      <c r="A567" s="1"/>
      <c r="F567" s="203"/>
      <c r="G567" s="3"/>
      <c r="H567" s="1"/>
    </row>
    <row r="568" ht="15.75" customHeight="1">
      <c r="A568" s="1"/>
      <c r="F568" s="203"/>
      <c r="G568" s="3"/>
      <c r="H568" s="1"/>
    </row>
    <row r="569" ht="15.75" customHeight="1">
      <c r="A569" s="1"/>
      <c r="F569" s="203"/>
      <c r="G569" s="3"/>
      <c r="H569" s="1"/>
    </row>
    <row r="570" ht="15.75" customHeight="1">
      <c r="A570" s="1"/>
      <c r="F570" s="203"/>
      <c r="G570" s="3"/>
      <c r="H570" s="1"/>
    </row>
    <row r="571" ht="15.75" customHeight="1">
      <c r="A571" s="1"/>
      <c r="F571" s="203"/>
      <c r="G571" s="3"/>
      <c r="H571" s="1"/>
    </row>
    <row r="572" ht="15.75" customHeight="1">
      <c r="A572" s="1"/>
      <c r="F572" s="203"/>
      <c r="G572" s="3"/>
      <c r="H572" s="1"/>
    </row>
    <row r="573" ht="15.75" customHeight="1">
      <c r="A573" s="1"/>
      <c r="F573" s="203"/>
      <c r="G573" s="3"/>
      <c r="H573" s="1"/>
    </row>
    <row r="574" ht="15.75" customHeight="1">
      <c r="A574" s="1"/>
      <c r="F574" s="203"/>
      <c r="G574" s="3"/>
      <c r="H574" s="1"/>
    </row>
    <row r="575" ht="15.75" customHeight="1">
      <c r="A575" s="1"/>
      <c r="F575" s="203"/>
      <c r="G575" s="3"/>
      <c r="H575" s="1"/>
    </row>
    <row r="576" ht="15.75" customHeight="1">
      <c r="A576" s="1"/>
      <c r="F576" s="203"/>
      <c r="G576" s="3"/>
      <c r="H576" s="1"/>
    </row>
    <row r="577" ht="15.75" customHeight="1">
      <c r="A577" s="1"/>
      <c r="F577" s="203"/>
      <c r="G577" s="3"/>
      <c r="H577" s="1"/>
    </row>
    <row r="578" ht="15.75" customHeight="1">
      <c r="A578" s="1"/>
      <c r="F578" s="203"/>
      <c r="G578" s="3"/>
      <c r="H578" s="1"/>
    </row>
    <row r="579" ht="15.75" customHeight="1">
      <c r="A579" s="1"/>
      <c r="F579" s="203"/>
      <c r="G579" s="3"/>
      <c r="H579" s="1"/>
    </row>
    <row r="580" ht="15.75" customHeight="1">
      <c r="A580" s="1"/>
      <c r="F580" s="203"/>
      <c r="G580" s="3"/>
      <c r="H580" s="1"/>
    </row>
    <row r="581" ht="15.75" customHeight="1">
      <c r="A581" s="1"/>
      <c r="F581" s="203"/>
      <c r="G581" s="3"/>
      <c r="H581" s="1"/>
    </row>
    <row r="582" ht="15.75" customHeight="1">
      <c r="A582" s="1"/>
      <c r="F582" s="203"/>
      <c r="G582" s="3"/>
      <c r="H582" s="1"/>
    </row>
    <row r="583" ht="15.75" customHeight="1">
      <c r="A583" s="1"/>
      <c r="F583" s="203"/>
      <c r="G583" s="3"/>
      <c r="H583" s="1"/>
    </row>
    <row r="584" ht="15.75" customHeight="1">
      <c r="A584" s="1"/>
      <c r="F584" s="203"/>
      <c r="G584" s="3"/>
      <c r="H584" s="1"/>
    </row>
    <row r="585" ht="15.75" customHeight="1">
      <c r="A585" s="1"/>
      <c r="F585" s="203"/>
      <c r="G585" s="3"/>
      <c r="H585" s="1"/>
    </row>
    <row r="586" ht="15.75" customHeight="1">
      <c r="A586" s="1"/>
      <c r="F586" s="203"/>
      <c r="G586" s="3"/>
      <c r="H586" s="1"/>
    </row>
    <row r="587" ht="15.75" customHeight="1">
      <c r="A587" s="1"/>
      <c r="F587" s="203"/>
      <c r="G587" s="3"/>
      <c r="H587" s="1"/>
    </row>
    <row r="588" ht="15.75" customHeight="1">
      <c r="A588" s="1"/>
      <c r="F588" s="203"/>
      <c r="G588" s="3"/>
      <c r="H588" s="1"/>
    </row>
    <row r="589" ht="15.75" customHeight="1">
      <c r="A589" s="1"/>
      <c r="F589" s="203"/>
      <c r="G589" s="3"/>
      <c r="H589" s="1"/>
    </row>
    <row r="590" ht="15.75" customHeight="1">
      <c r="A590" s="1"/>
      <c r="F590" s="203"/>
      <c r="G590" s="3"/>
      <c r="H590" s="1"/>
    </row>
    <row r="591" ht="15.75" customHeight="1">
      <c r="A591" s="1"/>
      <c r="F591" s="203"/>
      <c r="G591" s="3"/>
      <c r="H591" s="1"/>
    </row>
    <row r="592" ht="15.75" customHeight="1">
      <c r="A592" s="1"/>
      <c r="F592" s="203"/>
      <c r="G592" s="3"/>
      <c r="H592" s="1"/>
    </row>
    <row r="593" ht="15.75" customHeight="1">
      <c r="A593" s="1"/>
      <c r="F593" s="203"/>
      <c r="G593" s="3"/>
      <c r="H593" s="1"/>
    </row>
    <row r="594" ht="15.75" customHeight="1">
      <c r="A594" s="1"/>
      <c r="F594" s="203"/>
      <c r="G594" s="3"/>
      <c r="H594" s="1"/>
    </row>
    <row r="595" ht="15.75" customHeight="1">
      <c r="A595" s="1"/>
      <c r="F595" s="203"/>
      <c r="G595" s="3"/>
      <c r="H595" s="1"/>
    </row>
    <row r="596" ht="15.75" customHeight="1">
      <c r="A596" s="1"/>
      <c r="F596" s="203"/>
      <c r="G596" s="3"/>
      <c r="H596" s="1"/>
    </row>
    <row r="597" ht="15.75" customHeight="1">
      <c r="A597" s="1"/>
      <c r="F597" s="203"/>
      <c r="G597" s="3"/>
      <c r="H597" s="1"/>
    </row>
    <row r="598" ht="15.75" customHeight="1">
      <c r="A598" s="1"/>
      <c r="F598" s="203"/>
      <c r="G598" s="3"/>
      <c r="H598" s="1"/>
    </row>
    <row r="599" ht="15.75" customHeight="1">
      <c r="A599" s="1"/>
      <c r="F599" s="203"/>
      <c r="G599" s="3"/>
      <c r="H599" s="1"/>
    </row>
    <row r="600" ht="15.75" customHeight="1">
      <c r="A600" s="1"/>
      <c r="F600" s="203"/>
      <c r="G600" s="3"/>
      <c r="H600" s="1"/>
    </row>
    <row r="601" ht="15.75" customHeight="1">
      <c r="A601" s="1"/>
      <c r="F601" s="203"/>
      <c r="G601" s="3"/>
      <c r="H601" s="1"/>
    </row>
    <row r="602" ht="15.75" customHeight="1">
      <c r="A602" s="1"/>
      <c r="F602" s="203"/>
      <c r="G602" s="3"/>
      <c r="H602" s="1"/>
    </row>
    <row r="603" ht="15.75" customHeight="1">
      <c r="A603" s="1"/>
      <c r="F603" s="203"/>
      <c r="G603" s="3"/>
      <c r="H603" s="1"/>
    </row>
    <row r="604" ht="15.75" customHeight="1">
      <c r="A604" s="1"/>
      <c r="F604" s="203"/>
      <c r="G604" s="3"/>
      <c r="H604" s="1"/>
    </row>
    <row r="605" ht="15.75" customHeight="1">
      <c r="A605" s="1"/>
      <c r="F605" s="203"/>
      <c r="G605" s="3"/>
      <c r="H605" s="1"/>
    </row>
    <row r="606" ht="15.75" customHeight="1">
      <c r="A606" s="1"/>
      <c r="F606" s="203"/>
      <c r="G606" s="3"/>
      <c r="H606" s="1"/>
    </row>
    <row r="607" ht="15.75" customHeight="1">
      <c r="A607" s="1"/>
      <c r="F607" s="203"/>
      <c r="G607" s="3"/>
      <c r="H607" s="1"/>
    </row>
    <row r="608" ht="15.75" customHeight="1">
      <c r="A608" s="1"/>
      <c r="F608" s="203"/>
      <c r="G608" s="3"/>
      <c r="H608" s="1"/>
    </row>
    <row r="609" ht="15.75" customHeight="1">
      <c r="A609" s="1"/>
      <c r="F609" s="203"/>
      <c r="G609" s="3"/>
      <c r="H609" s="1"/>
    </row>
    <row r="610" ht="15.75" customHeight="1">
      <c r="A610" s="1"/>
      <c r="F610" s="203"/>
      <c r="G610" s="3"/>
      <c r="H610" s="1"/>
    </row>
    <row r="611" ht="15.75" customHeight="1">
      <c r="A611" s="1"/>
      <c r="F611" s="203"/>
      <c r="G611" s="3"/>
      <c r="H611" s="1"/>
    </row>
    <row r="612" ht="15.75" customHeight="1">
      <c r="A612" s="1"/>
      <c r="F612" s="203"/>
      <c r="G612" s="3"/>
      <c r="H612" s="1"/>
    </row>
    <row r="613" ht="15.75" customHeight="1">
      <c r="A613" s="1"/>
      <c r="F613" s="203"/>
      <c r="G613" s="3"/>
      <c r="H613" s="1"/>
    </row>
    <row r="614" ht="15.75" customHeight="1">
      <c r="A614" s="1"/>
      <c r="F614" s="203"/>
      <c r="G614" s="3"/>
      <c r="H614" s="1"/>
    </row>
    <row r="615" ht="15.75" customHeight="1">
      <c r="A615" s="1"/>
      <c r="F615" s="203"/>
      <c r="G615" s="3"/>
      <c r="H615" s="1"/>
    </row>
    <row r="616" ht="15.75" customHeight="1">
      <c r="A616" s="1"/>
      <c r="F616" s="203"/>
      <c r="G616" s="3"/>
      <c r="H616" s="1"/>
    </row>
    <row r="617" ht="15.75" customHeight="1">
      <c r="A617" s="1"/>
      <c r="F617" s="203"/>
      <c r="G617" s="3"/>
      <c r="H617" s="1"/>
    </row>
    <row r="618" ht="15.75" customHeight="1">
      <c r="A618" s="1"/>
      <c r="F618" s="203"/>
      <c r="G618" s="3"/>
      <c r="H618" s="1"/>
    </row>
    <row r="619" ht="15.75" customHeight="1">
      <c r="A619" s="1"/>
      <c r="F619" s="203"/>
      <c r="G619" s="3"/>
      <c r="H619" s="1"/>
    </row>
    <row r="620" ht="15.75" customHeight="1">
      <c r="A620" s="1"/>
      <c r="F620" s="203"/>
      <c r="G620" s="3"/>
      <c r="H620" s="1"/>
    </row>
    <row r="621" ht="15.75" customHeight="1">
      <c r="A621" s="1"/>
      <c r="F621" s="203"/>
      <c r="G621" s="3"/>
      <c r="H621" s="1"/>
    </row>
    <row r="622" ht="15.75" customHeight="1">
      <c r="A622" s="1"/>
      <c r="F622" s="203"/>
      <c r="G622" s="3"/>
      <c r="H622" s="1"/>
    </row>
    <row r="623" ht="15.75" customHeight="1">
      <c r="A623" s="1"/>
      <c r="F623" s="203"/>
      <c r="G623" s="3"/>
      <c r="H623" s="1"/>
    </row>
    <row r="624" ht="15.75" customHeight="1">
      <c r="A624" s="1"/>
      <c r="F624" s="203"/>
      <c r="G624" s="3"/>
      <c r="H624" s="1"/>
    </row>
    <row r="625" ht="15.75" customHeight="1">
      <c r="A625" s="1"/>
      <c r="F625" s="203"/>
      <c r="G625" s="3"/>
      <c r="H625" s="1"/>
    </row>
    <row r="626" ht="15.75" customHeight="1">
      <c r="A626" s="1"/>
      <c r="F626" s="203"/>
      <c r="G626" s="3"/>
      <c r="H626" s="1"/>
    </row>
    <row r="627" ht="15.75" customHeight="1">
      <c r="A627" s="1"/>
      <c r="F627" s="203"/>
      <c r="G627" s="3"/>
      <c r="H627" s="1"/>
    </row>
    <row r="628" ht="15.75" customHeight="1">
      <c r="A628" s="1"/>
      <c r="F628" s="203"/>
      <c r="G628" s="3"/>
      <c r="H628" s="1"/>
    </row>
    <row r="629" ht="15.75" customHeight="1">
      <c r="A629" s="1"/>
      <c r="F629" s="203"/>
      <c r="G629" s="3"/>
      <c r="H629" s="1"/>
    </row>
    <row r="630" ht="15.75" customHeight="1">
      <c r="A630" s="1"/>
      <c r="F630" s="203"/>
      <c r="G630" s="3"/>
      <c r="H630" s="1"/>
    </row>
    <row r="631" ht="15.75" customHeight="1">
      <c r="A631" s="1"/>
      <c r="F631" s="203"/>
      <c r="G631" s="3"/>
      <c r="H631" s="1"/>
    </row>
    <row r="632" ht="15.75" customHeight="1">
      <c r="A632" s="1"/>
      <c r="F632" s="203"/>
      <c r="G632" s="3"/>
      <c r="H632" s="1"/>
    </row>
    <row r="633" ht="15.75" customHeight="1">
      <c r="A633" s="1"/>
      <c r="F633" s="203"/>
      <c r="G633" s="3"/>
      <c r="H633" s="1"/>
    </row>
    <row r="634" ht="15.75" customHeight="1">
      <c r="A634" s="1"/>
      <c r="F634" s="203"/>
      <c r="G634" s="3"/>
      <c r="H634" s="1"/>
    </row>
    <row r="635" ht="15.75" customHeight="1">
      <c r="A635" s="1"/>
      <c r="F635" s="203"/>
      <c r="G635" s="3"/>
      <c r="H635" s="1"/>
    </row>
    <row r="636" ht="15.75" customHeight="1">
      <c r="A636" s="1"/>
      <c r="F636" s="203"/>
      <c r="G636" s="3"/>
      <c r="H636" s="1"/>
    </row>
    <row r="637" ht="15.75" customHeight="1">
      <c r="A637" s="1"/>
      <c r="F637" s="203"/>
      <c r="G637" s="3"/>
      <c r="H637" s="1"/>
    </row>
    <row r="638" ht="15.75" customHeight="1">
      <c r="A638" s="1"/>
      <c r="F638" s="203"/>
      <c r="G638" s="3"/>
      <c r="H638" s="1"/>
    </row>
    <row r="639" ht="15.75" customHeight="1">
      <c r="A639" s="1"/>
      <c r="F639" s="203"/>
      <c r="G639" s="3"/>
      <c r="H639" s="1"/>
    </row>
    <row r="640" ht="15.75" customHeight="1">
      <c r="A640" s="1"/>
      <c r="F640" s="203"/>
      <c r="G640" s="3"/>
      <c r="H640" s="1"/>
    </row>
    <row r="641" ht="15.75" customHeight="1">
      <c r="A641" s="1"/>
      <c r="F641" s="203"/>
      <c r="G641" s="3"/>
      <c r="H641" s="1"/>
    </row>
    <row r="642" ht="15.75" customHeight="1">
      <c r="A642" s="1"/>
      <c r="F642" s="203"/>
      <c r="G642" s="3"/>
      <c r="H642" s="1"/>
    </row>
    <row r="643" ht="15.75" customHeight="1">
      <c r="A643" s="1"/>
      <c r="F643" s="203"/>
      <c r="G643" s="3"/>
      <c r="H643" s="1"/>
    </row>
    <row r="644" ht="15.75" customHeight="1">
      <c r="A644" s="1"/>
      <c r="F644" s="203"/>
      <c r="G644" s="3"/>
      <c r="H644" s="1"/>
    </row>
    <row r="645" ht="15.75" customHeight="1">
      <c r="A645" s="1"/>
      <c r="F645" s="203"/>
      <c r="G645" s="3"/>
      <c r="H645" s="1"/>
    </row>
    <row r="646" ht="15.75" customHeight="1">
      <c r="A646" s="1"/>
      <c r="F646" s="203"/>
      <c r="G646" s="3"/>
      <c r="H646" s="1"/>
    </row>
    <row r="647" ht="15.75" customHeight="1">
      <c r="A647" s="1"/>
      <c r="F647" s="203"/>
      <c r="G647" s="3"/>
      <c r="H647" s="1"/>
    </row>
    <row r="648" ht="15.75" customHeight="1">
      <c r="A648" s="1"/>
      <c r="F648" s="203"/>
      <c r="G648" s="3"/>
      <c r="H648" s="1"/>
    </row>
    <row r="649" ht="15.75" customHeight="1">
      <c r="A649" s="1"/>
      <c r="F649" s="203"/>
      <c r="G649" s="3"/>
      <c r="H649" s="1"/>
    </row>
    <row r="650" ht="15.75" customHeight="1">
      <c r="A650" s="1"/>
      <c r="F650" s="203"/>
      <c r="G650" s="3"/>
      <c r="H650" s="1"/>
    </row>
    <row r="651" ht="15.75" customHeight="1">
      <c r="A651" s="1"/>
      <c r="F651" s="203"/>
      <c r="G651" s="3"/>
      <c r="H651" s="1"/>
    </row>
    <row r="652" ht="15.75" customHeight="1">
      <c r="A652" s="1"/>
      <c r="F652" s="203"/>
      <c r="G652" s="3"/>
      <c r="H652" s="1"/>
    </row>
    <row r="653" ht="15.75" customHeight="1">
      <c r="A653" s="1"/>
      <c r="F653" s="203"/>
      <c r="G653" s="3"/>
      <c r="H653" s="1"/>
    </row>
    <row r="654" ht="15.75" customHeight="1">
      <c r="A654" s="1"/>
      <c r="F654" s="203"/>
      <c r="G654" s="3"/>
      <c r="H654" s="1"/>
    </row>
    <row r="655" ht="15.75" customHeight="1">
      <c r="A655" s="1"/>
      <c r="F655" s="203"/>
      <c r="G655" s="3"/>
      <c r="H655" s="1"/>
    </row>
    <row r="656" ht="15.75" customHeight="1">
      <c r="A656" s="1"/>
      <c r="F656" s="203"/>
      <c r="G656" s="3"/>
      <c r="H656" s="1"/>
    </row>
    <row r="657" ht="15.75" customHeight="1">
      <c r="A657" s="1"/>
      <c r="F657" s="203"/>
      <c r="G657" s="3"/>
      <c r="H657" s="1"/>
    </row>
    <row r="658" ht="15.75" customHeight="1">
      <c r="A658" s="1"/>
      <c r="F658" s="203"/>
      <c r="G658" s="3"/>
      <c r="H658" s="1"/>
    </row>
    <row r="659" ht="15.75" customHeight="1">
      <c r="A659" s="1"/>
      <c r="F659" s="203"/>
      <c r="G659" s="3"/>
      <c r="H659" s="1"/>
    </row>
    <row r="660" ht="15.75" customHeight="1">
      <c r="A660" s="1"/>
      <c r="F660" s="203"/>
      <c r="G660" s="3"/>
      <c r="H660" s="1"/>
    </row>
    <row r="661" ht="15.75" customHeight="1">
      <c r="A661" s="1"/>
      <c r="F661" s="203"/>
      <c r="G661" s="3"/>
      <c r="H661" s="1"/>
    </row>
    <row r="662" ht="15.75" customHeight="1">
      <c r="A662" s="1"/>
      <c r="F662" s="203"/>
      <c r="G662" s="3"/>
      <c r="H662" s="1"/>
    </row>
    <row r="663" ht="15.75" customHeight="1">
      <c r="A663" s="1"/>
      <c r="F663" s="203"/>
      <c r="G663" s="3"/>
      <c r="H663" s="1"/>
    </row>
    <row r="664" ht="15.75" customHeight="1">
      <c r="A664" s="1"/>
      <c r="F664" s="203"/>
      <c r="G664" s="3"/>
      <c r="H664" s="1"/>
    </row>
    <row r="665" ht="15.75" customHeight="1">
      <c r="A665" s="1"/>
      <c r="F665" s="203"/>
      <c r="G665" s="3"/>
      <c r="H665" s="1"/>
    </row>
    <row r="666" ht="15.75" customHeight="1">
      <c r="A666" s="1"/>
      <c r="F666" s="203"/>
      <c r="G666" s="3"/>
      <c r="H666" s="1"/>
    </row>
    <row r="667" ht="15.75" customHeight="1">
      <c r="A667" s="1"/>
      <c r="F667" s="203"/>
      <c r="G667" s="3"/>
      <c r="H667" s="1"/>
    </row>
    <row r="668" ht="15.75" customHeight="1">
      <c r="A668" s="1"/>
      <c r="F668" s="203"/>
      <c r="G668" s="3"/>
      <c r="H668" s="1"/>
    </row>
    <row r="669" ht="15.75" customHeight="1">
      <c r="A669" s="1"/>
      <c r="F669" s="203"/>
      <c r="G669" s="3"/>
      <c r="H669" s="1"/>
    </row>
    <row r="670" ht="15.75" customHeight="1">
      <c r="A670" s="1"/>
      <c r="F670" s="203"/>
      <c r="G670" s="3"/>
      <c r="H670" s="1"/>
    </row>
    <row r="671" ht="15.75" customHeight="1">
      <c r="A671" s="1"/>
      <c r="F671" s="203"/>
      <c r="G671" s="3"/>
      <c r="H671" s="1"/>
    </row>
    <row r="672" ht="15.75" customHeight="1">
      <c r="A672" s="1"/>
      <c r="F672" s="203"/>
      <c r="G672" s="3"/>
      <c r="H672" s="1"/>
    </row>
    <row r="673" ht="15.75" customHeight="1">
      <c r="A673" s="1"/>
      <c r="F673" s="203"/>
      <c r="G673" s="3"/>
      <c r="H673" s="1"/>
    </row>
    <row r="674" ht="15.75" customHeight="1">
      <c r="A674" s="1"/>
      <c r="F674" s="203"/>
      <c r="G674" s="3"/>
      <c r="H674" s="1"/>
    </row>
    <row r="675" ht="15.75" customHeight="1">
      <c r="A675" s="1"/>
      <c r="F675" s="203"/>
      <c r="G675" s="3"/>
      <c r="H675" s="1"/>
    </row>
    <row r="676" ht="15.75" customHeight="1">
      <c r="A676" s="1"/>
      <c r="F676" s="203"/>
      <c r="G676" s="3"/>
      <c r="H676" s="1"/>
    </row>
    <row r="677" ht="15.75" customHeight="1">
      <c r="A677" s="1"/>
      <c r="F677" s="203"/>
      <c r="G677" s="3"/>
      <c r="H677" s="1"/>
    </row>
    <row r="678" ht="15.75" customHeight="1">
      <c r="A678" s="1"/>
      <c r="F678" s="203"/>
      <c r="G678" s="3"/>
      <c r="H678" s="1"/>
    </row>
    <row r="679" ht="15.75" customHeight="1">
      <c r="A679" s="1"/>
      <c r="F679" s="203"/>
      <c r="G679" s="3"/>
      <c r="H679" s="1"/>
    </row>
    <row r="680" ht="15.75" customHeight="1">
      <c r="A680" s="1"/>
      <c r="F680" s="203"/>
      <c r="G680" s="3"/>
      <c r="H680" s="1"/>
    </row>
    <row r="681" ht="15.75" customHeight="1">
      <c r="A681" s="1"/>
      <c r="F681" s="203"/>
      <c r="G681" s="3"/>
      <c r="H681" s="1"/>
    </row>
    <row r="682" ht="15.75" customHeight="1">
      <c r="A682" s="1"/>
      <c r="F682" s="203"/>
      <c r="G682" s="3"/>
      <c r="H682" s="1"/>
    </row>
    <row r="683" ht="15.75" customHeight="1">
      <c r="A683" s="1"/>
      <c r="F683" s="203"/>
      <c r="G683" s="3"/>
      <c r="H683" s="1"/>
    </row>
    <row r="684" ht="15.75" customHeight="1">
      <c r="A684" s="1"/>
      <c r="F684" s="203"/>
      <c r="G684" s="3"/>
      <c r="H684" s="1"/>
    </row>
    <row r="685" ht="15.75" customHeight="1">
      <c r="A685" s="1"/>
      <c r="F685" s="203"/>
      <c r="G685" s="3"/>
      <c r="H685" s="1"/>
    </row>
    <row r="686" ht="15.75" customHeight="1">
      <c r="A686" s="1"/>
      <c r="F686" s="203"/>
      <c r="G686" s="3"/>
      <c r="H686" s="1"/>
    </row>
    <row r="687" ht="15.75" customHeight="1">
      <c r="A687" s="1"/>
      <c r="F687" s="203"/>
      <c r="G687" s="3"/>
      <c r="H687" s="1"/>
    </row>
    <row r="688" ht="15.75" customHeight="1">
      <c r="A688" s="1"/>
      <c r="F688" s="203"/>
      <c r="G688" s="3"/>
      <c r="H688" s="1"/>
    </row>
    <row r="689" ht="15.75" customHeight="1">
      <c r="A689" s="1"/>
      <c r="F689" s="203"/>
      <c r="G689" s="3"/>
      <c r="H689" s="1"/>
    </row>
    <row r="690" ht="15.75" customHeight="1">
      <c r="A690" s="1"/>
      <c r="F690" s="203"/>
      <c r="G690" s="3"/>
      <c r="H690" s="1"/>
    </row>
    <row r="691" ht="15.75" customHeight="1">
      <c r="A691" s="1"/>
      <c r="F691" s="203"/>
      <c r="G691" s="3"/>
      <c r="H691" s="1"/>
    </row>
    <row r="692" ht="15.75" customHeight="1">
      <c r="A692" s="1"/>
      <c r="F692" s="203"/>
      <c r="G692" s="3"/>
      <c r="H692" s="1"/>
    </row>
    <row r="693" ht="15.75" customHeight="1">
      <c r="A693" s="1"/>
      <c r="F693" s="203"/>
      <c r="G693" s="3"/>
      <c r="H693" s="1"/>
    </row>
    <row r="694" ht="15.75" customHeight="1">
      <c r="A694" s="1"/>
      <c r="F694" s="203"/>
      <c r="G694" s="3"/>
      <c r="H694" s="1"/>
    </row>
    <row r="695" ht="15.75" customHeight="1">
      <c r="A695" s="1"/>
      <c r="F695" s="203"/>
      <c r="G695" s="3"/>
      <c r="H695" s="1"/>
    </row>
    <row r="696" ht="15.75" customHeight="1">
      <c r="A696" s="1"/>
      <c r="F696" s="203"/>
      <c r="G696" s="3"/>
      <c r="H696" s="1"/>
    </row>
    <row r="697" ht="15.75" customHeight="1">
      <c r="A697" s="1"/>
      <c r="F697" s="203"/>
      <c r="G697" s="3"/>
      <c r="H697" s="1"/>
    </row>
    <row r="698" ht="15.75" customHeight="1">
      <c r="A698" s="1"/>
      <c r="F698" s="203"/>
      <c r="G698" s="3"/>
      <c r="H698" s="1"/>
    </row>
    <row r="699" ht="15.75" customHeight="1">
      <c r="A699" s="1"/>
      <c r="F699" s="203"/>
      <c r="G699" s="3"/>
      <c r="H699" s="1"/>
    </row>
    <row r="700" ht="15.75" customHeight="1">
      <c r="A700" s="1"/>
      <c r="F700" s="203"/>
      <c r="G700" s="3"/>
      <c r="H700" s="1"/>
    </row>
    <row r="701" ht="15.75" customHeight="1">
      <c r="A701" s="1"/>
      <c r="F701" s="203"/>
      <c r="G701" s="3"/>
      <c r="H701" s="1"/>
    </row>
    <row r="702" ht="15.75" customHeight="1">
      <c r="A702" s="1"/>
      <c r="F702" s="203"/>
      <c r="G702" s="3"/>
      <c r="H702" s="1"/>
    </row>
    <row r="703" ht="15.75" customHeight="1">
      <c r="A703" s="1"/>
      <c r="F703" s="203"/>
      <c r="G703" s="3"/>
      <c r="H703" s="1"/>
    </row>
    <row r="704" ht="15.75" customHeight="1">
      <c r="A704" s="1"/>
      <c r="F704" s="203"/>
      <c r="G704" s="3"/>
      <c r="H704" s="1"/>
    </row>
    <row r="705" ht="15.75" customHeight="1">
      <c r="A705" s="1"/>
      <c r="F705" s="203"/>
      <c r="G705" s="3"/>
      <c r="H705" s="1"/>
    </row>
    <row r="706" ht="15.75" customHeight="1">
      <c r="A706" s="1"/>
      <c r="F706" s="203"/>
      <c r="G706" s="3"/>
      <c r="H706" s="1"/>
    </row>
    <row r="707" ht="15.75" customHeight="1">
      <c r="A707" s="1"/>
      <c r="F707" s="203"/>
      <c r="G707" s="3"/>
      <c r="H707" s="1"/>
    </row>
    <row r="708" ht="15.75" customHeight="1">
      <c r="A708" s="1"/>
      <c r="F708" s="203"/>
      <c r="G708" s="3"/>
      <c r="H708" s="1"/>
    </row>
    <row r="709" ht="15.75" customHeight="1">
      <c r="A709" s="1"/>
      <c r="F709" s="203"/>
      <c r="G709" s="3"/>
      <c r="H709" s="1"/>
    </row>
    <row r="710" ht="15.75" customHeight="1">
      <c r="A710" s="1"/>
      <c r="F710" s="203"/>
      <c r="G710" s="3"/>
      <c r="H710" s="1"/>
    </row>
    <row r="711" ht="15.75" customHeight="1">
      <c r="A711" s="1"/>
      <c r="F711" s="203"/>
      <c r="G711" s="3"/>
      <c r="H711" s="1"/>
    </row>
    <row r="712" ht="15.75" customHeight="1">
      <c r="A712" s="1"/>
      <c r="F712" s="203"/>
      <c r="G712" s="3"/>
      <c r="H712" s="1"/>
    </row>
    <row r="713" ht="15.75" customHeight="1">
      <c r="A713" s="1"/>
      <c r="F713" s="203"/>
      <c r="G713" s="3"/>
      <c r="H713" s="1"/>
    </row>
    <row r="714" ht="15.75" customHeight="1">
      <c r="A714" s="1"/>
      <c r="F714" s="203"/>
      <c r="G714" s="3"/>
      <c r="H714" s="1"/>
    </row>
    <row r="715" ht="15.75" customHeight="1">
      <c r="A715" s="1"/>
      <c r="F715" s="203"/>
      <c r="G715" s="3"/>
      <c r="H715" s="1"/>
    </row>
    <row r="716" ht="15.75" customHeight="1">
      <c r="A716" s="1"/>
      <c r="F716" s="203"/>
      <c r="G716" s="3"/>
      <c r="H716" s="1"/>
    </row>
    <row r="717" ht="15.75" customHeight="1">
      <c r="A717" s="1"/>
      <c r="F717" s="203"/>
      <c r="G717" s="3"/>
      <c r="H717" s="1"/>
    </row>
    <row r="718" ht="15.75" customHeight="1">
      <c r="A718" s="1"/>
      <c r="F718" s="203"/>
      <c r="G718" s="3"/>
      <c r="H718" s="1"/>
    </row>
    <row r="719" ht="15.75" customHeight="1">
      <c r="A719" s="1"/>
      <c r="F719" s="203"/>
      <c r="G719" s="3"/>
      <c r="H719" s="1"/>
    </row>
    <row r="720" ht="15.75" customHeight="1">
      <c r="A720" s="1"/>
      <c r="F720" s="203"/>
      <c r="G720" s="3"/>
      <c r="H720" s="1"/>
    </row>
    <row r="721" ht="15.75" customHeight="1">
      <c r="A721" s="1"/>
      <c r="F721" s="203"/>
      <c r="G721" s="3"/>
      <c r="H721" s="1"/>
    </row>
    <row r="722" ht="15.75" customHeight="1">
      <c r="A722" s="1"/>
      <c r="F722" s="203"/>
      <c r="G722" s="3"/>
      <c r="H722" s="1"/>
    </row>
    <row r="723" ht="15.75" customHeight="1">
      <c r="A723" s="1"/>
      <c r="F723" s="203"/>
      <c r="G723" s="3"/>
      <c r="H723" s="1"/>
    </row>
    <row r="724" ht="15.75" customHeight="1">
      <c r="A724" s="1"/>
      <c r="F724" s="203"/>
      <c r="G724" s="3"/>
      <c r="H724" s="1"/>
    </row>
    <row r="725" ht="15.75" customHeight="1">
      <c r="A725" s="1"/>
      <c r="F725" s="203"/>
      <c r="G725" s="3"/>
      <c r="H725" s="1"/>
    </row>
    <row r="726" ht="15.75" customHeight="1">
      <c r="A726" s="1"/>
      <c r="F726" s="203"/>
      <c r="G726" s="3"/>
      <c r="H726" s="1"/>
    </row>
    <row r="727" ht="15.75" customHeight="1">
      <c r="A727" s="1"/>
      <c r="F727" s="203"/>
      <c r="G727" s="3"/>
      <c r="H727" s="1"/>
    </row>
    <row r="728" ht="15.75" customHeight="1">
      <c r="A728" s="1"/>
      <c r="F728" s="203"/>
      <c r="G728" s="3"/>
      <c r="H728" s="1"/>
    </row>
    <row r="729" ht="15.75" customHeight="1">
      <c r="A729" s="1"/>
      <c r="F729" s="203"/>
      <c r="G729" s="3"/>
      <c r="H729" s="1"/>
    </row>
    <row r="730" ht="15.75" customHeight="1">
      <c r="A730" s="1"/>
      <c r="F730" s="203"/>
      <c r="G730" s="3"/>
      <c r="H730" s="1"/>
    </row>
    <row r="731" ht="15.75" customHeight="1">
      <c r="A731" s="1"/>
      <c r="F731" s="203"/>
      <c r="G731" s="3"/>
      <c r="H731" s="1"/>
    </row>
    <row r="732" ht="15.75" customHeight="1">
      <c r="A732" s="1"/>
      <c r="F732" s="203"/>
      <c r="G732" s="3"/>
      <c r="H732" s="1"/>
    </row>
    <row r="733" ht="15.75" customHeight="1">
      <c r="A733" s="1"/>
      <c r="F733" s="203"/>
      <c r="G733" s="3"/>
      <c r="H733" s="1"/>
    </row>
    <row r="734" ht="15.75" customHeight="1">
      <c r="A734" s="1"/>
      <c r="F734" s="203"/>
      <c r="G734" s="3"/>
      <c r="H734" s="1"/>
    </row>
    <row r="735" ht="15.75" customHeight="1">
      <c r="A735" s="1"/>
      <c r="F735" s="203"/>
      <c r="G735" s="3"/>
      <c r="H735" s="1"/>
    </row>
    <row r="736" ht="15.75" customHeight="1">
      <c r="A736" s="1"/>
      <c r="F736" s="203"/>
      <c r="G736" s="3"/>
      <c r="H736" s="1"/>
    </row>
    <row r="737" ht="15.75" customHeight="1">
      <c r="A737" s="1"/>
      <c r="F737" s="203"/>
      <c r="G737" s="3"/>
      <c r="H737" s="1"/>
    </row>
    <row r="738" ht="15.75" customHeight="1">
      <c r="A738" s="1"/>
      <c r="F738" s="203"/>
      <c r="G738" s="3"/>
      <c r="H738" s="1"/>
    </row>
    <row r="739" ht="15.75" customHeight="1">
      <c r="A739" s="1"/>
      <c r="F739" s="203"/>
      <c r="G739" s="3"/>
      <c r="H739" s="1"/>
    </row>
    <row r="740" ht="15.75" customHeight="1">
      <c r="A740" s="1"/>
      <c r="F740" s="203"/>
      <c r="G740" s="3"/>
      <c r="H740" s="1"/>
    </row>
    <row r="741" ht="15.75" customHeight="1">
      <c r="A741" s="1"/>
      <c r="F741" s="203"/>
      <c r="G741" s="3"/>
      <c r="H741" s="1"/>
    </row>
    <row r="742" ht="15.75" customHeight="1">
      <c r="A742" s="1"/>
      <c r="F742" s="203"/>
      <c r="G742" s="3"/>
      <c r="H742" s="1"/>
    </row>
    <row r="743" ht="15.75" customHeight="1">
      <c r="A743" s="1"/>
      <c r="F743" s="203"/>
      <c r="G743" s="3"/>
      <c r="H743" s="1"/>
    </row>
    <row r="744" ht="15.75" customHeight="1">
      <c r="A744" s="1"/>
      <c r="F744" s="203"/>
      <c r="G744" s="3"/>
      <c r="H744" s="1"/>
    </row>
    <row r="745" ht="15.75" customHeight="1">
      <c r="A745" s="1"/>
      <c r="F745" s="203"/>
      <c r="G745" s="3"/>
      <c r="H745" s="1"/>
    </row>
    <row r="746" ht="15.75" customHeight="1">
      <c r="A746" s="1"/>
      <c r="F746" s="203"/>
      <c r="G746" s="3"/>
      <c r="H746" s="1"/>
    </row>
    <row r="747" ht="15.75" customHeight="1">
      <c r="A747" s="1"/>
      <c r="F747" s="203"/>
      <c r="G747" s="3"/>
      <c r="H747" s="1"/>
    </row>
    <row r="748" ht="15.75" customHeight="1">
      <c r="A748" s="1"/>
      <c r="F748" s="203"/>
      <c r="G748" s="3"/>
      <c r="H748" s="1"/>
    </row>
    <row r="749" ht="15.75" customHeight="1">
      <c r="A749" s="1"/>
      <c r="F749" s="203"/>
      <c r="G749" s="3"/>
      <c r="H749" s="1"/>
    </row>
    <row r="750" ht="15.75" customHeight="1">
      <c r="A750" s="1"/>
      <c r="F750" s="203"/>
      <c r="G750" s="3"/>
      <c r="H750" s="1"/>
    </row>
    <row r="751" ht="15.75" customHeight="1">
      <c r="A751" s="1"/>
      <c r="F751" s="203"/>
      <c r="G751" s="3"/>
      <c r="H751" s="1"/>
    </row>
    <row r="752" ht="15.75" customHeight="1">
      <c r="A752" s="1"/>
      <c r="F752" s="203"/>
      <c r="G752" s="3"/>
      <c r="H752" s="1"/>
    </row>
    <row r="753" ht="15.75" customHeight="1">
      <c r="A753" s="1"/>
      <c r="F753" s="203"/>
      <c r="G753" s="3"/>
      <c r="H753" s="1"/>
    </row>
    <row r="754" ht="15.75" customHeight="1">
      <c r="A754" s="1"/>
      <c r="F754" s="203"/>
      <c r="G754" s="3"/>
      <c r="H754" s="1"/>
    </row>
    <row r="755" ht="15.75" customHeight="1">
      <c r="A755" s="1"/>
      <c r="F755" s="203"/>
      <c r="G755" s="3"/>
      <c r="H755" s="1"/>
    </row>
    <row r="756" ht="15.75" customHeight="1">
      <c r="A756" s="1"/>
      <c r="F756" s="203"/>
      <c r="G756" s="3"/>
      <c r="H756" s="1"/>
    </row>
    <row r="757" ht="15.75" customHeight="1">
      <c r="A757" s="1"/>
      <c r="F757" s="203"/>
      <c r="G757" s="3"/>
      <c r="H757" s="1"/>
    </row>
    <row r="758" ht="15.75" customHeight="1">
      <c r="A758" s="1"/>
      <c r="F758" s="203"/>
      <c r="G758" s="3"/>
      <c r="H758" s="1"/>
    </row>
    <row r="759" ht="15.75" customHeight="1">
      <c r="A759" s="1"/>
      <c r="F759" s="203"/>
      <c r="G759" s="3"/>
      <c r="H759" s="1"/>
    </row>
    <row r="760" ht="15.75" customHeight="1">
      <c r="A760" s="1"/>
      <c r="F760" s="203"/>
      <c r="G760" s="3"/>
      <c r="H760" s="1"/>
    </row>
    <row r="761" ht="15.75" customHeight="1">
      <c r="A761" s="1"/>
      <c r="F761" s="203"/>
      <c r="G761" s="3"/>
      <c r="H761" s="1"/>
    </row>
    <row r="762" ht="15.75" customHeight="1">
      <c r="A762" s="1"/>
      <c r="F762" s="203"/>
      <c r="G762" s="3"/>
      <c r="H762" s="1"/>
    </row>
    <row r="763" ht="15.75" customHeight="1">
      <c r="A763" s="1"/>
      <c r="F763" s="203"/>
      <c r="G763" s="3"/>
      <c r="H763" s="1"/>
    </row>
    <row r="764" ht="15.75" customHeight="1">
      <c r="A764" s="1"/>
      <c r="F764" s="203"/>
      <c r="G764" s="3"/>
      <c r="H764" s="1"/>
    </row>
    <row r="765" ht="15.75" customHeight="1">
      <c r="A765" s="1"/>
      <c r="F765" s="203"/>
      <c r="G765" s="3"/>
      <c r="H765" s="1"/>
    </row>
    <row r="766" ht="15.75" customHeight="1">
      <c r="A766" s="1"/>
      <c r="F766" s="203"/>
      <c r="G766" s="3"/>
      <c r="H766" s="1"/>
    </row>
    <row r="767" ht="15.75" customHeight="1">
      <c r="A767" s="1"/>
      <c r="F767" s="203"/>
      <c r="G767" s="3"/>
      <c r="H767" s="1"/>
    </row>
    <row r="768" ht="15.75" customHeight="1">
      <c r="A768" s="1"/>
      <c r="F768" s="203"/>
      <c r="G768" s="3"/>
      <c r="H768" s="1"/>
    </row>
    <row r="769" ht="15.75" customHeight="1">
      <c r="A769" s="1"/>
      <c r="F769" s="203"/>
      <c r="G769" s="3"/>
      <c r="H769" s="1"/>
    </row>
    <row r="770" ht="15.75" customHeight="1">
      <c r="A770" s="1"/>
      <c r="F770" s="203"/>
      <c r="G770" s="3"/>
      <c r="H770" s="1"/>
    </row>
    <row r="771" ht="15.75" customHeight="1">
      <c r="A771" s="1"/>
      <c r="F771" s="203"/>
      <c r="G771" s="3"/>
      <c r="H771" s="1"/>
    </row>
    <row r="772" ht="15.75" customHeight="1">
      <c r="A772" s="1"/>
      <c r="F772" s="203"/>
      <c r="G772" s="3"/>
      <c r="H772" s="1"/>
    </row>
    <row r="773" ht="15.75" customHeight="1">
      <c r="A773" s="1"/>
      <c r="F773" s="203"/>
      <c r="G773" s="3"/>
      <c r="H773" s="1"/>
    </row>
    <row r="774" ht="15.75" customHeight="1">
      <c r="A774" s="1"/>
      <c r="F774" s="203"/>
      <c r="G774" s="3"/>
      <c r="H774" s="1"/>
    </row>
    <row r="775" ht="15.75" customHeight="1">
      <c r="A775" s="1"/>
      <c r="F775" s="203"/>
      <c r="G775" s="3"/>
      <c r="H775" s="1"/>
    </row>
    <row r="776" ht="15.75" customHeight="1">
      <c r="A776" s="1"/>
      <c r="F776" s="203"/>
      <c r="G776" s="3"/>
      <c r="H776" s="1"/>
    </row>
    <row r="777" ht="15.75" customHeight="1">
      <c r="A777" s="1"/>
      <c r="F777" s="203"/>
      <c r="G777" s="3"/>
      <c r="H777" s="1"/>
    </row>
    <row r="778" ht="15.75" customHeight="1">
      <c r="A778" s="1"/>
      <c r="F778" s="203"/>
      <c r="G778" s="3"/>
      <c r="H778" s="1"/>
    </row>
    <row r="779" ht="15.75" customHeight="1">
      <c r="A779" s="1"/>
      <c r="F779" s="203"/>
      <c r="G779" s="3"/>
      <c r="H779" s="1"/>
    </row>
    <row r="780" ht="15.75" customHeight="1">
      <c r="A780" s="1"/>
      <c r="F780" s="203"/>
      <c r="G780" s="3"/>
      <c r="H780" s="1"/>
    </row>
    <row r="781" ht="15.75" customHeight="1">
      <c r="A781" s="1"/>
      <c r="F781" s="203"/>
      <c r="G781" s="3"/>
      <c r="H781" s="1"/>
    </row>
    <row r="782" ht="15.75" customHeight="1">
      <c r="A782" s="1"/>
      <c r="F782" s="203"/>
      <c r="G782" s="3"/>
      <c r="H782" s="1"/>
    </row>
    <row r="783" ht="15.75" customHeight="1">
      <c r="A783" s="1"/>
      <c r="F783" s="203"/>
      <c r="G783" s="3"/>
      <c r="H783" s="1"/>
    </row>
    <row r="784" ht="15.75" customHeight="1">
      <c r="A784" s="1"/>
      <c r="F784" s="203"/>
      <c r="G784" s="3"/>
      <c r="H784" s="1"/>
    </row>
    <row r="785" ht="15.75" customHeight="1">
      <c r="A785" s="1"/>
      <c r="F785" s="203"/>
      <c r="G785" s="3"/>
      <c r="H785" s="1"/>
    </row>
    <row r="786" ht="15.75" customHeight="1">
      <c r="A786" s="1"/>
      <c r="F786" s="203"/>
      <c r="G786" s="3"/>
      <c r="H786" s="1"/>
    </row>
    <row r="787" ht="15.75" customHeight="1">
      <c r="A787" s="1"/>
      <c r="F787" s="203"/>
      <c r="G787" s="3"/>
      <c r="H787" s="1"/>
    </row>
    <row r="788" ht="15.75" customHeight="1">
      <c r="A788" s="1"/>
      <c r="F788" s="203"/>
      <c r="G788" s="3"/>
      <c r="H788" s="1"/>
    </row>
    <row r="789" ht="15.75" customHeight="1">
      <c r="A789" s="1"/>
      <c r="F789" s="203"/>
      <c r="G789" s="3"/>
      <c r="H789" s="1"/>
    </row>
    <row r="790" ht="15.75" customHeight="1">
      <c r="A790" s="1"/>
      <c r="F790" s="203"/>
      <c r="G790" s="3"/>
      <c r="H790" s="1"/>
    </row>
    <row r="791" ht="15.75" customHeight="1">
      <c r="A791" s="1"/>
      <c r="F791" s="203"/>
      <c r="G791" s="3"/>
      <c r="H791" s="1"/>
    </row>
    <row r="792" ht="15.75" customHeight="1">
      <c r="A792" s="1"/>
      <c r="F792" s="203"/>
      <c r="G792" s="3"/>
      <c r="H792" s="1"/>
    </row>
    <row r="793" ht="15.75" customHeight="1">
      <c r="A793" s="1"/>
      <c r="F793" s="203"/>
      <c r="G793" s="3"/>
      <c r="H793" s="1"/>
    </row>
    <row r="794" ht="15.75" customHeight="1">
      <c r="A794" s="1"/>
      <c r="F794" s="203"/>
      <c r="G794" s="3"/>
      <c r="H794" s="1"/>
    </row>
    <row r="795" ht="15.75" customHeight="1">
      <c r="A795" s="1"/>
      <c r="F795" s="203"/>
      <c r="G795" s="3"/>
      <c r="H795" s="1"/>
    </row>
    <row r="796" ht="15.75" customHeight="1">
      <c r="A796" s="1"/>
      <c r="F796" s="203"/>
      <c r="G796" s="3"/>
      <c r="H796" s="1"/>
    </row>
    <row r="797" ht="15.75" customHeight="1">
      <c r="A797" s="1"/>
      <c r="F797" s="203"/>
      <c r="G797" s="3"/>
      <c r="H797" s="1"/>
    </row>
    <row r="798" ht="15.75" customHeight="1">
      <c r="A798" s="1"/>
      <c r="F798" s="203"/>
      <c r="G798" s="3"/>
      <c r="H798" s="1"/>
    </row>
    <row r="799" ht="15.75" customHeight="1">
      <c r="A799" s="1"/>
      <c r="F799" s="203"/>
      <c r="G799" s="3"/>
      <c r="H799" s="1"/>
    </row>
    <row r="800" ht="15.75" customHeight="1">
      <c r="A800" s="1"/>
      <c r="F800" s="203"/>
      <c r="G800" s="3"/>
      <c r="H800" s="1"/>
    </row>
    <row r="801" ht="15.75" customHeight="1">
      <c r="A801" s="1"/>
      <c r="F801" s="203"/>
      <c r="G801" s="3"/>
      <c r="H801" s="1"/>
    </row>
    <row r="802" ht="15.75" customHeight="1">
      <c r="A802" s="1"/>
      <c r="F802" s="203"/>
      <c r="G802" s="3"/>
      <c r="H802" s="1"/>
    </row>
    <row r="803" ht="15.75" customHeight="1">
      <c r="A803" s="1"/>
      <c r="F803" s="203"/>
      <c r="G803" s="3"/>
      <c r="H803" s="1"/>
    </row>
    <row r="804" ht="15.75" customHeight="1">
      <c r="A804" s="1"/>
      <c r="F804" s="203"/>
      <c r="G804" s="3"/>
      <c r="H804" s="1"/>
    </row>
    <row r="805" ht="15.75" customHeight="1">
      <c r="A805" s="1"/>
      <c r="F805" s="203"/>
      <c r="G805" s="3"/>
      <c r="H805" s="1"/>
    </row>
    <row r="806" ht="15.75" customHeight="1">
      <c r="A806" s="1"/>
      <c r="F806" s="203"/>
      <c r="G806" s="3"/>
      <c r="H806" s="1"/>
    </row>
    <row r="807" ht="15.75" customHeight="1">
      <c r="A807" s="1"/>
      <c r="F807" s="203"/>
      <c r="G807" s="3"/>
      <c r="H807" s="1"/>
    </row>
    <row r="808" ht="15.75" customHeight="1">
      <c r="A808" s="1"/>
      <c r="F808" s="203"/>
      <c r="G808" s="3"/>
      <c r="H808" s="1"/>
    </row>
    <row r="809" ht="15.75" customHeight="1">
      <c r="A809" s="1"/>
      <c r="F809" s="203"/>
      <c r="G809" s="3"/>
      <c r="H809" s="1"/>
    </row>
    <row r="810" ht="15.75" customHeight="1">
      <c r="A810" s="1"/>
      <c r="F810" s="203"/>
      <c r="G810" s="3"/>
      <c r="H810" s="1"/>
    </row>
    <row r="811" ht="15.75" customHeight="1">
      <c r="A811" s="1"/>
      <c r="F811" s="203"/>
      <c r="G811" s="3"/>
      <c r="H811" s="1"/>
    </row>
    <row r="812" ht="15.75" customHeight="1">
      <c r="A812" s="1"/>
      <c r="F812" s="203"/>
      <c r="G812" s="3"/>
      <c r="H812" s="1"/>
    </row>
    <row r="813" ht="15.75" customHeight="1">
      <c r="A813" s="1"/>
      <c r="F813" s="203"/>
      <c r="G813" s="3"/>
      <c r="H813" s="1"/>
    </row>
    <row r="814" ht="15.75" customHeight="1">
      <c r="A814" s="1"/>
      <c r="F814" s="203"/>
      <c r="G814" s="3"/>
      <c r="H814" s="1"/>
    </row>
    <row r="815" ht="15.75" customHeight="1">
      <c r="A815" s="1"/>
      <c r="F815" s="203"/>
      <c r="G815" s="3"/>
      <c r="H815" s="1"/>
    </row>
    <row r="816" ht="15.75" customHeight="1">
      <c r="A816" s="1"/>
      <c r="F816" s="203"/>
      <c r="G816" s="3"/>
      <c r="H816" s="1"/>
    </row>
    <row r="817" ht="15.75" customHeight="1">
      <c r="A817" s="1"/>
      <c r="F817" s="203"/>
      <c r="G817" s="3"/>
      <c r="H817" s="1"/>
    </row>
    <row r="818" ht="15.75" customHeight="1">
      <c r="A818" s="1"/>
      <c r="F818" s="203"/>
      <c r="G818" s="3"/>
      <c r="H818" s="1"/>
    </row>
    <row r="819" ht="15.75" customHeight="1">
      <c r="A819" s="1"/>
      <c r="F819" s="203"/>
      <c r="G819" s="3"/>
      <c r="H819" s="1"/>
    </row>
    <row r="820" ht="15.75" customHeight="1">
      <c r="A820" s="1"/>
      <c r="F820" s="203"/>
      <c r="G820" s="3"/>
      <c r="H820" s="1"/>
    </row>
    <row r="821" ht="15.75" customHeight="1">
      <c r="A821" s="1"/>
      <c r="F821" s="203"/>
      <c r="G821" s="3"/>
      <c r="H821" s="1"/>
    </row>
    <row r="822" ht="15.75" customHeight="1">
      <c r="A822" s="1"/>
      <c r="F822" s="203"/>
      <c r="G822" s="3"/>
      <c r="H822" s="1"/>
    </row>
    <row r="823" ht="15.75" customHeight="1">
      <c r="A823" s="1"/>
      <c r="F823" s="203"/>
      <c r="G823" s="3"/>
      <c r="H823" s="1"/>
    </row>
    <row r="824" ht="15.75" customHeight="1">
      <c r="A824" s="1"/>
      <c r="F824" s="203"/>
      <c r="G824" s="3"/>
      <c r="H824" s="1"/>
    </row>
    <row r="825" ht="15.75" customHeight="1">
      <c r="A825" s="1"/>
      <c r="F825" s="203"/>
      <c r="G825" s="3"/>
      <c r="H825" s="1"/>
    </row>
    <row r="826" ht="15.75" customHeight="1">
      <c r="A826" s="1"/>
      <c r="F826" s="203"/>
      <c r="G826" s="3"/>
      <c r="H826" s="1"/>
    </row>
    <row r="827" ht="15.75" customHeight="1">
      <c r="A827" s="1"/>
      <c r="F827" s="203"/>
      <c r="G827" s="3"/>
      <c r="H827" s="1"/>
    </row>
    <row r="828" ht="15.75" customHeight="1">
      <c r="A828" s="1"/>
      <c r="F828" s="203"/>
      <c r="G828" s="3"/>
      <c r="H828" s="1"/>
    </row>
    <row r="829" ht="15.75" customHeight="1">
      <c r="A829" s="1"/>
      <c r="F829" s="203"/>
      <c r="G829" s="3"/>
      <c r="H829" s="1"/>
    </row>
    <row r="830" ht="15.75" customHeight="1">
      <c r="A830" s="1"/>
      <c r="F830" s="203"/>
      <c r="G830" s="3"/>
      <c r="H830" s="1"/>
    </row>
    <row r="831" ht="15.75" customHeight="1">
      <c r="A831" s="1"/>
      <c r="F831" s="203"/>
      <c r="G831" s="3"/>
      <c r="H831" s="1"/>
    </row>
    <row r="832" ht="15.75" customHeight="1">
      <c r="A832" s="1"/>
      <c r="F832" s="203"/>
      <c r="G832" s="3"/>
      <c r="H832" s="1"/>
    </row>
    <row r="833" ht="15.75" customHeight="1">
      <c r="A833" s="1"/>
      <c r="F833" s="203"/>
      <c r="G833" s="3"/>
      <c r="H833" s="1"/>
    </row>
    <row r="834" ht="15.75" customHeight="1">
      <c r="A834" s="1"/>
      <c r="F834" s="203"/>
      <c r="G834" s="3"/>
      <c r="H834" s="1"/>
    </row>
    <row r="835" ht="15.75" customHeight="1">
      <c r="A835" s="1"/>
      <c r="F835" s="203"/>
      <c r="G835" s="3"/>
      <c r="H835" s="1"/>
    </row>
    <row r="836" ht="15.75" customHeight="1">
      <c r="A836" s="1"/>
      <c r="F836" s="203"/>
      <c r="G836" s="3"/>
      <c r="H836" s="1"/>
    </row>
    <row r="837" ht="15.75" customHeight="1">
      <c r="A837" s="1"/>
      <c r="F837" s="203"/>
      <c r="G837" s="3"/>
      <c r="H837" s="1"/>
    </row>
    <row r="838" ht="15.75" customHeight="1">
      <c r="A838" s="1"/>
      <c r="F838" s="203"/>
      <c r="G838" s="3"/>
      <c r="H838" s="1"/>
    </row>
    <row r="839" ht="15.75" customHeight="1">
      <c r="A839" s="1"/>
      <c r="F839" s="203"/>
      <c r="G839" s="3"/>
      <c r="H839" s="1"/>
    </row>
    <row r="840" ht="15.75" customHeight="1">
      <c r="A840" s="1"/>
      <c r="F840" s="203"/>
      <c r="G840" s="3"/>
      <c r="H840" s="1"/>
    </row>
    <row r="841" ht="15.75" customHeight="1">
      <c r="A841" s="1"/>
      <c r="F841" s="203"/>
      <c r="G841" s="3"/>
      <c r="H841" s="1"/>
    </row>
    <row r="842" ht="15.75" customHeight="1">
      <c r="A842" s="1"/>
      <c r="F842" s="203"/>
      <c r="G842" s="3"/>
      <c r="H842" s="1"/>
    </row>
    <row r="843" ht="15.75" customHeight="1">
      <c r="A843" s="1"/>
      <c r="F843" s="203"/>
      <c r="G843" s="3"/>
      <c r="H843" s="1"/>
    </row>
    <row r="844" ht="15.75" customHeight="1">
      <c r="A844" s="1"/>
      <c r="F844" s="203"/>
      <c r="G844" s="3"/>
      <c r="H844" s="1"/>
    </row>
    <row r="845" ht="15.75" customHeight="1">
      <c r="A845" s="1"/>
      <c r="F845" s="203"/>
      <c r="G845" s="3"/>
      <c r="H845" s="1"/>
    </row>
    <row r="846" ht="15.75" customHeight="1">
      <c r="A846" s="1"/>
      <c r="F846" s="203"/>
      <c r="G846" s="3"/>
      <c r="H846" s="1"/>
    </row>
    <row r="847" ht="15.75" customHeight="1">
      <c r="A847" s="1"/>
      <c r="F847" s="203"/>
      <c r="G847" s="3"/>
      <c r="H847" s="1"/>
    </row>
    <row r="848" ht="15.75" customHeight="1">
      <c r="A848" s="1"/>
      <c r="F848" s="203"/>
      <c r="G848" s="3"/>
      <c r="H848" s="1"/>
    </row>
    <row r="849" ht="15.75" customHeight="1">
      <c r="A849" s="1"/>
      <c r="F849" s="203"/>
      <c r="G849" s="3"/>
      <c r="H849" s="1"/>
    </row>
    <row r="850" ht="15.75" customHeight="1">
      <c r="A850" s="1"/>
      <c r="F850" s="203"/>
      <c r="G850" s="3"/>
      <c r="H850" s="1"/>
    </row>
    <row r="851" ht="15.75" customHeight="1">
      <c r="A851" s="1"/>
      <c r="F851" s="203"/>
      <c r="G851" s="3"/>
      <c r="H851" s="1"/>
    </row>
    <row r="852" ht="15.75" customHeight="1">
      <c r="A852" s="1"/>
      <c r="F852" s="203"/>
      <c r="G852" s="3"/>
      <c r="H852" s="1"/>
    </row>
    <row r="853" ht="15.75" customHeight="1">
      <c r="A853" s="1"/>
      <c r="F853" s="203"/>
      <c r="G853" s="3"/>
      <c r="H853" s="1"/>
    </row>
    <row r="854" ht="15.75" customHeight="1">
      <c r="A854" s="1"/>
      <c r="F854" s="203"/>
      <c r="G854" s="3"/>
      <c r="H854" s="1"/>
    </row>
    <row r="855" ht="15.75" customHeight="1">
      <c r="A855" s="1"/>
      <c r="F855" s="203"/>
      <c r="G855" s="3"/>
      <c r="H855" s="1"/>
    </row>
    <row r="856" ht="15.75" customHeight="1">
      <c r="A856" s="1"/>
      <c r="F856" s="203"/>
      <c r="G856" s="3"/>
      <c r="H856" s="1"/>
    </row>
    <row r="857" ht="15.75" customHeight="1">
      <c r="A857" s="1"/>
      <c r="F857" s="203"/>
      <c r="G857" s="3"/>
      <c r="H857" s="1"/>
    </row>
    <row r="858" ht="15.75" customHeight="1">
      <c r="A858" s="1"/>
      <c r="F858" s="203"/>
      <c r="G858" s="3"/>
      <c r="H858" s="1"/>
    </row>
    <row r="859" ht="15.75" customHeight="1">
      <c r="A859" s="1"/>
      <c r="F859" s="203"/>
      <c r="G859" s="3"/>
      <c r="H859" s="1"/>
    </row>
    <row r="860" ht="15.75" customHeight="1">
      <c r="A860" s="1"/>
      <c r="F860" s="203"/>
      <c r="G860" s="3"/>
      <c r="H860" s="1"/>
    </row>
    <row r="861" ht="15.75" customHeight="1">
      <c r="A861" s="1"/>
      <c r="F861" s="203"/>
      <c r="G861" s="3"/>
      <c r="H861" s="1"/>
    </row>
    <row r="862" ht="15.75" customHeight="1">
      <c r="A862" s="1"/>
      <c r="F862" s="203"/>
      <c r="G862" s="3"/>
      <c r="H862" s="1"/>
    </row>
    <row r="863" ht="15.75" customHeight="1">
      <c r="A863" s="1"/>
      <c r="F863" s="203"/>
      <c r="G863" s="3"/>
      <c r="H863" s="1"/>
    </row>
    <row r="864" ht="15.75" customHeight="1">
      <c r="A864" s="1"/>
      <c r="F864" s="203"/>
      <c r="G864" s="3"/>
      <c r="H864" s="1"/>
    </row>
    <row r="865" ht="15.75" customHeight="1">
      <c r="A865" s="1"/>
      <c r="F865" s="203"/>
      <c r="G865" s="3"/>
      <c r="H865" s="1"/>
    </row>
    <row r="866" ht="15.75" customHeight="1">
      <c r="A866" s="1"/>
      <c r="F866" s="203"/>
      <c r="G866" s="3"/>
      <c r="H866" s="1"/>
    </row>
    <row r="867" ht="15.75" customHeight="1">
      <c r="A867" s="1"/>
      <c r="F867" s="203"/>
      <c r="G867" s="3"/>
      <c r="H867" s="1"/>
    </row>
    <row r="868" ht="15.75" customHeight="1">
      <c r="A868" s="1"/>
      <c r="F868" s="203"/>
      <c r="G868" s="3"/>
      <c r="H868" s="1"/>
    </row>
    <row r="869" ht="15.75" customHeight="1">
      <c r="A869" s="1"/>
      <c r="F869" s="203"/>
      <c r="G869" s="3"/>
      <c r="H869" s="1"/>
    </row>
    <row r="870" ht="15.75" customHeight="1">
      <c r="A870" s="1"/>
      <c r="F870" s="203"/>
      <c r="G870" s="3"/>
      <c r="H870" s="1"/>
    </row>
    <row r="871" ht="15.75" customHeight="1">
      <c r="A871" s="1"/>
      <c r="F871" s="203"/>
      <c r="G871" s="3"/>
      <c r="H871" s="1"/>
    </row>
    <row r="872" ht="15.75" customHeight="1">
      <c r="A872" s="1"/>
      <c r="F872" s="203"/>
      <c r="G872" s="3"/>
      <c r="H872" s="1"/>
    </row>
    <row r="873" ht="15.75" customHeight="1">
      <c r="A873" s="1"/>
      <c r="F873" s="203"/>
      <c r="G873" s="3"/>
      <c r="H873" s="1"/>
    </row>
    <row r="874" ht="15.75" customHeight="1">
      <c r="A874" s="1"/>
      <c r="F874" s="203"/>
      <c r="G874" s="3"/>
      <c r="H874" s="1"/>
    </row>
    <row r="875" ht="15.75" customHeight="1">
      <c r="A875" s="1"/>
      <c r="F875" s="203"/>
      <c r="G875" s="3"/>
      <c r="H875" s="1"/>
    </row>
    <row r="876" ht="15.75" customHeight="1">
      <c r="A876" s="1"/>
      <c r="F876" s="203"/>
      <c r="G876" s="3"/>
      <c r="H876" s="1"/>
    </row>
    <row r="877" ht="15.75" customHeight="1">
      <c r="A877" s="1"/>
      <c r="F877" s="203"/>
      <c r="G877" s="3"/>
      <c r="H877" s="1"/>
    </row>
    <row r="878" ht="15.75" customHeight="1">
      <c r="A878" s="1"/>
      <c r="F878" s="203"/>
      <c r="G878" s="3"/>
      <c r="H878" s="1"/>
    </row>
    <row r="879" ht="15.75" customHeight="1">
      <c r="A879" s="1"/>
      <c r="F879" s="203"/>
      <c r="G879" s="3"/>
      <c r="H879" s="1"/>
    </row>
    <row r="880" ht="15.75" customHeight="1">
      <c r="A880" s="1"/>
      <c r="F880" s="203"/>
      <c r="G880" s="3"/>
      <c r="H880" s="1"/>
    </row>
    <row r="881" ht="15.75" customHeight="1">
      <c r="A881" s="1"/>
      <c r="F881" s="203"/>
      <c r="G881" s="3"/>
      <c r="H881" s="1"/>
    </row>
    <row r="882" ht="15.75" customHeight="1">
      <c r="A882" s="1"/>
      <c r="F882" s="203"/>
      <c r="G882" s="3"/>
      <c r="H882" s="1"/>
    </row>
    <row r="883" ht="15.75" customHeight="1">
      <c r="A883" s="1"/>
      <c r="F883" s="203"/>
      <c r="G883" s="3"/>
      <c r="H883" s="1"/>
    </row>
    <row r="884" ht="15.75" customHeight="1">
      <c r="A884" s="1"/>
      <c r="F884" s="203"/>
      <c r="G884" s="3"/>
      <c r="H884" s="1"/>
    </row>
    <row r="885" ht="15.75" customHeight="1">
      <c r="A885" s="1"/>
      <c r="F885" s="203"/>
      <c r="G885" s="3"/>
      <c r="H885" s="1"/>
    </row>
    <row r="886" ht="15.75" customHeight="1">
      <c r="A886" s="1"/>
      <c r="F886" s="203"/>
      <c r="G886" s="3"/>
      <c r="H886" s="1"/>
    </row>
    <row r="887" ht="15.75" customHeight="1">
      <c r="A887" s="1"/>
      <c r="F887" s="203"/>
      <c r="G887" s="3"/>
      <c r="H887" s="1"/>
    </row>
    <row r="888" ht="15.75" customHeight="1">
      <c r="A888" s="1"/>
      <c r="F888" s="203"/>
      <c r="G888" s="3"/>
      <c r="H888" s="1"/>
    </row>
    <row r="889" ht="15.75" customHeight="1">
      <c r="A889" s="1"/>
      <c r="F889" s="203"/>
      <c r="G889" s="3"/>
      <c r="H889" s="1"/>
    </row>
    <row r="890" ht="15.75" customHeight="1">
      <c r="A890" s="1"/>
      <c r="F890" s="203"/>
      <c r="G890" s="3"/>
      <c r="H890" s="1"/>
    </row>
    <row r="891" ht="15.75" customHeight="1">
      <c r="A891" s="1"/>
      <c r="F891" s="203"/>
      <c r="G891" s="3"/>
      <c r="H891" s="1"/>
    </row>
    <row r="892" ht="15.75" customHeight="1">
      <c r="A892" s="1"/>
      <c r="F892" s="203"/>
      <c r="G892" s="3"/>
      <c r="H892" s="1"/>
    </row>
    <row r="893" ht="15.75" customHeight="1">
      <c r="A893" s="1"/>
      <c r="F893" s="203"/>
      <c r="G893" s="3"/>
      <c r="H893" s="1"/>
    </row>
    <row r="894" ht="15.75" customHeight="1">
      <c r="A894" s="1"/>
      <c r="F894" s="203"/>
      <c r="G894" s="3"/>
      <c r="H894" s="1"/>
    </row>
    <row r="895" ht="15.75" customHeight="1">
      <c r="A895" s="1"/>
      <c r="F895" s="203"/>
      <c r="G895" s="3"/>
      <c r="H895" s="1"/>
    </row>
    <row r="896" ht="15.75" customHeight="1">
      <c r="A896" s="1"/>
      <c r="F896" s="203"/>
      <c r="G896" s="3"/>
      <c r="H896" s="1"/>
    </row>
    <row r="897" ht="15.75" customHeight="1">
      <c r="A897" s="1"/>
      <c r="F897" s="203"/>
      <c r="G897" s="3"/>
      <c r="H897" s="1"/>
    </row>
    <row r="898" ht="15.75" customHeight="1">
      <c r="A898" s="1"/>
      <c r="F898" s="203"/>
      <c r="G898" s="3"/>
      <c r="H898" s="1"/>
    </row>
    <row r="899" ht="15.75" customHeight="1">
      <c r="A899" s="1"/>
      <c r="F899" s="203"/>
      <c r="G899" s="3"/>
      <c r="H899" s="1"/>
    </row>
    <row r="900" ht="15.75" customHeight="1">
      <c r="A900" s="1"/>
      <c r="F900" s="203"/>
      <c r="G900" s="3"/>
      <c r="H900" s="1"/>
    </row>
    <row r="901" ht="15.75" customHeight="1">
      <c r="A901" s="1"/>
      <c r="F901" s="203"/>
      <c r="G901" s="3"/>
      <c r="H901" s="1"/>
    </row>
    <row r="902" ht="15.75" customHeight="1">
      <c r="A902" s="1"/>
      <c r="F902" s="203"/>
      <c r="G902" s="3"/>
      <c r="H902" s="1"/>
    </row>
    <row r="903" ht="15.75" customHeight="1">
      <c r="A903" s="1"/>
      <c r="F903" s="203"/>
      <c r="G903" s="3"/>
      <c r="H903" s="1"/>
    </row>
    <row r="904" ht="15.75" customHeight="1">
      <c r="A904" s="1"/>
      <c r="F904" s="203"/>
      <c r="G904" s="3"/>
      <c r="H904" s="1"/>
    </row>
    <row r="905" ht="15.75" customHeight="1">
      <c r="A905" s="1"/>
      <c r="F905" s="203"/>
      <c r="G905" s="3"/>
      <c r="H905" s="1"/>
    </row>
    <row r="906" ht="15.75" customHeight="1">
      <c r="A906" s="1"/>
      <c r="F906" s="203"/>
      <c r="G906" s="3"/>
      <c r="H906" s="1"/>
    </row>
    <row r="907" ht="15.75" customHeight="1">
      <c r="A907" s="1"/>
      <c r="F907" s="203"/>
      <c r="G907" s="3"/>
      <c r="H907" s="1"/>
    </row>
    <row r="908" ht="15.75" customHeight="1">
      <c r="A908" s="1"/>
      <c r="F908" s="203"/>
      <c r="G908" s="3"/>
      <c r="H908" s="1"/>
    </row>
    <row r="909" ht="15.75" customHeight="1">
      <c r="A909" s="1"/>
      <c r="F909" s="203"/>
      <c r="G909" s="3"/>
      <c r="H909" s="1"/>
    </row>
    <row r="910" ht="15.75" customHeight="1">
      <c r="A910" s="1"/>
      <c r="F910" s="203"/>
      <c r="G910" s="3"/>
      <c r="H910" s="1"/>
    </row>
    <row r="911" ht="15.75" customHeight="1">
      <c r="A911" s="1"/>
      <c r="F911" s="203"/>
      <c r="G911" s="3"/>
      <c r="H911" s="1"/>
    </row>
    <row r="912" ht="15.75" customHeight="1">
      <c r="A912" s="1"/>
      <c r="F912" s="203"/>
      <c r="G912" s="3"/>
      <c r="H912" s="1"/>
    </row>
    <row r="913" ht="15.75" customHeight="1">
      <c r="A913" s="1"/>
      <c r="F913" s="203"/>
      <c r="G913" s="3"/>
      <c r="H913" s="1"/>
    </row>
    <row r="914" ht="15.75" customHeight="1">
      <c r="A914" s="1"/>
      <c r="F914" s="203"/>
      <c r="G914" s="3"/>
      <c r="H914" s="1"/>
    </row>
    <row r="915" ht="15.75" customHeight="1">
      <c r="A915" s="1"/>
      <c r="F915" s="203"/>
      <c r="G915" s="3"/>
      <c r="H915" s="1"/>
    </row>
    <row r="916" ht="15.75" customHeight="1">
      <c r="A916" s="1"/>
      <c r="F916" s="203"/>
      <c r="G916" s="3"/>
      <c r="H916" s="1"/>
    </row>
    <row r="917" ht="15.75" customHeight="1">
      <c r="A917" s="1"/>
      <c r="F917" s="203"/>
      <c r="G917" s="3"/>
      <c r="H917" s="1"/>
    </row>
    <row r="918" ht="15.75" customHeight="1">
      <c r="A918" s="1"/>
      <c r="F918" s="203"/>
      <c r="G918" s="3"/>
      <c r="H918" s="1"/>
    </row>
    <row r="919" ht="15.75" customHeight="1">
      <c r="A919" s="1"/>
      <c r="F919" s="203"/>
      <c r="G919" s="3"/>
      <c r="H919" s="1"/>
    </row>
    <row r="920" ht="15.75" customHeight="1">
      <c r="A920" s="1"/>
      <c r="F920" s="203"/>
      <c r="G920" s="3"/>
      <c r="H920" s="1"/>
    </row>
    <row r="921" ht="15.75" customHeight="1">
      <c r="A921" s="1"/>
      <c r="F921" s="203"/>
      <c r="G921" s="3"/>
      <c r="H921" s="1"/>
    </row>
    <row r="922" ht="15.75" customHeight="1">
      <c r="A922" s="1"/>
      <c r="F922" s="203"/>
      <c r="G922" s="3"/>
      <c r="H922" s="1"/>
    </row>
    <row r="923" ht="15.75" customHeight="1">
      <c r="A923" s="1"/>
      <c r="F923" s="203"/>
      <c r="G923" s="3"/>
      <c r="H923" s="1"/>
    </row>
    <row r="924" ht="15.75" customHeight="1">
      <c r="A924" s="1"/>
      <c r="F924" s="203"/>
      <c r="G924" s="3"/>
      <c r="H924" s="1"/>
    </row>
    <row r="925" ht="15.75" customHeight="1">
      <c r="A925" s="1"/>
      <c r="F925" s="203"/>
      <c r="G925" s="3"/>
      <c r="H925" s="1"/>
    </row>
    <row r="926" ht="15.75" customHeight="1">
      <c r="A926" s="1"/>
      <c r="F926" s="203"/>
      <c r="G926" s="3"/>
      <c r="H926" s="1"/>
    </row>
    <row r="927" ht="15.75" customHeight="1">
      <c r="A927" s="1"/>
      <c r="F927" s="203"/>
      <c r="G927" s="3"/>
      <c r="H927" s="1"/>
    </row>
    <row r="928" ht="15.75" customHeight="1">
      <c r="A928" s="1"/>
      <c r="F928" s="203"/>
      <c r="G928" s="3"/>
      <c r="H928" s="1"/>
    </row>
    <row r="929" ht="15.75" customHeight="1">
      <c r="A929" s="1"/>
      <c r="F929" s="203"/>
      <c r="G929" s="3"/>
      <c r="H929" s="1"/>
    </row>
    <row r="930" ht="15.75" customHeight="1">
      <c r="A930" s="1"/>
      <c r="F930" s="203"/>
      <c r="G930" s="3"/>
      <c r="H930" s="1"/>
    </row>
    <row r="931" ht="15.75" customHeight="1">
      <c r="A931" s="1"/>
      <c r="F931" s="203"/>
      <c r="G931" s="3"/>
      <c r="H931" s="1"/>
    </row>
    <row r="932" ht="15.75" customHeight="1">
      <c r="A932" s="1"/>
      <c r="F932" s="203"/>
      <c r="G932" s="3"/>
      <c r="H932" s="1"/>
    </row>
    <row r="933" ht="15.75" customHeight="1">
      <c r="A933" s="1"/>
      <c r="F933" s="203"/>
      <c r="G933" s="3"/>
      <c r="H933" s="1"/>
    </row>
    <row r="934" ht="15.75" customHeight="1">
      <c r="A934" s="1"/>
      <c r="F934" s="203"/>
      <c r="G934" s="3"/>
      <c r="H934" s="1"/>
    </row>
    <row r="935" ht="15.75" customHeight="1">
      <c r="A935" s="1"/>
      <c r="F935" s="203"/>
      <c r="G935" s="3"/>
      <c r="H935" s="1"/>
    </row>
    <row r="936" ht="15.75" customHeight="1">
      <c r="A936" s="1"/>
      <c r="F936" s="203"/>
      <c r="G936" s="3"/>
      <c r="H936" s="1"/>
    </row>
    <row r="937" ht="15.75" customHeight="1">
      <c r="A937" s="1"/>
      <c r="F937" s="203"/>
      <c r="G937" s="3"/>
      <c r="H937" s="1"/>
    </row>
    <row r="938" ht="15.75" customHeight="1">
      <c r="A938" s="1"/>
      <c r="F938" s="203"/>
      <c r="G938" s="3"/>
      <c r="H938" s="1"/>
    </row>
    <row r="939" ht="15.75" customHeight="1">
      <c r="A939" s="1"/>
      <c r="F939" s="203"/>
      <c r="G939" s="3"/>
      <c r="H939" s="1"/>
    </row>
    <row r="940" ht="15.75" customHeight="1">
      <c r="A940" s="1"/>
      <c r="F940" s="203"/>
      <c r="G940" s="3"/>
      <c r="H940" s="1"/>
    </row>
    <row r="941" ht="15.75" customHeight="1">
      <c r="A941" s="1"/>
      <c r="F941" s="203"/>
      <c r="G941" s="3"/>
      <c r="H941" s="1"/>
    </row>
    <row r="942" ht="15.75" customHeight="1">
      <c r="A942" s="1"/>
      <c r="F942" s="203"/>
      <c r="G942" s="3"/>
      <c r="H942" s="1"/>
    </row>
    <row r="943" ht="15.75" customHeight="1">
      <c r="A943" s="1"/>
      <c r="F943" s="203"/>
      <c r="G943" s="3"/>
      <c r="H943" s="1"/>
    </row>
    <row r="944" ht="15.75" customHeight="1">
      <c r="A944" s="1"/>
      <c r="F944" s="203"/>
      <c r="G944" s="3"/>
      <c r="H944" s="1"/>
    </row>
    <row r="945" ht="15.75" customHeight="1">
      <c r="A945" s="1"/>
      <c r="F945" s="203"/>
      <c r="G945" s="3"/>
      <c r="H945" s="1"/>
    </row>
    <row r="946" ht="15.75" customHeight="1">
      <c r="A946" s="1"/>
      <c r="F946" s="203"/>
      <c r="G946" s="3"/>
      <c r="H946" s="1"/>
    </row>
    <row r="947" ht="15.75" customHeight="1">
      <c r="A947" s="1"/>
      <c r="F947" s="203"/>
      <c r="G947" s="3"/>
      <c r="H947" s="1"/>
    </row>
    <row r="948" ht="15.75" customHeight="1">
      <c r="A948" s="1"/>
      <c r="F948" s="203"/>
      <c r="G948" s="3"/>
      <c r="H948" s="1"/>
    </row>
    <row r="949" ht="15.75" customHeight="1">
      <c r="A949" s="1"/>
      <c r="F949" s="203"/>
      <c r="G949" s="3"/>
      <c r="H949" s="1"/>
    </row>
    <row r="950" ht="15.75" customHeight="1">
      <c r="A950" s="1"/>
      <c r="F950" s="203"/>
      <c r="G950" s="3"/>
      <c r="H950" s="1"/>
    </row>
    <row r="951" ht="15.75" customHeight="1">
      <c r="A951" s="1"/>
      <c r="F951" s="203"/>
      <c r="G951" s="3"/>
      <c r="H951" s="1"/>
    </row>
    <row r="952" ht="15.75" customHeight="1">
      <c r="A952" s="1"/>
      <c r="F952" s="203"/>
      <c r="G952" s="3"/>
      <c r="H952" s="1"/>
    </row>
    <row r="953" ht="15.75" customHeight="1">
      <c r="A953" s="1"/>
      <c r="F953" s="203"/>
      <c r="G953" s="3"/>
      <c r="H953" s="1"/>
    </row>
    <row r="954" ht="15.75" customHeight="1">
      <c r="A954" s="1"/>
      <c r="F954" s="203"/>
      <c r="G954" s="3"/>
      <c r="H954" s="1"/>
    </row>
    <row r="955" ht="15.75" customHeight="1">
      <c r="A955" s="1"/>
      <c r="F955" s="203"/>
      <c r="G955" s="3"/>
      <c r="H955" s="1"/>
    </row>
    <row r="956" ht="15.75" customHeight="1">
      <c r="A956" s="1"/>
      <c r="F956" s="203"/>
      <c r="G956" s="3"/>
      <c r="H956" s="1"/>
    </row>
    <row r="957" ht="15.75" customHeight="1">
      <c r="A957" s="1"/>
      <c r="F957" s="203"/>
      <c r="G957" s="3"/>
      <c r="H957" s="1"/>
    </row>
    <row r="958" ht="15.75" customHeight="1">
      <c r="A958" s="1"/>
      <c r="F958" s="203"/>
      <c r="G958" s="3"/>
      <c r="H958" s="1"/>
    </row>
    <row r="959" ht="15.75" customHeight="1">
      <c r="A959" s="1"/>
      <c r="F959" s="203"/>
      <c r="G959" s="3"/>
      <c r="H959" s="1"/>
    </row>
    <row r="960" ht="15.75" customHeight="1">
      <c r="A960" s="1"/>
      <c r="F960" s="203"/>
      <c r="G960" s="3"/>
      <c r="H960" s="1"/>
    </row>
    <row r="961" ht="15.75" customHeight="1">
      <c r="A961" s="1"/>
      <c r="F961" s="203"/>
      <c r="G961" s="3"/>
      <c r="H961" s="1"/>
    </row>
    <row r="962" ht="15.75" customHeight="1">
      <c r="A962" s="1"/>
      <c r="F962" s="203"/>
      <c r="G962" s="3"/>
      <c r="H962" s="1"/>
    </row>
    <row r="963" ht="15.75" customHeight="1">
      <c r="A963" s="1"/>
      <c r="F963" s="203"/>
      <c r="G963" s="3"/>
      <c r="H963" s="1"/>
    </row>
    <row r="964" ht="15.75" customHeight="1">
      <c r="A964" s="1"/>
      <c r="F964" s="203"/>
      <c r="G964" s="3"/>
      <c r="H964" s="1"/>
    </row>
    <row r="965" ht="15.75" customHeight="1">
      <c r="A965" s="1"/>
      <c r="F965" s="203"/>
      <c r="G965" s="3"/>
      <c r="H965" s="1"/>
    </row>
    <row r="966" ht="15.75" customHeight="1">
      <c r="A966" s="1"/>
      <c r="F966" s="203"/>
      <c r="G966" s="3"/>
      <c r="H966" s="1"/>
    </row>
    <row r="967" ht="15.75" customHeight="1">
      <c r="A967" s="1"/>
      <c r="F967" s="203"/>
      <c r="G967" s="3"/>
      <c r="H967" s="1"/>
    </row>
    <row r="968" ht="15.75" customHeight="1">
      <c r="A968" s="1"/>
      <c r="F968" s="203"/>
      <c r="G968" s="3"/>
      <c r="H968" s="1"/>
    </row>
    <row r="969" ht="15.75" customHeight="1">
      <c r="A969" s="1"/>
      <c r="F969" s="203"/>
      <c r="G969" s="3"/>
      <c r="H969" s="1"/>
    </row>
    <row r="970" ht="15.75" customHeight="1">
      <c r="A970" s="1"/>
      <c r="F970" s="203"/>
      <c r="G970" s="3"/>
      <c r="H970" s="1"/>
    </row>
    <row r="971" ht="15.75" customHeight="1">
      <c r="A971" s="1"/>
      <c r="F971" s="203"/>
      <c r="G971" s="3"/>
      <c r="H971" s="1"/>
    </row>
    <row r="972" ht="15.75" customHeight="1">
      <c r="A972" s="1"/>
      <c r="F972" s="203"/>
      <c r="G972" s="3"/>
      <c r="H972" s="1"/>
    </row>
    <row r="973" ht="15.75" customHeight="1">
      <c r="A973" s="1"/>
      <c r="F973" s="203"/>
      <c r="G973" s="3"/>
      <c r="H973" s="1"/>
    </row>
    <row r="974" ht="15.75" customHeight="1">
      <c r="A974" s="1"/>
      <c r="F974" s="203"/>
      <c r="G974" s="3"/>
      <c r="H974" s="1"/>
    </row>
    <row r="975" ht="15.75" customHeight="1">
      <c r="A975" s="1"/>
      <c r="F975" s="203"/>
      <c r="G975" s="3"/>
      <c r="H975" s="1"/>
    </row>
    <row r="976" ht="15.75" customHeight="1">
      <c r="A976" s="1"/>
      <c r="F976" s="203"/>
      <c r="G976" s="3"/>
      <c r="H976" s="1"/>
    </row>
    <row r="977" ht="15.75" customHeight="1">
      <c r="A977" s="1"/>
      <c r="F977" s="203"/>
      <c r="G977" s="3"/>
      <c r="H977" s="1"/>
    </row>
    <row r="978" ht="15.75" customHeight="1">
      <c r="A978" s="1"/>
      <c r="F978" s="203"/>
      <c r="G978" s="3"/>
      <c r="H978" s="1"/>
    </row>
    <row r="979" ht="15.75" customHeight="1">
      <c r="A979" s="1"/>
      <c r="F979" s="203"/>
      <c r="G979" s="3"/>
      <c r="H979" s="1"/>
    </row>
    <row r="980" ht="15.75" customHeight="1">
      <c r="A980" s="1"/>
      <c r="F980" s="203"/>
      <c r="G980" s="3"/>
      <c r="H980" s="1"/>
    </row>
    <row r="981" ht="15.75" customHeight="1">
      <c r="A981" s="1"/>
      <c r="F981" s="203"/>
      <c r="G981" s="3"/>
      <c r="H981" s="1"/>
    </row>
    <row r="982" ht="15.75" customHeight="1">
      <c r="A982" s="1"/>
      <c r="F982" s="203"/>
      <c r="G982" s="3"/>
      <c r="H982" s="1"/>
    </row>
    <row r="983" ht="15.75" customHeight="1">
      <c r="A983" s="1"/>
      <c r="F983" s="203"/>
      <c r="G983" s="3"/>
      <c r="H983" s="1"/>
    </row>
    <row r="984" ht="15.75" customHeight="1">
      <c r="A984" s="1"/>
      <c r="F984" s="203"/>
      <c r="G984" s="3"/>
      <c r="H984" s="1"/>
    </row>
    <row r="985" ht="15.75" customHeight="1">
      <c r="A985" s="1"/>
      <c r="F985" s="203"/>
      <c r="G985" s="3"/>
      <c r="H985" s="1"/>
    </row>
    <row r="986" ht="15.75" customHeight="1">
      <c r="A986" s="1"/>
      <c r="F986" s="203"/>
      <c r="G986" s="3"/>
      <c r="H986" s="1"/>
    </row>
    <row r="987" ht="15.75" customHeight="1">
      <c r="A987" s="1"/>
      <c r="F987" s="203"/>
      <c r="G987" s="3"/>
      <c r="H987" s="1"/>
    </row>
    <row r="988" ht="15.75" customHeight="1">
      <c r="A988" s="1"/>
      <c r="F988" s="203"/>
      <c r="G988" s="3"/>
      <c r="H988" s="1"/>
    </row>
    <row r="989" ht="15.75" customHeight="1">
      <c r="A989" s="1"/>
      <c r="F989" s="203"/>
      <c r="G989" s="3"/>
      <c r="H989" s="1"/>
    </row>
    <row r="990" ht="15.75" customHeight="1">
      <c r="A990" s="1"/>
      <c r="F990" s="203"/>
      <c r="G990" s="3"/>
      <c r="H990" s="1"/>
    </row>
    <row r="991" ht="15.75" customHeight="1">
      <c r="A991" s="1"/>
      <c r="F991" s="203"/>
      <c r="G991" s="3"/>
      <c r="H991" s="1"/>
    </row>
    <row r="992" ht="15.75" customHeight="1">
      <c r="A992" s="1"/>
      <c r="F992" s="203"/>
      <c r="G992" s="3"/>
      <c r="H992" s="1"/>
    </row>
    <row r="993" ht="15.75" customHeight="1">
      <c r="A993" s="1"/>
      <c r="F993" s="203"/>
      <c r="G993" s="3"/>
      <c r="H993" s="1"/>
    </row>
    <row r="994" ht="15.75" customHeight="1">
      <c r="A994" s="1"/>
      <c r="F994" s="203"/>
      <c r="G994" s="3"/>
      <c r="H994" s="1"/>
    </row>
    <row r="995" ht="15.75" customHeight="1">
      <c r="A995" s="1"/>
      <c r="F995" s="203"/>
      <c r="G995" s="3"/>
      <c r="H995" s="1"/>
    </row>
    <row r="996" ht="15.75" customHeight="1">
      <c r="A996" s="1"/>
      <c r="F996" s="203"/>
      <c r="G996" s="3"/>
      <c r="H996" s="1"/>
    </row>
    <row r="997" ht="15.75" customHeight="1">
      <c r="A997" s="1"/>
      <c r="F997" s="203"/>
      <c r="G997" s="3"/>
      <c r="H997" s="1"/>
    </row>
    <row r="998" ht="15.75" customHeight="1">
      <c r="A998" s="1"/>
      <c r="F998" s="203"/>
      <c r="G998" s="3"/>
      <c r="H998" s="1"/>
    </row>
    <row r="999" ht="15.75" customHeight="1">
      <c r="A999" s="1"/>
      <c r="F999" s="203"/>
      <c r="G999" s="3"/>
      <c r="H999" s="1"/>
    </row>
    <row r="1000" ht="15.75" customHeight="1">
      <c r="A1000" s="1"/>
      <c r="F1000" s="203"/>
      <c r="G1000" s="3"/>
      <c r="H1000" s="1"/>
    </row>
    <row r="1001" ht="15.75" customHeight="1">
      <c r="A1001" s="1"/>
      <c r="F1001" s="203"/>
      <c r="G1001" s="3"/>
      <c r="H1001" s="1"/>
    </row>
    <row r="1002" ht="15.75" customHeight="1">
      <c r="A1002" s="1"/>
      <c r="F1002" s="203"/>
      <c r="G1002" s="3"/>
      <c r="H1002" s="1"/>
    </row>
    <row r="1003" ht="15.75" customHeight="1">
      <c r="A1003" s="1"/>
      <c r="F1003" s="203"/>
      <c r="G1003" s="3"/>
      <c r="H1003" s="1"/>
    </row>
  </sheetData>
  <conditionalFormatting sqref="F3:F11 G3:G10 F13:G25">
    <cfRule type="cellIs" dxfId="0" priority="1" stopIfTrue="1" operator="greaterThan">
      <formula>0</formula>
    </cfRule>
  </conditionalFormatting>
  <conditionalFormatting sqref="F3:F11 G3:G10 F13:G25">
    <cfRule type="cellIs" dxfId="1" priority="2" stopIfTrue="1" operator="lessThanOrEqual">
      <formula>0</formula>
    </cfRule>
  </conditionalFormatting>
  <conditionalFormatting sqref="F26:G27">
    <cfRule type="cellIs" dxfId="0" priority="3" stopIfTrue="1" operator="greaterThan">
      <formula>0</formula>
    </cfRule>
  </conditionalFormatting>
  <conditionalFormatting sqref="F26:G27">
    <cfRule type="cellIs" dxfId="1" priority="4" stopIfTrue="1" operator="lessThanOrEqual">
      <formula>0</formula>
    </cfRule>
  </conditionalFormatting>
  <conditionalFormatting sqref="F27:G27">
    <cfRule type="cellIs" dxfId="0" priority="5" stopIfTrue="1" operator="greaterThan">
      <formula>0</formula>
    </cfRule>
  </conditionalFormatting>
  <conditionalFormatting sqref="F27:G27">
    <cfRule type="cellIs" dxfId="1" priority="6" stopIfTrue="1" operator="lessThanOrEqual">
      <formula>0</formula>
    </cfRule>
  </conditionalFormatting>
  <conditionalFormatting sqref="G11">
    <cfRule type="cellIs" dxfId="0" priority="7" stopIfTrue="1" operator="greaterThan">
      <formula>0</formula>
    </cfRule>
  </conditionalFormatting>
  <conditionalFormatting sqref="G11">
    <cfRule type="cellIs" dxfId="1" priority="8" stopIfTrue="1" operator="less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33.43"/>
    <col customWidth="1" min="3" max="5" width="11.29"/>
    <col customWidth="1" min="6" max="7" width="12.29"/>
    <col customWidth="1" min="8" max="10" width="11.29"/>
    <col customWidth="1" min="11" max="12" width="12.29"/>
    <col customWidth="1" min="13" max="15" width="11.29"/>
    <col customWidth="1" min="16" max="17" width="12.29"/>
    <col customWidth="1" min="18" max="26" width="8.71"/>
  </cols>
  <sheetData>
    <row r="1">
      <c r="A1" s="853"/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  <c r="Q1" s="853"/>
      <c r="R1" s="853"/>
      <c r="S1" s="853"/>
      <c r="T1" s="853"/>
      <c r="U1" s="853"/>
      <c r="V1" s="853"/>
      <c r="W1" s="853"/>
      <c r="X1" s="853"/>
      <c r="Y1" s="853"/>
      <c r="Z1" s="853"/>
    </row>
    <row r="2">
      <c r="A2" s="853"/>
      <c r="B2" s="853"/>
      <c r="C2" s="853"/>
      <c r="D2" s="853"/>
      <c r="E2" s="853"/>
      <c r="F2" s="853"/>
      <c r="G2" s="853"/>
      <c r="H2" s="853"/>
      <c r="I2" s="853"/>
      <c r="J2" s="853"/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853"/>
      <c r="V2" s="853"/>
      <c r="W2" s="853"/>
      <c r="X2" s="853"/>
      <c r="Y2" s="853"/>
      <c r="Z2" s="853"/>
    </row>
    <row r="3">
      <c r="A3" s="853"/>
      <c r="B3" s="1182" t="s">
        <v>464</v>
      </c>
      <c r="C3" s="1183" t="s">
        <v>9</v>
      </c>
      <c r="D3" s="27"/>
      <c r="E3" s="27"/>
      <c r="F3" s="27"/>
      <c r="G3" s="28"/>
      <c r="H3" s="1183" t="s">
        <v>15</v>
      </c>
      <c r="I3" s="27"/>
      <c r="J3" s="27"/>
      <c r="K3" s="27"/>
      <c r="L3" s="28"/>
      <c r="M3" s="1184" t="s">
        <v>3</v>
      </c>
      <c r="N3" s="27"/>
      <c r="O3" s="27"/>
      <c r="P3" s="27"/>
      <c r="Q3" s="28"/>
      <c r="R3" s="853"/>
      <c r="S3" s="853"/>
      <c r="T3" s="853"/>
      <c r="U3" s="853"/>
      <c r="V3" s="853"/>
      <c r="W3" s="853"/>
      <c r="X3" s="853"/>
      <c r="Y3" s="853"/>
      <c r="Z3" s="853"/>
    </row>
    <row r="4" ht="38.25" customHeight="1">
      <c r="A4" s="853"/>
      <c r="B4" s="38"/>
      <c r="C4" s="1185" t="s">
        <v>27</v>
      </c>
      <c r="D4" s="208" t="s">
        <v>30</v>
      </c>
      <c r="E4" s="208" t="s">
        <v>31</v>
      </c>
      <c r="F4" s="208" t="s">
        <v>32</v>
      </c>
      <c r="G4" s="1186" t="s">
        <v>34</v>
      </c>
      <c r="H4" s="1185" t="s">
        <v>27</v>
      </c>
      <c r="I4" s="208" t="s">
        <v>30</v>
      </c>
      <c r="J4" s="208" t="s">
        <v>31</v>
      </c>
      <c r="K4" s="208" t="s">
        <v>32</v>
      </c>
      <c r="L4" s="1186" t="s">
        <v>34</v>
      </c>
      <c r="M4" s="1185" t="s">
        <v>27</v>
      </c>
      <c r="N4" s="208" t="s">
        <v>30</v>
      </c>
      <c r="O4" s="208" t="s">
        <v>36</v>
      </c>
      <c r="P4" s="208" t="s">
        <v>38</v>
      </c>
      <c r="Q4" s="1186" t="s">
        <v>39</v>
      </c>
      <c r="R4" s="853"/>
      <c r="S4" s="853"/>
      <c r="T4" s="853"/>
      <c r="U4" s="853"/>
      <c r="V4" s="853"/>
      <c r="W4" s="853"/>
      <c r="X4" s="853"/>
      <c r="Y4" s="853"/>
      <c r="Z4" s="853"/>
    </row>
    <row r="5" ht="18.0" customHeight="1">
      <c r="A5" s="853"/>
      <c r="B5" s="1187" t="s">
        <v>40</v>
      </c>
      <c r="C5" s="1188">
        <v>37565.0</v>
      </c>
      <c r="D5" s="1189">
        <v>43250.0</v>
      </c>
      <c r="E5" s="1189">
        <v>38915.0</v>
      </c>
      <c r="F5" s="49">
        <f t="shared" ref="F5:F7" si="1">IFERROR(E5/D5-1," ")</f>
        <v>-0.1002312139</v>
      </c>
      <c r="G5" s="1190">
        <f t="shared" ref="G5:G7" si="2">IFERROR(E5/C5-1," ")</f>
        <v>0.03593770797</v>
      </c>
      <c r="H5" s="1188">
        <v>250790.0</v>
      </c>
      <c r="I5" s="1189">
        <v>302750.0</v>
      </c>
      <c r="J5" s="1189">
        <v>266965.0</v>
      </c>
      <c r="K5" s="49">
        <f t="shared" ref="K5:K7" si="3">IFERROR(J5/I5-1," ")</f>
        <v>-0.1181998348</v>
      </c>
      <c r="L5" s="1190">
        <f t="shared" ref="L5:L7" si="4">IFERROR(J5/H5-1," ")</f>
        <v>0.06449619203</v>
      </c>
      <c r="M5" s="1188">
        <v>457835.0</v>
      </c>
      <c r="N5" s="1189">
        <v>538290.0</v>
      </c>
      <c r="O5" s="1189">
        <v>493355.0</v>
      </c>
      <c r="P5" s="49">
        <f t="shared" ref="P5:P7" si="5">IFERROR(O5/N5-1," ")</f>
        <v>-0.08347730777</v>
      </c>
      <c r="Q5" s="1190">
        <f t="shared" ref="Q5:Q7" si="6">IFERROR(O5/M5-1," ")</f>
        <v>0.07758253519</v>
      </c>
      <c r="R5" s="853"/>
      <c r="S5" s="853"/>
      <c r="T5" s="853"/>
      <c r="U5" s="853"/>
      <c r="V5" s="853"/>
      <c r="W5" s="853"/>
      <c r="X5" s="853"/>
      <c r="Y5" s="853"/>
      <c r="Z5" s="853"/>
    </row>
    <row r="6" ht="18.0" customHeight="1">
      <c r="A6" s="853"/>
      <c r="B6" s="1187" t="s">
        <v>71</v>
      </c>
      <c r="C6" s="1191">
        <v>-5353.04</v>
      </c>
      <c r="D6" s="1191">
        <v>-6163.13</v>
      </c>
      <c r="E6" s="1191">
        <v>-5545.38</v>
      </c>
      <c r="F6" s="49">
        <f t="shared" si="1"/>
        <v>-0.1002331607</v>
      </c>
      <c r="G6" s="1190">
        <f t="shared" si="2"/>
        <v>0.03593098501</v>
      </c>
      <c r="H6" s="1191">
        <v>-35737.81</v>
      </c>
      <c r="I6" s="1191">
        <v>-43141.91</v>
      </c>
      <c r="J6" s="1191">
        <v>-38042.49</v>
      </c>
      <c r="K6" s="49">
        <f t="shared" si="3"/>
        <v>-0.1182010718</v>
      </c>
      <c r="L6" s="1190">
        <f t="shared" si="4"/>
        <v>0.06448856267</v>
      </c>
      <c r="M6" s="1192">
        <v>-65241.75</v>
      </c>
      <c r="N6" s="1191">
        <v>-76706.37</v>
      </c>
      <c r="O6" s="1191">
        <v>-70303.08</v>
      </c>
      <c r="P6" s="49">
        <f t="shared" si="5"/>
        <v>-0.08347794323</v>
      </c>
      <c r="Q6" s="1190">
        <f t="shared" si="6"/>
        <v>0.07757808459</v>
      </c>
      <c r="R6" s="853"/>
      <c r="S6" s="853"/>
      <c r="T6" s="853"/>
      <c r="U6" s="853"/>
      <c r="V6" s="853"/>
      <c r="W6" s="853"/>
      <c r="X6" s="853"/>
      <c r="Y6" s="853"/>
      <c r="Z6" s="853"/>
    </row>
    <row r="7" ht="18.0" customHeight="1">
      <c r="A7" s="853"/>
      <c r="B7" s="1193" t="s">
        <v>85</v>
      </c>
      <c r="C7" s="1194">
        <f t="shared" ref="C7:E7" si="7">C5+C6</f>
        <v>32211.96</v>
      </c>
      <c r="D7" s="56">
        <f t="shared" si="7"/>
        <v>37086.87</v>
      </c>
      <c r="E7" s="56">
        <f t="shared" si="7"/>
        <v>33369.62</v>
      </c>
      <c r="F7" s="49">
        <f t="shared" si="1"/>
        <v>-0.1002308903</v>
      </c>
      <c r="G7" s="1190">
        <f t="shared" si="2"/>
        <v>0.03593882521</v>
      </c>
      <c r="H7" s="1194">
        <f t="shared" ref="H7:J7" si="8">H5+H6</f>
        <v>215052.19</v>
      </c>
      <c r="I7" s="56">
        <f t="shared" si="8"/>
        <v>259608.09</v>
      </c>
      <c r="J7" s="56">
        <f t="shared" si="8"/>
        <v>228922.51</v>
      </c>
      <c r="K7" s="49">
        <f t="shared" si="3"/>
        <v>-0.1181996293</v>
      </c>
      <c r="L7" s="1190">
        <f t="shared" si="4"/>
        <v>0.0644974599</v>
      </c>
      <c r="M7" s="1194">
        <f t="shared" ref="M7:O7" si="9">M5+M6</f>
        <v>392593.25</v>
      </c>
      <c r="N7" s="56">
        <f t="shared" si="9"/>
        <v>461583.63</v>
      </c>
      <c r="O7" s="56">
        <f t="shared" si="9"/>
        <v>423051.92</v>
      </c>
      <c r="P7" s="49">
        <f t="shared" si="5"/>
        <v>-0.08347720217</v>
      </c>
      <c r="Q7" s="1190">
        <f t="shared" si="6"/>
        <v>0.0775832748</v>
      </c>
      <c r="R7" s="853"/>
      <c r="S7" s="853"/>
      <c r="T7" s="853"/>
      <c r="U7" s="853"/>
      <c r="V7" s="853"/>
      <c r="W7" s="853"/>
      <c r="X7" s="853"/>
      <c r="Y7" s="853"/>
      <c r="Z7" s="853"/>
    </row>
    <row r="8" ht="18.0" customHeight="1">
      <c r="A8" s="853"/>
      <c r="B8" s="1187" t="s">
        <v>73</v>
      </c>
      <c r="C8" s="1195">
        <v>0.0</v>
      </c>
      <c r="D8" s="904">
        <v>0.0</v>
      </c>
      <c r="E8" s="904">
        <v>0.0</v>
      </c>
      <c r="F8" s="904">
        <v>0.0</v>
      </c>
      <c r="G8" s="1196">
        <v>0.0</v>
      </c>
      <c r="H8" s="1195">
        <v>0.0</v>
      </c>
      <c r="I8" s="904">
        <v>0.0</v>
      </c>
      <c r="J8" s="904">
        <v>0.0</v>
      </c>
      <c r="K8" s="904">
        <v>0.0</v>
      </c>
      <c r="L8" s="1196">
        <v>0.0</v>
      </c>
      <c r="M8" s="1195">
        <v>0.0</v>
      </c>
      <c r="N8" s="904">
        <v>0.0</v>
      </c>
      <c r="O8" s="904">
        <v>0.0</v>
      </c>
      <c r="P8" s="904">
        <v>0.0</v>
      </c>
      <c r="Q8" s="1196">
        <v>0.0</v>
      </c>
      <c r="R8" s="853"/>
      <c r="S8" s="853"/>
      <c r="T8" s="853"/>
      <c r="U8" s="853"/>
      <c r="V8" s="853"/>
      <c r="W8" s="853"/>
      <c r="X8" s="853"/>
      <c r="Y8" s="853"/>
      <c r="Z8" s="853"/>
    </row>
    <row r="9" ht="18.0" customHeight="1">
      <c r="A9" s="853"/>
      <c r="B9" s="1187" t="s">
        <v>75</v>
      </c>
      <c r="C9" s="1194">
        <f t="shared" ref="C9:E9" si="10">C7+C8</f>
        <v>32211.96</v>
      </c>
      <c r="D9" s="56">
        <f t="shared" si="10"/>
        <v>37086.87</v>
      </c>
      <c r="E9" s="56">
        <f t="shared" si="10"/>
        <v>33369.62</v>
      </c>
      <c r="F9" s="49">
        <f t="shared" ref="F9:F11" si="13">IFERROR(E9/D9-1," ")</f>
        <v>-0.1002308903</v>
      </c>
      <c r="G9" s="1190">
        <f t="shared" ref="G9:G11" si="14">IFERROR(E9/C9-1," ")</f>
        <v>0.03593882521</v>
      </c>
      <c r="H9" s="1194">
        <f t="shared" ref="H9:J9" si="11">H7</f>
        <v>215052.19</v>
      </c>
      <c r="I9" s="56">
        <f t="shared" si="11"/>
        <v>259608.09</v>
      </c>
      <c r="J9" s="56">
        <f t="shared" si="11"/>
        <v>228922.51</v>
      </c>
      <c r="K9" s="49">
        <f t="shared" ref="K9:K10" si="15">IFERROR(J9/I9-1," ")</f>
        <v>-0.1181996293</v>
      </c>
      <c r="L9" s="1190">
        <f t="shared" ref="L9:L11" si="16">IFERROR(J9/H9-1," ")</f>
        <v>0.0644974599</v>
      </c>
      <c r="M9" s="1194">
        <f t="shared" ref="M9:O9" si="12">M7</f>
        <v>392593.25</v>
      </c>
      <c r="N9" s="56">
        <f t="shared" si="12"/>
        <v>461583.63</v>
      </c>
      <c r="O9" s="56">
        <f t="shared" si="12"/>
        <v>423051.92</v>
      </c>
      <c r="P9" s="49">
        <f t="shared" ref="P9:P11" si="17">IFERROR(O9/N9-1," ")</f>
        <v>-0.08347720217</v>
      </c>
      <c r="Q9" s="1190">
        <f t="shared" ref="Q9:Q11" si="18">IFERROR(O9/M9-1," ")</f>
        <v>0.0775832748</v>
      </c>
      <c r="R9" s="853"/>
      <c r="S9" s="853"/>
      <c r="T9" s="853"/>
      <c r="U9" s="853"/>
      <c r="V9" s="853"/>
      <c r="W9" s="853"/>
      <c r="X9" s="853"/>
      <c r="Y9" s="853"/>
      <c r="Z9" s="853"/>
    </row>
    <row r="10" ht="18.0" customHeight="1">
      <c r="A10" s="853"/>
      <c r="B10" s="1187" t="s">
        <v>77</v>
      </c>
      <c r="C10" s="1192">
        <v>-24008.72</v>
      </c>
      <c r="D10" s="1191">
        <v>-22865.91</v>
      </c>
      <c r="E10" s="1191">
        <v>-17353.24</v>
      </c>
      <c r="F10" s="49">
        <f t="shared" si="13"/>
        <v>-0.2410868406</v>
      </c>
      <c r="G10" s="1190">
        <f t="shared" si="14"/>
        <v>-0.2772109467</v>
      </c>
      <c r="H10" s="1192">
        <v>-136396.37</v>
      </c>
      <c r="I10" s="1191">
        <v>-160858.23</v>
      </c>
      <c r="J10" s="1191">
        <v>-127990.63</v>
      </c>
      <c r="K10" s="49">
        <f t="shared" si="15"/>
        <v>-0.2043265054</v>
      </c>
      <c r="L10" s="1190">
        <f t="shared" si="16"/>
        <v>-0.06162729991</v>
      </c>
      <c r="M10" s="1192">
        <v>-234820.09</v>
      </c>
      <c r="N10" s="1191">
        <v>-272980.44</v>
      </c>
      <c r="O10" s="1191">
        <v>-224602.32</v>
      </c>
      <c r="P10" s="49">
        <f t="shared" si="17"/>
        <v>-0.1772219284</v>
      </c>
      <c r="Q10" s="1190">
        <f t="shared" si="18"/>
        <v>-0.04351318492</v>
      </c>
      <c r="R10" s="853"/>
      <c r="S10" s="853"/>
      <c r="T10" s="853"/>
      <c r="U10" s="853"/>
      <c r="V10" s="853"/>
      <c r="W10" s="853"/>
      <c r="X10" s="853"/>
      <c r="Y10" s="853"/>
      <c r="Z10" s="853"/>
    </row>
    <row r="11" ht="18.0" customHeight="1">
      <c r="A11" s="853"/>
      <c r="B11" s="1197" t="s">
        <v>80</v>
      </c>
      <c r="C11" s="1198">
        <f t="shared" ref="C11:E11" si="19">C9+C10</f>
        <v>8203.24</v>
      </c>
      <c r="D11" s="1199">
        <f t="shared" si="19"/>
        <v>14220.96</v>
      </c>
      <c r="E11" s="1199">
        <f t="shared" si="19"/>
        <v>16016.38</v>
      </c>
      <c r="F11" s="1200">
        <f t="shared" si="13"/>
        <v>0.1262516736</v>
      </c>
      <c r="G11" s="1201">
        <f t="shared" si="14"/>
        <v>0.952445619</v>
      </c>
      <c r="H11" s="1198">
        <f t="shared" ref="H11:J11" si="20">H9+H10</f>
        <v>78655.82</v>
      </c>
      <c r="I11" s="1199">
        <f t="shared" si="20"/>
        <v>98749.86</v>
      </c>
      <c r="J11" s="1199">
        <f t="shared" si="20"/>
        <v>100931.88</v>
      </c>
      <c r="K11" s="1200">
        <f> IFERROR(J11/I11-1," ")</f>
        <v>0.02209643639</v>
      </c>
      <c r="L11" s="1201">
        <f t="shared" si="16"/>
        <v>0.2832093035</v>
      </c>
      <c r="M11" s="1198">
        <f t="shared" ref="M11:O11" si="21">M9+M10</f>
        <v>157773.16</v>
      </c>
      <c r="N11" s="1199">
        <f t="shared" si="21"/>
        <v>188603.19</v>
      </c>
      <c r="O11" s="1199">
        <f t="shared" si="21"/>
        <v>198449.6</v>
      </c>
      <c r="P11" s="1200">
        <f t="shared" si="17"/>
        <v>0.05220701728</v>
      </c>
      <c r="Q11" s="1201">
        <f t="shared" si="18"/>
        <v>0.2578159682</v>
      </c>
      <c r="R11" s="853"/>
      <c r="S11" s="853"/>
      <c r="T11" s="853"/>
      <c r="U11" s="853"/>
      <c r="V11" s="853"/>
      <c r="W11" s="853"/>
      <c r="X11" s="853"/>
      <c r="Y11" s="853"/>
      <c r="Z11" s="853"/>
    </row>
    <row r="12" ht="18.0" customHeight="1">
      <c r="A12" s="853"/>
      <c r="B12" s="1202" t="s">
        <v>100</v>
      </c>
      <c r="C12" s="1203">
        <f t="shared" ref="C12:E12" si="22">C11/C7</f>
        <v>0.2546644166</v>
      </c>
      <c r="D12" s="1204">
        <f t="shared" si="22"/>
        <v>0.3834499919</v>
      </c>
      <c r="E12" s="1204">
        <f t="shared" si="22"/>
        <v>0.4799689058</v>
      </c>
      <c r="F12" s="1205"/>
      <c r="G12" s="1206"/>
      <c r="H12" s="1203">
        <f t="shared" ref="H12:J12" si="23">H11/H7</f>
        <v>0.365752239</v>
      </c>
      <c r="I12" s="1204">
        <f t="shared" si="23"/>
        <v>0.380380519</v>
      </c>
      <c r="J12" s="1204">
        <f t="shared" si="23"/>
        <v>0.4408997612</v>
      </c>
      <c r="K12" s="1205"/>
      <c r="L12" s="1206"/>
      <c r="M12" s="1203">
        <f t="shared" ref="M12:O12" si="24">M11/M7</f>
        <v>0.4018743572</v>
      </c>
      <c r="N12" s="1204">
        <f t="shared" si="24"/>
        <v>0.4086002573</v>
      </c>
      <c r="O12" s="1204">
        <f t="shared" si="24"/>
        <v>0.4690904133</v>
      </c>
      <c r="P12" s="1205"/>
      <c r="Q12" s="1206"/>
      <c r="R12" s="853"/>
      <c r="S12" s="853"/>
      <c r="T12" s="853"/>
      <c r="U12" s="853"/>
      <c r="V12" s="853"/>
      <c r="W12" s="853"/>
      <c r="X12" s="853"/>
      <c r="Y12" s="853"/>
      <c r="Z12" s="853"/>
    </row>
    <row r="13">
      <c r="A13" s="853"/>
      <c r="B13" s="853"/>
      <c r="C13" s="853"/>
      <c r="D13" s="853"/>
      <c r="E13" s="853"/>
      <c r="F13" s="853"/>
      <c r="G13" s="853"/>
      <c r="H13" s="853"/>
      <c r="I13" s="853"/>
      <c r="J13" s="853"/>
      <c r="K13" s="853"/>
      <c r="L13" s="853"/>
      <c r="M13" s="853"/>
      <c r="N13" s="853"/>
      <c r="O13" s="853"/>
      <c r="P13" s="853"/>
      <c r="Q13" s="853"/>
      <c r="R13" s="853"/>
      <c r="S13" s="853"/>
      <c r="T13" s="853"/>
      <c r="U13" s="853"/>
      <c r="V13" s="853"/>
      <c r="W13" s="853"/>
      <c r="X13" s="853"/>
      <c r="Y13" s="853"/>
      <c r="Z13" s="853"/>
    </row>
    <row r="14">
      <c r="A14" s="853"/>
      <c r="B14" s="853"/>
      <c r="C14" s="1207">
        <f>C6/C5</f>
        <v>-0.1425007321</v>
      </c>
      <c r="D14" s="853"/>
      <c r="E14" s="853"/>
      <c r="F14" s="853"/>
      <c r="G14" s="853"/>
      <c r="H14" s="1207"/>
      <c r="I14" s="853"/>
      <c r="J14" s="853"/>
      <c r="K14" s="853"/>
      <c r="L14" s="853"/>
      <c r="M14" s="1207"/>
      <c r="N14" s="853"/>
      <c r="O14" s="853"/>
      <c r="P14" s="853"/>
      <c r="Q14" s="853"/>
      <c r="R14" s="853"/>
      <c r="S14" s="853"/>
      <c r="T14" s="853"/>
      <c r="U14" s="853"/>
      <c r="V14" s="853"/>
      <c r="W14" s="853"/>
      <c r="X14" s="853"/>
      <c r="Y14" s="853"/>
      <c r="Z14" s="853"/>
    </row>
    <row r="15">
      <c r="A15" s="853"/>
      <c r="B15" s="1208" t="s">
        <v>465</v>
      </c>
      <c r="C15" s="853"/>
      <c r="D15" s="853"/>
      <c r="E15" s="853"/>
      <c r="F15" s="853"/>
      <c r="G15" s="853"/>
      <c r="H15" s="853"/>
      <c r="I15" s="853"/>
      <c r="J15" s="853"/>
      <c r="K15" s="853"/>
      <c r="L15" s="853"/>
      <c r="M15" s="853"/>
      <c r="N15" s="853"/>
      <c r="O15" s="853"/>
      <c r="P15" s="853"/>
      <c r="Q15" s="853"/>
      <c r="R15" s="853"/>
      <c r="S15" s="853"/>
      <c r="T15" s="853"/>
      <c r="U15" s="853"/>
      <c r="V15" s="853"/>
      <c r="W15" s="853"/>
      <c r="X15" s="853"/>
      <c r="Y15" s="853"/>
      <c r="Z15" s="853"/>
    </row>
    <row r="16">
      <c r="A16" s="853"/>
      <c r="B16" s="853" t="s">
        <v>466</v>
      </c>
      <c r="C16" s="853"/>
      <c r="D16" s="853"/>
      <c r="E16" s="853"/>
      <c r="F16" s="853"/>
      <c r="G16" s="853"/>
      <c r="H16" s="853"/>
      <c r="I16" s="853"/>
      <c r="J16" s="853"/>
      <c r="K16" s="853"/>
      <c r="L16" s="853"/>
      <c r="M16" s="853"/>
      <c r="N16" s="853"/>
      <c r="O16" s="853"/>
      <c r="P16" s="853"/>
      <c r="Q16" s="853"/>
      <c r="R16" s="853"/>
      <c r="S16" s="853"/>
      <c r="T16" s="853"/>
      <c r="U16" s="853"/>
      <c r="V16" s="853"/>
      <c r="W16" s="853"/>
      <c r="X16" s="853"/>
      <c r="Y16" s="853"/>
      <c r="Z16" s="853"/>
    </row>
    <row r="17">
      <c r="A17" s="853"/>
      <c r="B17" s="853" t="s">
        <v>467</v>
      </c>
      <c r="C17" s="853"/>
      <c r="D17" s="853"/>
      <c r="E17" s="853"/>
      <c r="F17" s="853"/>
      <c r="G17" s="853"/>
      <c r="H17" s="853"/>
      <c r="I17" s="853"/>
      <c r="J17" s="853"/>
      <c r="K17" s="853"/>
      <c r="L17" s="853"/>
      <c r="M17" s="853"/>
      <c r="N17" s="853"/>
      <c r="O17" s="853"/>
      <c r="P17" s="853"/>
      <c r="Q17" s="853"/>
      <c r="R17" s="853"/>
      <c r="S17" s="853"/>
      <c r="T17" s="853"/>
      <c r="U17" s="853"/>
      <c r="V17" s="853"/>
      <c r="W17" s="853"/>
      <c r="X17" s="853"/>
      <c r="Y17" s="853"/>
      <c r="Z17" s="853"/>
    </row>
    <row r="18">
      <c r="A18" s="853"/>
      <c r="B18" s="853" t="s">
        <v>468</v>
      </c>
      <c r="C18" s="853"/>
      <c r="D18" s="853"/>
      <c r="E18" s="853"/>
      <c r="F18" s="853"/>
      <c r="G18" s="853"/>
      <c r="H18" s="853"/>
      <c r="I18" s="853"/>
      <c r="J18" s="853"/>
      <c r="K18" s="853"/>
      <c r="L18" s="853"/>
      <c r="M18" s="853"/>
      <c r="N18" s="853"/>
      <c r="O18" s="853"/>
      <c r="P18" s="853"/>
      <c r="Q18" s="853"/>
      <c r="R18" s="853"/>
      <c r="S18" s="853"/>
      <c r="T18" s="853"/>
      <c r="U18" s="853"/>
      <c r="V18" s="853"/>
      <c r="W18" s="853"/>
      <c r="X18" s="853"/>
      <c r="Y18" s="853"/>
      <c r="Z18" s="853"/>
    </row>
    <row r="19">
      <c r="A19" s="853"/>
      <c r="B19" s="1209">
        <v>0.1425</v>
      </c>
      <c r="C19" s="853"/>
      <c r="D19" s="853"/>
      <c r="E19" s="853"/>
      <c r="F19" s="853"/>
      <c r="G19" s="853"/>
      <c r="H19" s="853"/>
      <c r="I19" s="853"/>
      <c r="J19" s="853"/>
      <c r="K19" s="853"/>
      <c r="L19" s="853"/>
      <c r="M19" s="853"/>
      <c r="N19" s="853"/>
      <c r="O19" s="853"/>
      <c r="P19" s="853"/>
      <c r="Q19" s="853"/>
      <c r="R19" s="853"/>
      <c r="S19" s="853"/>
      <c r="T19" s="853"/>
      <c r="U19" s="853"/>
      <c r="V19" s="853"/>
      <c r="W19" s="853"/>
      <c r="X19" s="853"/>
      <c r="Y19" s="853"/>
      <c r="Z19" s="853"/>
    </row>
    <row r="20" ht="15.75" customHeight="1">
      <c r="A20" s="853"/>
      <c r="B20" s="853"/>
      <c r="C20" s="853"/>
      <c r="D20" s="853"/>
      <c r="E20" s="853"/>
      <c r="F20" s="853"/>
      <c r="G20" s="853"/>
      <c r="H20" s="853"/>
      <c r="I20" s="853"/>
      <c r="J20" s="853"/>
      <c r="K20" s="853"/>
      <c r="L20" s="853"/>
      <c r="M20" s="853"/>
      <c r="N20" s="853"/>
      <c r="O20" s="853"/>
      <c r="P20" s="853"/>
      <c r="Q20" s="853"/>
      <c r="R20" s="853"/>
      <c r="S20" s="853"/>
      <c r="T20" s="853"/>
      <c r="U20" s="853"/>
      <c r="V20" s="853"/>
      <c r="W20" s="853"/>
      <c r="X20" s="853"/>
      <c r="Y20" s="853"/>
      <c r="Z20" s="853"/>
    </row>
    <row r="21" ht="15.75" customHeight="1">
      <c r="A21" s="853"/>
      <c r="B21" s="853"/>
      <c r="C21" s="853"/>
      <c r="D21" s="853"/>
      <c r="E21" s="853"/>
      <c r="F21" s="853"/>
      <c r="G21" s="853"/>
      <c r="H21" s="853"/>
      <c r="I21" s="853"/>
      <c r="J21" s="853"/>
      <c r="K21" s="853"/>
      <c r="L21" s="853"/>
      <c r="M21" s="853"/>
      <c r="N21" s="853"/>
      <c r="O21" s="853"/>
      <c r="P21" s="853"/>
      <c r="Q21" s="853"/>
      <c r="R21" s="853"/>
      <c r="S21" s="853"/>
      <c r="T21" s="853"/>
      <c r="U21" s="853"/>
      <c r="V21" s="853"/>
      <c r="W21" s="853"/>
      <c r="X21" s="853"/>
      <c r="Y21" s="853"/>
      <c r="Z21" s="853"/>
    </row>
    <row r="22" ht="15.75" customHeight="1">
      <c r="A22" s="853"/>
      <c r="B22" s="853"/>
      <c r="C22" s="853"/>
      <c r="D22" s="853"/>
      <c r="E22" s="853"/>
      <c r="F22" s="853"/>
      <c r="G22" s="853"/>
      <c r="H22" s="853"/>
      <c r="I22" s="853"/>
      <c r="J22" s="853"/>
      <c r="K22" s="853"/>
      <c r="L22" s="853"/>
      <c r="M22" s="853"/>
      <c r="N22" s="853"/>
      <c r="O22" s="853"/>
      <c r="P22" s="853"/>
      <c r="Q22" s="853"/>
      <c r="R22" s="853"/>
      <c r="S22" s="853"/>
      <c r="T22" s="853"/>
      <c r="U22" s="853"/>
      <c r="V22" s="853"/>
      <c r="W22" s="853"/>
      <c r="X22" s="853"/>
      <c r="Y22" s="853"/>
      <c r="Z22" s="853"/>
    </row>
    <row r="23" ht="15.75" customHeight="1">
      <c r="A23" s="853"/>
      <c r="B23" s="853"/>
      <c r="C23" s="853"/>
      <c r="D23" s="853"/>
      <c r="E23" s="853"/>
      <c r="F23" s="853"/>
      <c r="G23" s="853"/>
      <c r="H23" s="853"/>
      <c r="I23" s="853"/>
      <c r="J23" s="853"/>
      <c r="K23" s="853"/>
      <c r="L23" s="853"/>
      <c r="M23" s="853"/>
      <c r="N23" s="853"/>
      <c r="O23" s="853"/>
      <c r="P23" s="853"/>
      <c r="Q23" s="853"/>
      <c r="R23" s="853"/>
      <c r="S23" s="853"/>
      <c r="T23" s="853"/>
      <c r="U23" s="853"/>
      <c r="V23" s="853"/>
      <c r="W23" s="853"/>
      <c r="X23" s="853"/>
      <c r="Y23" s="853"/>
      <c r="Z23" s="853"/>
    </row>
    <row r="24" ht="15.75" customHeight="1">
      <c r="A24" s="853"/>
      <c r="B24" s="853"/>
      <c r="C24" s="853"/>
      <c r="D24" s="853"/>
      <c r="E24" s="853"/>
      <c r="F24" s="853"/>
      <c r="G24" s="853"/>
      <c r="H24" s="853"/>
      <c r="I24" s="853"/>
      <c r="J24" s="853"/>
      <c r="K24" s="853"/>
      <c r="L24" s="853"/>
      <c r="M24" s="853"/>
      <c r="N24" s="853"/>
      <c r="O24" s="853"/>
      <c r="P24" s="853"/>
      <c r="Q24" s="853"/>
      <c r="R24" s="853"/>
      <c r="S24" s="853"/>
      <c r="T24" s="853"/>
      <c r="U24" s="853"/>
      <c r="V24" s="853"/>
      <c r="W24" s="853"/>
      <c r="X24" s="853"/>
      <c r="Y24" s="853"/>
      <c r="Z24" s="853"/>
    </row>
    <row r="25" ht="15.75" customHeight="1">
      <c r="A25" s="853"/>
      <c r="B25" s="853"/>
      <c r="C25" s="853"/>
      <c r="D25" s="853"/>
      <c r="E25" s="853"/>
      <c r="F25" s="853"/>
      <c r="G25" s="853"/>
      <c r="H25" s="853"/>
      <c r="I25" s="853"/>
      <c r="J25" s="853"/>
      <c r="K25" s="853"/>
      <c r="L25" s="853"/>
      <c r="M25" s="853"/>
      <c r="N25" s="853"/>
      <c r="O25" s="853"/>
      <c r="P25" s="853"/>
      <c r="Q25" s="853"/>
      <c r="R25" s="853"/>
      <c r="S25" s="853"/>
      <c r="T25" s="853"/>
      <c r="U25" s="853"/>
      <c r="V25" s="853"/>
      <c r="W25" s="853"/>
      <c r="X25" s="853"/>
      <c r="Y25" s="853"/>
      <c r="Z25" s="853"/>
    </row>
    <row r="26" ht="15.75" customHeight="1">
      <c r="A26" s="853"/>
      <c r="B26" s="853"/>
      <c r="C26" s="853"/>
      <c r="D26" s="853"/>
      <c r="E26" s="853"/>
      <c r="F26" s="853"/>
      <c r="G26" s="853"/>
      <c r="H26" s="853"/>
      <c r="I26" s="853"/>
      <c r="J26" s="853"/>
      <c r="K26" s="853"/>
      <c r="L26" s="853"/>
      <c r="M26" s="853"/>
      <c r="N26" s="853"/>
      <c r="O26" s="853"/>
      <c r="P26" s="853"/>
      <c r="Q26" s="853"/>
      <c r="R26" s="853"/>
      <c r="S26" s="853"/>
      <c r="T26" s="853"/>
      <c r="U26" s="853"/>
      <c r="V26" s="853"/>
      <c r="W26" s="853"/>
      <c r="X26" s="853"/>
      <c r="Y26" s="853"/>
      <c r="Z26" s="853"/>
    </row>
    <row r="27" ht="15.75" customHeight="1">
      <c r="A27" s="853"/>
      <c r="B27" s="853"/>
      <c r="C27" s="853"/>
      <c r="D27" s="853"/>
      <c r="E27" s="853"/>
      <c r="F27" s="853"/>
      <c r="G27" s="853"/>
      <c r="H27" s="853"/>
      <c r="I27" s="853"/>
      <c r="J27" s="853"/>
      <c r="K27" s="853"/>
      <c r="L27" s="853"/>
      <c r="M27" s="853"/>
      <c r="N27" s="853"/>
      <c r="O27" s="853"/>
      <c r="P27" s="853"/>
      <c r="Q27" s="853"/>
      <c r="R27" s="853"/>
      <c r="S27" s="853"/>
      <c r="T27" s="853"/>
      <c r="U27" s="853"/>
      <c r="V27" s="853"/>
      <c r="W27" s="853"/>
      <c r="X27" s="853"/>
      <c r="Y27" s="853"/>
      <c r="Z27" s="853"/>
    </row>
    <row r="28" ht="15.75" customHeight="1">
      <c r="A28" s="853"/>
      <c r="B28" s="853"/>
      <c r="C28" s="853"/>
      <c r="D28" s="853"/>
      <c r="E28" s="853"/>
      <c r="F28" s="853"/>
      <c r="G28" s="853"/>
      <c r="H28" s="853"/>
      <c r="I28" s="853"/>
      <c r="J28" s="853"/>
      <c r="K28" s="853"/>
      <c r="L28" s="853"/>
      <c r="M28" s="853"/>
      <c r="N28" s="853"/>
      <c r="O28" s="853"/>
      <c r="P28" s="853"/>
      <c r="Q28" s="853"/>
      <c r="R28" s="853"/>
      <c r="S28" s="853"/>
      <c r="T28" s="853"/>
      <c r="U28" s="853"/>
      <c r="V28" s="853"/>
      <c r="W28" s="853"/>
      <c r="X28" s="853"/>
      <c r="Y28" s="853"/>
      <c r="Z28" s="853"/>
    </row>
    <row r="29" ht="15.75" customHeight="1">
      <c r="A29" s="853"/>
      <c r="B29" s="853"/>
      <c r="C29" s="853"/>
      <c r="D29" s="853"/>
      <c r="E29" s="853"/>
      <c r="F29" s="853"/>
      <c r="G29" s="853"/>
      <c r="H29" s="853"/>
      <c r="I29" s="853"/>
      <c r="J29" s="853"/>
      <c r="K29" s="853"/>
      <c r="L29" s="853"/>
      <c r="M29" s="853"/>
      <c r="N29" s="853"/>
      <c r="O29" s="853"/>
      <c r="P29" s="853"/>
      <c r="Q29" s="853"/>
      <c r="R29" s="853"/>
      <c r="S29" s="853"/>
      <c r="T29" s="853"/>
      <c r="U29" s="853"/>
      <c r="V29" s="853"/>
      <c r="W29" s="853"/>
      <c r="X29" s="853"/>
      <c r="Y29" s="853"/>
      <c r="Z29" s="853"/>
    </row>
    <row r="30" ht="15.75" customHeight="1">
      <c r="A30" s="853"/>
      <c r="B30" s="853"/>
      <c r="C30" s="853"/>
      <c r="D30" s="853"/>
      <c r="E30" s="853"/>
      <c r="F30" s="853"/>
      <c r="G30" s="853"/>
      <c r="H30" s="853"/>
      <c r="I30" s="853"/>
      <c r="J30" s="853"/>
      <c r="K30" s="853"/>
      <c r="L30" s="853"/>
      <c r="M30" s="853"/>
      <c r="N30" s="853"/>
      <c r="O30" s="853"/>
      <c r="P30" s="853"/>
      <c r="Q30" s="853"/>
      <c r="R30" s="853"/>
      <c r="S30" s="853"/>
      <c r="T30" s="853"/>
      <c r="U30" s="853"/>
      <c r="V30" s="853"/>
      <c r="W30" s="853"/>
      <c r="X30" s="853"/>
      <c r="Y30" s="853"/>
      <c r="Z30" s="853"/>
    </row>
    <row r="31" ht="15.75" customHeight="1">
      <c r="A31" s="853"/>
      <c r="B31" s="853"/>
      <c r="C31" s="853"/>
      <c r="D31" s="853"/>
      <c r="E31" s="853"/>
      <c r="F31" s="853"/>
      <c r="G31" s="853"/>
      <c r="H31" s="853"/>
      <c r="I31" s="853"/>
      <c r="J31" s="853"/>
      <c r="K31" s="853"/>
      <c r="L31" s="853"/>
      <c r="M31" s="853"/>
      <c r="N31" s="853"/>
      <c r="O31" s="853"/>
      <c r="P31" s="853"/>
      <c r="Q31" s="853"/>
      <c r="R31" s="853"/>
      <c r="S31" s="853"/>
      <c r="T31" s="853"/>
      <c r="U31" s="853"/>
      <c r="V31" s="853"/>
      <c r="W31" s="853"/>
      <c r="X31" s="853"/>
      <c r="Y31" s="853"/>
      <c r="Z31" s="853"/>
    </row>
    <row r="32" ht="15.75" customHeight="1">
      <c r="A32" s="853"/>
      <c r="B32" s="853"/>
      <c r="C32" s="853"/>
      <c r="D32" s="853"/>
      <c r="E32" s="853"/>
      <c r="F32" s="853"/>
      <c r="G32" s="853"/>
      <c r="H32" s="853"/>
      <c r="I32" s="853"/>
      <c r="J32" s="853"/>
      <c r="K32" s="853"/>
      <c r="L32" s="853"/>
      <c r="M32" s="853"/>
      <c r="N32" s="853"/>
      <c r="O32" s="853"/>
      <c r="P32" s="853"/>
      <c r="Q32" s="853"/>
      <c r="R32" s="853"/>
      <c r="S32" s="853"/>
      <c r="T32" s="853"/>
      <c r="U32" s="853"/>
      <c r="V32" s="853"/>
      <c r="W32" s="853"/>
      <c r="X32" s="853"/>
      <c r="Y32" s="853"/>
      <c r="Z32" s="853"/>
    </row>
    <row r="33" ht="15.75" customHeight="1">
      <c r="A33" s="853"/>
      <c r="B33" s="853"/>
      <c r="C33" s="853"/>
      <c r="D33" s="853"/>
      <c r="E33" s="853"/>
      <c r="F33" s="853"/>
      <c r="G33" s="853"/>
      <c r="H33" s="853"/>
      <c r="I33" s="853"/>
      <c r="J33" s="853"/>
      <c r="K33" s="853"/>
      <c r="L33" s="853"/>
      <c r="M33" s="853"/>
      <c r="N33" s="853"/>
      <c r="O33" s="853"/>
      <c r="P33" s="853"/>
      <c r="Q33" s="853"/>
      <c r="R33" s="853"/>
      <c r="S33" s="853"/>
      <c r="T33" s="853"/>
      <c r="U33" s="853"/>
      <c r="V33" s="853"/>
      <c r="W33" s="853"/>
      <c r="X33" s="853"/>
      <c r="Y33" s="853"/>
      <c r="Z33" s="853"/>
    </row>
    <row r="34" ht="15.75" customHeight="1">
      <c r="A34" s="853"/>
      <c r="B34" s="853"/>
      <c r="C34" s="853"/>
      <c r="D34" s="853"/>
      <c r="E34" s="853"/>
      <c r="F34" s="853"/>
      <c r="G34" s="853"/>
      <c r="H34" s="853"/>
      <c r="I34" s="853"/>
      <c r="J34" s="853"/>
      <c r="K34" s="853"/>
      <c r="L34" s="853"/>
      <c r="M34" s="853"/>
      <c r="N34" s="853"/>
      <c r="O34" s="853"/>
      <c r="P34" s="853"/>
      <c r="Q34" s="853"/>
      <c r="R34" s="853"/>
      <c r="S34" s="853"/>
      <c r="T34" s="853"/>
      <c r="U34" s="853"/>
      <c r="V34" s="853"/>
      <c r="W34" s="853"/>
      <c r="X34" s="853"/>
      <c r="Y34" s="853"/>
      <c r="Z34" s="853"/>
    </row>
    <row r="35" ht="15.75" customHeight="1">
      <c r="A35" s="853"/>
      <c r="B35" s="853"/>
      <c r="C35" s="853"/>
      <c r="D35" s="853"/>
      <c r="E35" s="853"/>
      <c r="F35" s="853"/>
      <c r="G35" s="853"/>
      <c r="H35" s="853"/>
      <c r="I35" s="853"/>
      <c r="J35" s="853"/>
      <c r="K35" s="853"/>
      <c r="L35" s="853"/>
      <c r="M35" s="853"/>
      <c r="N35" s="853"/>
      <c r="O35" s="853"/>
      <c r="P35" s="853"/>
      <c r="Q35" s="853"/>
      <c r="R35" s="853"/>
      <c r="S35" s="853"/>
      <c r="T35" s="853"/>
      <c r="U35" s="853"/>
      <c r="V35" s="853"/>
      <c r="W35" s="853"/>
      <c r="X35" s="853"/>
      <c r="Y35" s="853"/>
      <c r="Z35" s="853"/>
    </row>
    <row r="36" ht="15.75" customHeight="1">
      <c r="A36" s="853"/>
      <c r="B36" s="853"/>
      <c r="C36" s="853"/>
      <c r="D36" s="853"/>
      <c r="E36" s="853"/>
      <c r="F36" s="853"/>
      <c r="G36" s="853"/>
      <c r="H36" s="853"/>
      <c r="I36" s="853"/>
      <c r="J36" s="853"/>
      <c r="K36" s="853"/>
      <c r="L36" s="853"/>
      <c r="M36" s="853"/>
      <c r="N36" s="853"/>
      <c r="O36" s="853"/>
      <c r="P36" s="853"/>
      <c r="Q36" s="853"/>
      <c r="R36" s="853"/>
      <c r="S36" s="853"/>
      <c r="T36" s="853"/>
      <c r="U36" s="853"/>
      <c r="V36" s="853"/>
      <c r="W36" s="853"/>
      <c r="X36" s="853"/>
      <c r="Y36" s="853"/>
      <c r="Z36" s="853"/>
    </row>
    <row r="37" ht="15.75" customHeight="1">
      <c r="A37" s="853"/>
      <c r="B37" s="853"/>
      <c r="C37" s="853"/>
      <c r="D37" s="853"/>
      <c r="E37" s="853"/>
      <c r="F37" s="853"/>
      <c r="G37" s="853"/>
      <c r="H37" s="853"/>
      <c r="I37" s="853"/>
      <c r="J37" s="853"/>
      <c r="K37" s="853"/>
      <c r="L37" s="853"/>
      <c r="M37" s="853"/>
      <c r="N37" s="853"/>
      <c r="O37" s="853"/>
      <c r="P37" s="853"/>
      <c r="Q37" s="853"/>
      <c r="R37" s="853"/>
      <c r="S37" s="853"/>
      <c r="T37" s="853"/>
      <c r="U37" s="853"/>
      <c r="V37" s="853"/>
      <c r="W37" s="853"/>
      <c r="X37" s="853"/>
      <c r="Y37" s="853"/>
      <c r="Z37" s="853"/>
    </row>
    <row r="38" ht="15.75" customHeight="1">
      <c r="A38" s="853"/>
      <c r="B38" s="853"/>
      <c r="C38" s="853"/>
      <c r="D38" s="853"/>
      <c r="E38" s="853"/>
      <c r="F38" s="853"/>
      <c r="G38" s="853"/>
      <c r="H38" s="853"/>
      <c r="I38" s="853"/>
      <c r="J38" s="853"/>
      <c r="K38" s="853"/>
      <c r="L38" s="853"/>
      <c r="M38" s="853"/>
      <c r="N38" s="853"/>
      <c r="O38" s="853"/>
      <c r="P38" s="853"/>
      <c r="Q38" s="853"/>
      <c r="R38" s="853"/>
      <c r="S38" s="853"/>
      <c r="T38" s="853"/>
      <c r="U38" s="853"/>
      <c r="V38" s="853"/>
      <c r="W38" s="853"/>
      <c r="X38" s="853"/>
      <c r="Y38" s="853"/>
      <c r="Z38" s="853"/>
    </row>
    <row r="39" ht="15.75" customHeight="1">
      <c r="A39" s="853"/>
      <c r="B39" s="853"/>
      <c r="C39" s="853"/>
      <c r="D39" s="853"/>
      <c r="E39" s="853"/>
      <c r="F39" s="853"/>
      <c r="G39" s="853"/>
      <c r="H39" s="853"/>
      <c r="I39" s="853"/>
      <c r="J39" s="853"/>
      <c r="K39" s="853"/>
      <c r="L39" s="853"/>
      <c r="M39" s="853"/>
      <c r="N39" s="853"/>
      <c r="O39" s="853"/>
      <c r="P39" s="853"/>
      <c r="Q39" s="853"/>
      <c r="R39" s="853"/>
      <c r="S39" s="853"/>
      <c r="T39" s="853"/>
      <c r="U39" s="853"/>
      <c r="V39" s="853"/>
      <c r="W39" s="853"/>
      <c r="X39" s="853"/>
      <c r="Y39" s="853"/>
      <c r="Z39" s="853"/>
    </row>
    <row r="40" ht="15.75" customHeight="1">
      <c r="A40" s="853"/>
      <c r="B40" s="853"/>
      <c r="C40" s="853"/>
      <c r="D40" s="853"/>
      <c r="E40" s="853"/>
      <c r="F40" s="853"/>
      <c r="G40" s="853"/>
      <c r="H40" s="853"/>
      <c r="I40" s="853"/>
      <c r="J40" s="853"/>
      <c r="K40" s="853"/>
      <c r="L40" s="853"/>
      <c r="M40" s="853"/>
      <c r="N40" s="853"/>
      <c r="O40" s="853"/>
      <c r="P40" s="853"/>
      <c r="Q40" s="853"/>
      <c r="R40" s="853"/>
      <c r="S40" s="853"/>
      <c r="T40" s="853"/>
      <c r="U40" s="853"/>
      <c r="V40" s="853"/>
      <c r="W40" s="853"/>
      <c r="X40" s="853"/>
      <c r="Y40" s="853"/>
      <c r="Z40" s="853"/>
    </row>
    <row r="41" ht="15.75" customHeight="1">
      <c r="A41" s="853"/>
      <c r="B41" s="853"/>
      <c r="C41" s="853"/>
      <c r="D41" s="853"/>
      <c r="E41" s="853"/>
      <c r="F41" s="853"/>
      <c r="G41" s="853"/>
      <c r="H41" s="853"/>
      <c r="I41" s="853"/>
      <c r="J41" s="853"/>
      <c r="K41" s="853"/>
      <c r="L41" s="853"/>
      <c r="M41" s="853"/>
      <c r="N41" s="853"/>
      <c r="O41" s="853"/>
      <c r="P41" s="853"/>
      <c r="Q41" s="853"/>
      <c r="R41" s="853"/>
      <c r="S41" s="853"/>
      <c r="T41" s="853"/>
      <c r="U41" s="853"/>
      <c r="V41" s="853"/>
      <c r="W41" s="853"/>
      <c r="X41" s="853"/>
      <c r="Y41" s="853"/>
      <c r="Z41" s="853"/>
    </row>
    <row r="42" ht="15.75" customHeight="1">
      <c r="A42" s="853"/>
      <c r="B42" s="853"/>
      <c r="C42" s="853"/>
      <c r="D42" s="853"/>
      <c r="E42" s="853"/>
      <c r="F42" s="853"/>
      <c r="G42" s="853"/>
      <c r="H42" s="853"/>
      <c r="I42" s="853"/>
      <c r="J42" s="853"/>
      <c r="K42" s="853"/>
      <c r="L42" s="853"/>
      <c r="M42" s="853"/>
      <c r="N42" s="853"/>
      <c r="O42" s="853"/>
      <c r="P42" s="853"/>
      <c r="Q42" s="853"/>
      <c r="R42" s="853"/>
      <c r="S42" s="853"/>
      <c r="T42" s="853"/>
      <c r="U42" s="853"/>
      <c r="V42" s="853"/>
      <c r="W42" s="853"/>
      <c r="X42" s="853"/>
      <c r="Y42" s="853"/>
      <c r="Z42" s="853"/>
    </row>
    <row r="43" ht="15.75" customHeight="1">
      <c r="A43" s="853"/>
      <c r="B43" s="853"/>
      <c r="C43" s="853"/>
      <c r="D43" s="853"/>
      <c r="E43" s="853"/>
      <c r="F43" s="853"/>
      <c r="G43" s="853"/>
      <c r="H43" s="853"/>
      <c r="I43" s="853"/>
      <c r="J43" s="853"/>
      <c r="K43" s="853"/>
      <c r="L43" s="853"/>
      <c r="M43" s="853"/>
      <c r="N43" s="853"/>
      <c r="O43" s="853"/>
      <c r="P43" s="853"/>
      <c r="Q43" s="853"/>
      <c r="R43" s="853"/>
      <c r="S43" s="853"/>
      <c r="T43" s="853"/>
      <c r="U43" s="853"/>
      <c r="V43" s="853"/>
      <c r="W43" s="853"/>
      <c r="X43" s="853"/>
      <c r="Y43" s="853"/>
      <c r="Z43" s="853"/>
    </row>
    <row r="44" ht="15.75" customHeight="1">
      <c r="A44" s="853"/>
      <c r="B44" s="853"/>
      <c r="C44" s="853"/>
      <c r="D44" s="853"/>
      <c r="E44" s="853"/>
      <c r="F44" s="853"/>
      <c r="G44" s="853"/>
      <c r="H44" s="853"/>
      <c r="I44" s="853"/>
      <c r="J44" s="853"/>
      <c r="K44" s="853"/>
      <c r="L44" s="853"/>
      <c r="M44" s="853"/>
      <c r="N44" s="853"/>
      <c r="O44" s="853"/>
      <c r="P44" s="853"/>
      <c r="Q44" s="853"/>
      <c r="R44" s="853"/>
      <c r="S44" s="853"/>
      <c r="T44" s="853"/>
      <c r="U44" s="853"/>
      <c r="V44" s="853"/>
      <c r="W44" s="853"/>
      <c r="X44" s="853"/>
      <c r="Y44" s="853"/>
      <c r="Z44" s="853"/>
    </row>
    <row r="45" ht="15.75" customHeight="1">
      <c r="A45" s="853"/>
      <c r="B45" s="853"/>
      <c r="C45" s="853"/>
      <c r="D45" s="853"/>
      <c r="E45" s="853"/>
      <c r="F45" s="853"/>
      <c r="G45" s="853"/>
      <c r="H45" s="853"/>
      <c r="I45" s="853"/>
      <c r="J45" s="853"/>
      <c r="K45" s="853"/>
      <c r="L45" s="853"/>
      <c r="M45" s="853"/>
      <c r="N45" s="853"/>
      <c r="O45" s="853"/>
      <c r="P45" s="853"/>
      <c r="Q45" s="853"/>
      <c r="R45" s="853"/>
      <c r="S45" s="853"/>
      <c r="T45" s="853"/>
      <c r="U45" s="853"/>
      <c r="V45" s="853"/>
      <c r="W45" s="853"/>
      <c r="X45" s="853"/>
      <c r="Y45" s="853"/>
      <c r="Z45" s="853"/>
    </row>
    <row r="46" ht="15.75" customHeight="1">
      <c r="A46" s="853"/>
      <c r="B46" s="853"/>
      <c r="C46" s="853"/>
      <c r="D46" s="853"/>
      <c r="E46" s="853"/>
      <c r="F46" s="853"/>
      <c r="G46" s="853"/>
      <c r="H46" s="853"/>
      <c r="I46" s="853"/>
      <c r="J46" s="853"/>
      <c r="K46" s="853"/>
      <c r="L46" s="853"/>
      <c r="M46" s="853"/>
      <c r="N46" s="853"/>
      <c r="O46" s="853"/>
      <c r="P46" s="853"/>
      <c r="Q46" s="853"/>
      <c r="R46" s="853"/>
      <c r="S46" s="853"/>
      <c r="T46" s="853"/>
      <c r="U46" s="853"/>
      <c r="V46" s="853"/>
      <c r="W46" s="853"/>
      <c r="X46" s="853"/>
      <c r="Y46" s="853"/>
      <c r="Z46" s="853"/>
    </row>
    <row r="47" ht="15.75" customHeight="1">
      <c r="A47" s="853"/>
      <c r="B47" s="853"/>
      <c r="C47" s="853"/>
      <c r="D47" s="853"/>
      <c r="E47" s="853"/>
      <c r="F47" s="853"/>
      <c r="G47" s="853"/>
      <c r="H47" s="853"/>
      <c r="I47" s="853"/>
      <c r="J47" s="853"/>
      <c r="K47" s="853"/>
      <c r="L47" s="853"/>
      <c r="M47" s="853"/>
      <c r="N47" s="853"/>
      <c r="O47" s="853"/>
      <c r="P47" s="853"/>
      <c r="Q47" s="853"/>
      <c r="R47" s="853"/>
      <c r="S47" s="853"/>
      <c r="T47" s="853"/>
      <c r="U47" s="853"/>
      <c r="V47" s="853"/>
      <c r="W47" s="853"/>
      <c r="X47" s="853"/>
      <c r="Y47" s="853"/>
      <c r="Z47" s="853"/>
    </row>
    <row r="48" ht="15.75" customHeight="1">
      <c r="A48" s="853"/>
      <c r="B48" s="853"/>
      <c r="C48" s="853"/>
      <c r="D48" s="853"/>
      <c r="E48" s="853"/>
      <c r="F48" s="853"/>
      <c r="G48" s="853"/>
      <c r="H48" s="853"/>
      <c r="I48" s="853"/>
      <c r="J48" s="853"/>
      <c r="K48" s="853"/>
      <c r="L48" s="853"/>
      <c r="M48" s="853"/>
      <c r="N48" s="853"/>
      <c r="O48" s="853"/>
      <c r="P48" s="853"/>
      <c r="Q48" s="853"/>
      <c r="R48" s="853"/>
      <c r="S48" s="853"/>
      <c r="T48" s="853"/>
      <c r="U48" s="853"/>
      <c r="V48" s="853"/>
      <c r="W48" s="853"/>
      <c r="X48" s="853"/>
      <c r="Y48" s="853"/>
      <c r="Z48" s="853"/>
    </row>
    <row r="49" ht="15.75" customHeight="1">
      <c r="A49" s="853"/>
      <c r="B49" s="853"/>
      <c r="C49" s="853"/>
      <c r="D49" s="853"/>
      <c r="E49" s="853"/>
      <c r="F49" s="853"/>
      <c r="G49" s="853"/>
      <c r="H49" s="853"/>
      <c r="I49" s="853"/>
      <c r="J49" s="853"/>
      <c r="K49" s="853"/>
      <c r="L49" s="853"/>
      <c r="M49" s="853"/>
      <c r="N49" s="853"/>
      <c r="O49" s="853"/>
      <c r="P49" s="853"/>
      <c r="Q49" s="853"/>
      <c r="R49" s="853"/>
      <c r="S49" s="853"/>
      <c r="T49" s="853"/>
      <c r="U49" s="853"/>
      <c r="V49" s="853"/>
      <c r="W49" s="853"/>
      <c r="X49" s="853"/>
      <c r="Y49" s="853"/>
      <c r="Z49" s="853"/>
    </row>
    <row r="50" ht="15.75" customHeight="1">
      <c r="A50" s="853"/>
      <c r="B50" s="853"/>
      <c r="C50" s="853"/>
      <c r="D50" s="853"/>
      <c r="E50" s="853"/>
      <c r="F50" s="853"/>
      <c r="G50" s="853"/>
      <c r="H50" s="853"/>
      <c r="I50" s="853"/>
      <c r="J50" s="853"/>
      <c r="K50" s="853"/>
      <c r="L50" s="853"/>
      <c r="M50" s="853"/>
      <c r="N50" s="853"/>
      <c r="O50" s="853"/>
      <c r="P50" s="853"/>
      <c r="Q50" s="853"/>
      <c r="R50" s="853"/>
      <c r="S50" s="853"/>
      <c r="T50" s="853"/>
      <c r="U50" s="853"/>
      <c r="V50" s="853"/>
      <c r="W50" s="853"/>
      <c r="X50" s="853"/>
      <c r="Y50" s="853"/>
      <c r="Z50" s="853"/>
    </row>
    <row r="51" ht="15.75" customHeight="1">
      <c r="A51" s="853"/>
      <c r="B51" s="853"/>
      <c r="C51" s="853"/>
      <c r="D51" s="853"/>
      <c r="E51" s="853"/>
      <c r="F51" s="853"/>
      <c r="G51" s="853"/>
      <c r="H51" s="853"/>
      <c r="I51" s="853"/>
      <c r="J51" s="853"/>
      <c r="K51" s="853"/>
      <c r="L51" s="853"/>
      <c r="M51" s="853"/>
      <c r="N51" s="853"/>
      <c r="O51" s="853"/>
      <c r="P51" s="853"/>
      <c r="Q51" s="853"/>
      <c r="R51" s="853"/>
      <c r="S51" s="853"/>
      <c r="T51" s="853"/>
      <c r="U51" s="853"/>
      <c r="V51" s="853"/>
      <c r="W51" s="853"/>
      <c r="X51" s="853"/>
      <c r="Y51" s="853"/>
      <c r="Z51" s="853"/>
    </row>
    <row r="52" ht="15.75" customHeight="1">
      <c r="A52" s="853"/>
      <c r="B52" s="853"/>
      <c r="C52" s="853"/>
      <c r="D52" s="853"/>
      <c r="E52" s="853"/>
      <c r="F52" s="853"/>
      <c r="G52" s="853"/>
      <c r="H52" s="853"/>
      <c r="I52" s="853"/>
      <c r="J52" s="853"/>
      <c r="K52" s="853"/>
      <c r="L52" s="853"/>
      <c r="M52" s="853"/>
      <c r="N52" s="853"/>
      <c r="O52" s="853"/>
      <c r="P52" s="853"/>
      <c r="Q52" s="853"/>
      <c r="R52" s="853"/>
      <c r="S52" s="853"/>
      <c r="T52" s="853"/>
      <c r="U52" s="853"/>
      <c r="V52" s="853"/>
      <c r="W52" s="853"/>
      <c r="X52" s="853"/>
      <c r="Y52" s="853"/>
      <c r="Z52" s="853"/>
    </row>
    <row r="53" ht="15.75" customHeight="1">
      <c r="A53" s="853"/>
      <c r="B53" s="853"/>
      <c r="C53" s="853"/>
      <c r="D53" s="853"/>
      <c r="E53" s="853"/>
      <c r="F53" s="853"/>
      <c r="G53" s="853"/>
      <c r="H53" s="853"/>
      <c r="I53" s="853"/>
      <c r="J53" s="853"/>
      <c r="K53" s="853"/>
      <c r="L53" s="853"/>
      <c r="M53" s="853"/>
      <c r="N53" s="853"/>
      <c r="O53" s="853"/>
      <c r="P53" s="853"/>
      <c r="Q53" s="853"/>
      <c r="R53" s="853"/>
      <c r="S53" s="853"/>
      <c r="T53" s="853"/>
      <c r="U53" s="853"/>
      <c r="V53" s="853"/>
      <c r="W53" s="853"/>
      <c r="X53" s="853"/>
      <c r="Y53" s="853"/>
      <c r="Z53" s="853"/>
    </row>
    <row r="54" ht="15.75" customHeight="1">
      <c r="A54" s="853"/>
      <c r="B54" s="853"/>
      <c r="C54" s="853"/>
      <c r="D54" s="853"/>
      <c r="E54" s="853"/>
      <c r="F54" s="853"/>
      <c r="G54" s="853"/>
      <c r="H54" s="853"/>
      <c r="I54" s="853"/>
      <c r="J54" s="853"/>
      <c r="K54" s="853"/>
      <c r="L54" s="853"/>
      <c r="M54" s="853"/>
      <c r="N54" s="853"/>
      <c r="O54" s="853"/>
      <c r="P54" s="853"/>
      <c r="Q54" s="853"/>
      <c r="R54" s="853"/>
      <c r="S54" s="853"/>
      <c r="T54" s="853"/>
      <c r="U54" s="853"/>
      <c r="V54" s="853"/>
      <c r="W54" s="853"/>
      <c r="X54" s="853"/>
      <c r="Y54" s="853"/>
      <c r="Z54" s="853"/>
    </row>
    <row r="55" ht="15.75" customHeight="1">
      <c r="A55" s="853"/>
      <c r="B55" s="853"/>
      <c r="C55" s="853"/>
      <c r="D55" s="853"/>
      <c r="E55" s="853"/>
      <c r="F55" s="853"/>
      <c r="G55" s="853"/>
      <c r="H55" s="853"/>
      <c r="I55" s="853"/>
      <c r="J55" s="853"/>
      <c r="K55" s="853"/>
      <c r="L55" s="853"/>
      <c r="M55" s="853"/>
      <c r="N55" s="853"/>
      <c r="O55" s="853"/>
      <c r="P55" s="853"/>
      <c r="Q55" s="853"/>
      <c r="R55" s="853"/>
      <c r="S55" s="853"/>
      <c r="T55" s="853"/>
      <c r="U55" s="853"/>
      <c r="V55" s="853"/>
      <c r="W55" s="853"/>
      <c r="X55" s="853"/>
      <c r="Y55" s="853"/>
      <c r="Z55" s="853"/>
    </row>
    <row r="56" ht="15.75" customHeight="1">
      <c r="A56" s="853"/>
      <c r="B56" s="853"/>
      <c r="C56" s="853"/>
      <c r="D56" s="853"/>
      <c r="E56" s="853"/>
      <c r="F56" s="853"/>
      <c r="G56" s="853"/>
      <c r="H56" s="853"/>
      <c r="I56" s="853"/>
      <c r="J56" s="853"/>
      <c r="K56" s="853"/>
      <c r="L56" s="853"/>
      <c r="M56" s="853"/>
      <c r="N56" s="853"/>
      <c r="O56" s="853"/>
      <c r="P56" s="853"/>
      <c r="Q56" s="853"/>
      <c r="R56" s="853"/>
      <c r="S56" s="853"/>
      <c r="T56" s="853"/>
      <c r="U56" s="853"/>
      <c r="V56" s="853"/>
      <c r="W56" s="853"/>
      <c r="X56" s="853"/>
      <c r="Y56" s="853"/>
      <c r="Z56" s="853"/>
    </row>
    <row r="57" ht="15.75" customHeight="1">
      <c r="A57" s="853"/>
      <c r="B57" s="853"/>
      <c r="C57" s="853"/>
      <c r="D57" s="853"/>
      <c r="E57" s="853"/>
      <c r="F57" s="853"/>
      <c r="G57" s="853"/>
      <c r="H57" s="853"/>
      <c r="I57" s="853"/>
      <c r="J57" s="853"/>
      <c r="K57" s="853"/>
      <c r="L57" s="853"/>
      <c r="M57" s="853"/>
      <c r="N57" s="853"/>
      <c r="O57" s="853"/>
      <c r="P57" s="853"/>
      <c r="Q57" s="853"/>
      <c r="R57" s="853"/>
      <c r="S57" s="853"/>
      <c r="T57" s="853"/>
      <c r="U57" s="853"/>
      <c r="V57" s="853"/>
      <c r="W57" s="853"/>
      <c r="X57" s="853"/>
      <c r="Y57" s="853"/>
      <c r="Z57" s="853"/>
    </row>
    <row r="58" ht="15.75" customHeight="1">
      <c r="A58" s="853"/>
      <c r="B58" s="853"/>
      <c r="C58" s="853"/>
      <c r="D58" s="853"/>
      <c r="E58" s="853"/>
      <c r="F58" s="853"/>
      <c r="G58" s="853"/>
      <c r="H58" s="853"/>
      <c r="I58" s="853"/>
      <c r="J58" s="853"/>
      <c r="K58" s="853"/>
      <c r="L58" s="853"/>
      <c r="M58" s="853"/>
      <c r="N58" s="853"/>
      <c r="O58" s="853"/>
      <c r="P58" s="853"/>
      <c r="Q58" s="853"/>
      <c r="R58" s="853"/>
      <c r="S58" s="853"/>
      <c r="T58" s="853"/>
      <c r="U58" s="853"/>
      <c r="V58" s="853"/>
      <c r="W58" s="853"/>
      <c r="X58" s="853"/>
      <c r="Y58" s="853"/>
      <c r="Z58" s="853"/>
    </row>
    <row r="59" ht="15.75" customHeight="1">
      <c r="A59" s="853"/>
      <c r="B59" s="853"/>
      <c r="C59" s="853"/>
      <c r="D59" s="853"/>
      <c r="E59" s="853"/>
      <c r="F59" s="853"/>
      <c r="G59" s="853"/>
      <c r="H59" s="853"/>
      <c r="I59" s="853"/>
      <c r="J59" s="853"/>
      <c r="K59" s="853"/>
      <c r="L59" s="853"/>
      <c r="M59" s="853"/>
      <c r="N59" s="853"/>
      <c r="O59" s="853"/>
      <c r="P59" s="853"/>
      <c r="Q59" s="853"/>
      <c r="R59" s="853"/>
      <c r="S59" s="853"/>
      <c r="T59" s="853"/>
      <c r="U59" s="853"/>
      <c r="V59" s="853"/>
      <c r="W59" s="853"/>
      <c r="X59" s="853"/>
      <c r="Y59" s="853"/>
      <c r="Z59" s="853"/>
    </row>
    <row r="60" ht="15.75" customHeight="1">
      <c r="A60" s="853"/>
      <c r="B60" s="853"/>
      <c r="C60" s="853"/>
      <c r="D60" s="853"/>
      <c r="E60" s="853"/>
      <c r="F60" s="853"/>
      <c r="G60" s="853"/>
      <c r="H60" s="853"/>
      <c r="I60" s="853"/>
      <c r="J60" s="853"/>
      <c r="K60" s="853"/>
      <c r="L60" s="853"/>
      <c r="M60" s="853"/>
      <c r="N60" s="853"/>
      <c r="O60" s="853"/>
      <c r="P60" s="853"/>
      <c r="Q60" s="853"/>
      <c r="R60" s="853"/>
      <c r="S60" s="853"/>
      <c r="T60" s="853"/>
      <c r="U60" s="853"/>
      <c r="V60" s="853"/>
      <c r="W60" s="853"/>
      <c r="X60" s="853"/>
      <c r="Y60" s="853"/>
      <c r="Z60" s="853"/>
    </row>
    <row r="61" ht="15.75" customHeight="1">
      <c r="A61" s="853"/>
      <c r="B61" s="853"/>
      <c r="C61" s="853"/>
      <c r="D61" s="853"/>
      <c r="E61" s="853"/>
      <c r="F61" s="853"/>
      <c r="G61" s="853"/>
      <c r="H61" s="853"/>
      <c r="I61" s="853"/>
      <c r="J61" s="853"/>
      <c r="K61" s="853"/>
      <c r="L61" s="853"/>
      <c r="M61" s="853"/>
      <c r="N61" s="853"/>
      <c r="O61" s="853"/>
      <c r="P61" s="853"/>
      <c r="Q61" s="853"/>
      <c r="R61" s="853"/>
      <c r="S61" s="853"/>
      <c r="T61" s="853"/>
      <c r="U61" s="853"/>
      <c r="V61" s="853"/>
      <c r="W61" s="853"/>
      <c r="X61" s="853"/>
      <c r="Y61" s="853"/>
      <c r="Z61" s="853"/>
    </row>
    <row r="62" ht="15.75" customHeight="1">
      <c r="A62" s="853"/>
      <c r="B62" s="853"/>
      <c r="C62" s="853"/>
      <c r="D62" s="853"/>
      <c r="E62" s="853"/>
      <c r="F62" s="853"/>
      <c r="G62" s="853"/>
      <c r="H62" s="853"/>
      <c r="I62" s="853"/>
      <c r="J62" s="853"/>
      <c r="K62" s="853"/>
      <c r="L62" s="853"/>
      <c r="M62" s="853"/>
      <c r="N62" s="853"/>
      <c r="O62" s="853"/>
      <c r="P62" s="853"/>
      <c r="Q62" s="853"/>
      <c r="R62" s="853"/>
      <c r="S62" s="853"/>
      <c r="T62" s="853"/>
      <c r="U62" s="853"/>
      <c r="V62" s="853"/>
      <c r="W62" s="853"/>
      <c r="X62" s="853"/>
      <c r="Y62" s="853"/>
      <c r="Z62" s="853"/>
    </row>
    <row r="63" ht="15.75" customHeight="1">
      <c r="A63" s="853"/>
      <c r="B63" s="853"/>
      <c r="C63" s="853"/>
      <c r="D63" s="853"/>
      <c r="E63" s="853"/>
      <c r="F63" s="853"/>
      <c r="G63" s="853"/>
      <c r="H63" s="853"/>
      <c r="I63" s="853"/>
      <c r="J63" s="853"/>
      <c r="K63" s="853"/>
      <c r="L63" s="853"/>
      <c r="M63" s="853"/>
      <c r="N63" s="853"/>
      <c r="O63" s="853"/>
      <c r="P63" s="853"/>
      <c r="Q63" s="853"/>
      <c r="R63" s="853"/>
      <c r="S63" s="853"/>
      <c r="T63" s="853"/>
      <c r="U63" s="853"/>
      <c r="V63" s="853"/>
      <c r="W63" s="853"/>
      <c r="X63" s="853"/>
      <c r="Y63" s="853"/>
      <c r="Z63" s="853"/>
    </row>
    <row r="64" ht="15.75" customHeight="1">
      <c r="A64" s="853"/>
      <c r="B64" s="853"/>
      <c r="C64" s="853"/>
      <c r="D64" s="853"/>
      <c r="E64" s="853"/>
      <c r="F64" s="853"/>
      <c r="G64" s="853"/>
      <c r="H64" s="853"/>
      <c r="I64" s="853"/>
      <c r="J64" s="853"/>
      <c r="K64" s="853"/>
      <c r="L64" s="853"/>
      <c r="M64" s="853"/>
      <c r="N64" s="853"/>
      <c r="O64" s="853"/>
      <c r="P64" s="853"/>
      <c r="Q64" s="853"/>
      <c r="R64" s="853"/>
      <c r="S64" s="853"/>
      <c r="T64" s="853"/>
      <c r="U64" s="853"/>
      <c r="V64" s="853"/>
      <c r="W64" s="853"/>
      <c r="X64" s="853"/>
      <c r="Y64" s="853"/>
      <c r="Z64" s="853"/>
    </row>
    <row r="65" ht="15.75" customHeight="1">
      <c r="A65" s="853"/>
      <c r="B65" s="853"/>
      <c r="C65" s="853"/>
      <c r="D65" s="853"/>
      <c r="E65" s="853"/>
      <c r="F65" s="853"/>
      <c r="G65" s="853"/>
      <c r="H65" s="853"/>
      <c r="I65" s="853"/>
      <c r="J65" s="853"/>
      <c r="K65" s="853"/>
      <c r="L65" s="853"/>
      <c r="M65" s="853"/>
      <c r="N65" s="853"/>
      <c r="O65" s="853"/>
      <c r="P65" s="853"/>
      <c r="Q65" s="853"/>
      <c r="R65" s="853"/>
      <c r="S65" s="853"/>
      <c r="T65" s="853"/>
      <c r="U65" s="853"/>
      <c r="V65" s="853"/>
      <c r="W65" s="853"/>
      <c r="X65" s="853"/>
      <c r="Y65" s="853"/>
      <c r="Z65" s="853"/>
    </row>
    <row r="66" ht="15.75" customHeight="1">
      <c r="A66" s="853"/>
      <c r="B66" s="853"/>
      <c r="C66" s="853"/>
      <c r="D66" s="853"/>
      <c r="E66" s="853"/>
      <c r="F66" s="853"/>
      <c r="G66" s="853"/>
      <c r="H66" s="853"/>
      <c r="I66" s="853"/>
      <c r="J66" s="853"/>
      <c r="K66" s="853"/>
      <c r="L66" s="853"/>
      <c r="M66" s="853"/>
      <c r="N66" s="853"/>
      <c r="O66" s="853"/>
      <c r="P66" s="853"/>
      <c r="Q66" s="853"/>
      <c r="R66" s="853"/>
      <c r="S66" s="853"/>
      <c r="T66" s="853"/>
      <c r="U66" s="853"/>
      <c r="V66" s="853"/>
      <c r="W66" s="853"/>
      <c r="X66" s="853"/>
      <c r="Y66" s="853"/>
      <c r="Z66" s="853"/>
    </row>
    <row r="67" ht="15.75" customHeight="1">
      <c r="A67" s="853"/>
      <c r="B67" s="853"/>
      <c r="C67" s="853"/>
      <c r="D67" s="853"/>
      <c r="E67" s="853"/>
      <c r="F67" s="853"/>
      <c r="G67" s="853"/>
      <c r="H67" s="853"/>
      <c r="I67" s="853"/>
      <c r="J67" s="853"/>
      <c r="K67" s="853"/>
      <c r="L67" s="853"/>
      <c r="M67" s="853"/>
      <c r="N67" s="853"/>
      <c r="O67" s="853"/>
      <c r="P67" s="853"/>
      <c r="Q67" s="853"/>
      <c r="R67" s="853"/>
      <c r="S67" s="853"/>
      <c r="T67" s="853"/>
      <c r="U67" s="853"/>
      <c r="V67" s="853"/>
      <c r="W67" s="853"/>
      <c r="X67" s="853"/>
      <c r="Y67" s="853"/>
      <c r="Z67" s="853"/>
    </row>
    <row r="68" ht="15.75" customHeight="1">
      <c r="A68" s="853"/>
      <c r="B68" s="853"/>
      <c r="C68" s="853"/>
      <c r="D68" s="853"/>
      <c r="E68" s="853"/>
      <c r="F68" s="853"/>
      <c r="G68" s="853"/>
      <c r="H68" s="853"/>
      <c r="I68" s="853"/>
      <c r="J68" s="853"/>
      <c r="K68" s="853"/>
      <c r="L68" s="853"/>
      <c r="M68" s="853"/>
      <c r="N68" s="853"/>
      <c r="O68" s="853"/>
      <c r="P68" s="853"/>
      <c r="Q68" s="853"/>
      <c r="R68" s="853"/>
      <c r="S68" s="853"/>
      <c r="T68" s="853"/>
      <c r="U68" s="853"/>
      <c r="V68" s="853"/>
      <c r="W68" s="853"/>
      <c r="X68" s="853"/>
      <c r="Y68" s="853"/>
      <c r="Z68" s="853"/>
    </row>
    <row r="69" ht="15.75" customHeight="1">
      <c r="A69" s="853"/>
      <c r="B69" s="853"/>
      <c r="C69" s="853"/>
      <c r="D69" s="853"/>
      <c r="E69" s="853"/>
      <c r="F69" s="853"/>
      <c r="G69" s="853"/>
      <c r="H69" s="853"/>
      <c r="I69" s="853"/>
      <c r="J69" s="853"/>
      <c r="K69" s="853"/>
      <c r="L69" s="853"/>
      <c r="M69" s="853"/>
      <c r="N69" s="853"/>
      <c r="O69" s="853"/>
      <c r="P69" s="853"/>
      <c r="Q69" s="853"/>
      <c r="R69" s="853"/>
      <c r="S69" s="853"/>
      <c r="T69" s="853"/>
      <c r="U69" s="853"/>
      <c r="V69" s="853"/>
      <c r="W69" s="853"/>
      <c r="X69" s="853"/>
      <c r="Y69" s="853"/>
      <c r="Z69" s="853"/>
    </row>
    <row r="70" ht="15.75" customHeight="1">
      <c r="A70" s="853"/>
      <c r="B70" s="853"/>
      <c r="C70" s="853"/>
      <c r="D70" s="853"/>
      <c r="E70" s="853"/>
      <c r="F70" s="853"/>
      <c r="G70" s="853"/>
      <c r="H70" s="853"/>
      <c r="I70" s="853"/>
      <c r="J70" s="853"/>
      <c r="K70" s="853"/>
      <c r="L70" s="853"/>
      <c r="M70" s="853"/>
      <c r="N70" s="853"/>
      <c r="O70" s="853"/>
      <c r="P70" s="853"/>
      <c r="Q70" s="853"/>
      <c r="R70" s="853"/>
      <c r="S70" s="853"/>
      <c r="T70" s="853"/>
      <c r="U70" s="853"/>
      <c r="V70" s="853"/>
      <c r="W70" s="853"/>
      <c r="X70" s="853"/>
      <c r="Y70" s="853"/>
      <c r="Z70" s="853"/>
    </row>
    <row r="71" ht="15.75" customHeight="1">
      <c r="A71" s="853"/>
      <c r="B71" s="853"/>
      <c r="C71" s="853"/>
      <c r="D71" s="853"/>
      <c r="E71" s="853"/>
      <c r="F71" s="853"/>
      <c r="G71" s="853"/>
      <c r="H71" s="853"/>
      <c r="I71" s="853"/>
      <c r="J71" s="853"/>
      <c r="K71" s="853"/>
      <c r="L71" s="853"/>
      <c r="M71" s="853"/>
      <c r="N71" s="853"/>
      <c r="O71" s="853"/>
      <c r="P71" s="853"/>
      <c r="Q71" s="853"/>
      <c r="R71" s="853"/>
      <c r="S71" s="853"/>
      <c r="T71" s="853"/>
      <c r="U71" s="853"/>
      <c r="V71" s="853"/>
      <c r="W71" s="853"/>
      <c r="X71" s="853"/>
      <c r="Y71" s="853"/>
      <c r="Z71" s="853"/>
    </row>
    <row r="72" ht="15.75" customHeight="1">
      <c r="A72" s="853"/>
      <c r="B72" s="853"/>
      <c r="C72" s="853"/>
      <c r="D72" s="853"/>
      <c r="E72" s="853"/>
      <c r="F72" s="853"/>
      <c r="G72" s="853"/>
      <c r="H72" s="853"/>
      <c r="I72" s="853"/>
      <c r="J72" s="853"/>
      <c r="K72" s="853"/>
      <c r="L72" s="853"/>
      <c r="M72" s="853"/>
      <c r="N72" s="853"/>
      <c r="O72" s="853"/>
      <c r="P72" s="853"/>
      <c r="Q72" s="853"/>
      <c r="R72" s="853"/>
      <c r="S72" s="853"/>
      <c r="T72" s="853"/>
      <c r="U72" s="853"/>
      <c r="V72" s="853"/>
      <c r="W72" s="853"/>
      <c r="X72" s="853"/>
      <c r="Y72" s="853"/>
      <c r="Z72" s="853"/>
    </row>
    <row r="73" ht="15.75" customHeight="1">
      <c r="A73" s="853"/>
      <c r="B73" s="853"/>
      <c r="C73" s="853"/>
      <c r="D73" s="853"/>
      <c r="E73" s="853"/>
      <c r="F73" s="853"/>
      <c r="G73" s="853"/>
      <c r="H73" s="853"/>
      <c r="I73" s="853"/>
      <c r="J73" s="853"/>
      <c r="K73" s="853"/>
      <c r="L73" s="853"/>
      <c r="M73" s="853"/>
      <c r="N73" s="853"/>
      <c r="O73" s="853"/>
      <c r="P73" s="853"/>
      <c r="Q73" s="853"/>
      <c r="R73" s="853"/>
      <c r="S73" s="853"/>
      <c r="T73" s="853"/>
      <c r="U73" s="853"/>
      <c r="V73" s="853"/>
      <c r="W73" s="853"/>
      <c r="X73" s="853"/>
      <c r="Y73" s="853"/>
      <c r="Z73" s="853"/>
    </row>
    <row r="74" ht="15.75" customHeight="1">
      <c r="A74" s="853"/>
      <c r="B74" s="853"/>
      <c r="C74" s="853"/>
      <c r="D74" s="853"/>
      <c r="E74" s="853"/>
      <c r="F74" s="853"/>
      <c r="G74" s="853"/>
      <c r="H74" s="853"/>
      <c r="I74" s="853"/>
      <c r="J74" s="853"/>
      <c r="K74" s="853"/>
      <c r="L74" s="853"/>
      <c r="M74" s="853"/>
      <c r="N74" s="853"/>
      <c r="O74" s="853"/>
      <c r="P74" s="853"/>
      <c r="Q74" s="853"/>
      <c r="R74" s="853"/>
      <c r="S74" s="853"/>
      <c r="T74" s="853"/>
      <c r="U74" s="853"/>
      <c r="V74" s="853"/>
      <c r="W74" s="853"/>
      <c r="X74" s="853"/>
      <c r="Y74" s="853"/>
      <c r="Z74" s="853"/>
    </row>
    <row r="75" ht="15.75" customHeight="1">
      <c r="A75" s="853"/>
      <c r="B75" s="853"/>
      <c r="C75" s="853"/>
      <c r="D75" s="853"/>
      <c r="E75" s="853"/>
      <c r="F75" s="853"/>
      <c r="G75" s="853"/>
      <c r="H75" s="853"/>
      <c r="I75" s="853"/>
      <c r="J75" s="853"/>
      <c r="K75" s="853"/>
      <c r="L75" s="853"/>
      <c r="M75" s="853"/>
      <c r="N75" s="853"/>
      <c r="O75" s="853"/>
      <c r="P75" s="853"/>
      <c r="Q75" s="853"/>
      <c r="R75" s="853"/>
      <c r="S75" s="853"/>
      <c r="T75" s="853"/>
      <c r="U75" s="853"/>
      <c r="V75" s="853"/>
      <c r="W75" s="853"/>
      <c r="X75" s="853"/>
      <c r="Y75" s="853"/>
      <c r="Z75" s="853"/>
    </row>
    <row r="76" ht="15.75" customHeight="1">
      <c r="A76" s="853"/>
      <c r="B76" s="853"/>
      <c r="C76" s="853"/>
      <c r="D76" s="853"/>
      <c r="E76" s="853"/>
      <c r="F76" s="853"/>
      <c r="G76" s="853"/>
      <c r="H76" s="853"/>
      <c r="I76" s="853"/>
      <c r="J76" s="853"/>
      <c r="K76" s="853"/>
      <c r="L76" s="853"/>
      <c r="M76" s="853"/>
      <c r="N76" s="853"/>
      <c r="O76" s="853"/>
      <c r="P76" s="853"/>
      <c r="Q76" s="853"/>
      <c r="R76" s="853"/>
      <c r="S76" s="853"/>
      <c r="T76" s="853"/>
      <c r="U76" s="853"/>
      <c r="V76" s="853"/>
      <c r="W76" s="853"/>
      <c r="X76" s="853"/>
      <c r="Y76" s="853"/>
      <c r="Z76" s="853"/>
    </row>
    <row r="77" ht="15.75" customHeight="1">
      <c r="A77" s="853"/>
      <c r="B77" s="853"/>
      <c r="C77" s="853"/>
      <c r="D77" s="853"/>
      <c r="E77" s="853"/>
      <c r="F77" s="853"/>
      <c r="G77" s="853"/>
      <c r="H77" s="853"/>
      <c r="I77" s="853"/>
      <c r="J77" s="853"/>
      <c r="K77" s="853"/>
      <c r="L77" s="853"/>
      <c r="M77" s="853"/>
      <c r="N77" s="853"/>
      <c r="O77" s="853"/>
      <c r="P77" s="853"/>
      <c r="Q77" s="853"/>
      <c r="R77" s="853"/>
      <c r="S77" s="853"/>
      <c r="T77" s="853"/>
      <c r="U77" s="853"/>
      <c r="V77" s="853"/>
      <c r="W77" s="853"/>
      <c r="X77" s="853"/>
      <c r="Y77" s="853"/>
      <c r="Z77" s="853"/>
    </row>
    <row r="78" ht="15.75" customHeight="1">
      <c r="A78" s="853"/>
      <c r="B78" s="853"/>
      <c r="C78" s="853"/>
      <c r="D78" s="853"/>
      <c r="E78" s="853"/>
      <c r="F78" s="853"/>
      <c r="G78" s="853"/>
      <c r="H78" s="853"/>
      <c r="I78" s="853"/>
      <c r="J78" s="853"/>
      <c r="K78" s="853"/>
      <c r="L78" s="853"/>
      <c r="M78" s="853"/>
      <c r="N78" s="853"/>
      <c r="O78" s="853"/>
      <c r="P78" s="853"/>
      <c r="Q78" s="853"/>
      <c r="R78" s="853"/>
      <c r="S78" s="853"/>
      <c r="T78" s="853"/>
      <c r="U78" s="853"/>
      <c r="V78" s="853"/>
      <c r="W78" s="853"/>
      <c r="X78" s="853"/>
      <c r="Y78" s="853"/>
      <c r="Z78" s="853"/>
    </row>
    <row r="79" ht="15.75" customHeight="1">
      <c r="A79" s="853"/>
      <c r="B79" s="853"/>
      <c r="C79" s="853"/>
      <c r="D79" s="853"/>
      <c r="E79" s="853"/>
      <c r="F79" s="853"/>
      <c r="G79" s="853"/>
      <c r="H79" s="853"/>
      <c r="I79" s="853"/>
      <c r="J79" s="853"/>
      <c r="K79" s="853"/>
      <c r="L79" s="853"/>
      <c r="M79" s="853"/>
      <c r="N79" s="853"/>
      <c r="O79" s="853"/>
      <c r="P79" s="853"/>
      <c r="Q79" s="853"/>
      <c r="R79" s="853"/>
      <c r="S79" s="853"/>
      <c r="T79" s="853"/>
      <c r="U79" s="853"/>
      <c r="V79" s="853"/>
      <c r="W79" s="853"/>
      <c r="X79" s="853"/>
      <c r="Y79" s="853"/>
      <c r="Z79" s="853"/>
    </row>
    <row r="80" ht="15.75" customHeight="1">
      <c r="A80" s="853"/>
      <c r="B80" s="853"/>
      <c r="C80" s="853"/>
      <c r="D80" s="853"/>
      <c r="E80" s="853"/>
      <c r="F80" s="853"/>
      <c r="G80" s="853"/>
      <c r="H80" s="853"/>
      <c r="I80" s="853"/>
      <c r="J80" s="853"/>
      <c r="K80" s="853"/>
      <c r="L80" s="853"/>
      <c r="M80" s="853"/>
      <c r="N80" s="853"/>
      <c r="O80" s="853"/>
      <c r="P80" s="853"/>
      <c r="Q80" s="853"/>
      <c r="R80" s="853"/>
      <c r="S80" s="853"/>
      <c r="T80" s="853"/>
      <c r="U80" s="853"/>
      <c r="V80" s="853"/>
      <c r="W80" s="853"/>
      <c r="X80" s="853"/>
      <c r="Y80" s="853"/>
      <c r="Z80" s="853"/>
    </row>
    <row r="81" ht="15.75" customHeight="1">
      <c r="A81" s="853"/>
      <c r="B81" s="853"/>
      <c r="C81" s="853"/>
      <c r="D81" s="853"/>
      <c r="E81" s="853"/>
      <c r="F81" s="853"/>
      <c r="G81" s="853"/>
      <c r="H81" s="853"/>
      <c r="I81" s="853"/>
      <c r="J81" s="853"/>
      <c r="K81" s="853"/>
      <c r="L81" s="853"/>
      <c r="M81" s="853"/>
      <c r="N81" s="853"/>
      <c r="O81" s="853"/>
      <c r="P81" s="853"/>
      <c r="Q81" s="853"/>
      <c r="R81" s="853"/>
      <c r="S81" s="853"/>
      <c r="T81" s="853"/>
      <c r="U81" s="853"/>
      <c r="V81" s="853"/>
      <c r="W81" s="853"/>
      <c r="X81" s="853"/>
      <c r="Y81" s="853"/>
      <c r="Z81" s="853"/>
    </row>
    <row r="82" ht="15.75" customHeight="1">
      <c r="A82" s="853"/>
      <c r="B82" s="853"/>
      <c r="C82" s="853"/>
      <c r="D82" s="853"/>
      <c r="E82" s="853"/>
      <c r="F82" s="853"/>
      <c r="G82" s="853"/>
      <c r="H82" s="853"/>
      <c r="I82" s="853"/>
      <c r="J82" s="853"/>
      <c r="K82" s="853"/>
      <c r="L82" s="853"/>
      <c r="M82" s="853"/>
      <c r="N82" s="853"/>
      <c r="O82" s="853"/>
      <c r="P82" s="853"/>
      <c r="Q82" s="853"/>
      <c r="R82" s="853"/>
      <c r="S82" s="853"/>
      <c r="T82" s="853"/>
      <c r="U82" s="853"/>
      <c r="V82" s="853"/>
      <c r="W82" s="853"/>
      <c r="X82" s="853"/>
      <c r="Y82" s="853"/>
      <c r="Z82" s="853"/>
    </row>
    <row r="83" ht="15.75" customHeight="1">
      <c r="A83" s="853"/>
      <c r="B83" s="853"/>
      <c r="C83" s="853"/>
      <c r="D83" s="853"/>
      <c r="E83" s="853"/>
      <c r="F83" s="853"/>
      <c r="G83" s="853"/>
      <c r="H83" s="853"/>
      <c r="I83" s="853"/>
      <c r="J83" s="853"/>
      <c r="K83" s="853"/>
      <c r="L83" s="853"/>
      <c r="M83" s="853"/>
      <c r="N83" s="853"/>
      <c r="O83" s="853"/>
      <c r="P83" s="853"/>
      <c r="Q83" s="853"/>
      <c r="R83" s="853"/>
      <c r="S83" s="853"/>
      <c r="T83" s="853"/>
      <c r="U83" s="853"/>
      <c r="V83" s="853"/>
      <c r="W83" s="853"/>
      <c r="X83" s="853"/>
      <c r="Y83" s="853"/>
      <c r="Z83" s="853"/>
    </row>
    <row r="84" ht="15.75" customHeight="1">
      <c r="A84" s="853"/>
      <c r="B84" s="853"/>
      <c r="C84" s="853"/>
      <c r="D84" s="853"/>
      <c r="E84" s="853"/>
      <c r="F84" s="853"/>
      <c r="G84" s="853"/>
      <c r="H84" s="853"/>
      <c r="I84" s="853"/>
      <c r="J84" s="853"/>
      <c r="K84" s="853"/>
      <c r="L84" s="853"/>
      <c r="M84" s="853"/>
      <c r="N84" s="853"/>
      <c r="O84" s="853"/>
      <c r="P84" s="853"/>
      <c r="Q84" s="853"/>
      <c r="R84" s="853"/>
      <c r="S84" s="853"/>
      <c r="T84" s="853"/>
      <c r="U84" s="853"/>
      <c r="V84" s="853"/>
      <c r="W84" s="853"/>
      <c r="X84" s="853"/>
      <c r="Y84" s="853"/>
      <c r="Z84" s="853"/>
    </row>
    <row r="85" ht="15.75" customHeight="1">
      <c r="A85" s="853"/>
      <c r="B85" s="853"/>
      <c r="C85" s="853"/>
      <c r="D85" s="853"/>
      <c r="E85" s="853"/>
      <c r="F85" s="853"/>
      <c r="G85" s="853"/>
      <c r="H85" s="853"/>
      <c r="I85" s="853"/>
      <c r="J85" s="853"/>
      <c r="K85" s="853"/>
      <c r="L85" s="853"/>
      <c r="M85" s="853"/>
      <c r="N85" s="853"/>
      <c r="O85" s="853"/>
      <c r="P85" s="853"/>
      <c r="Q85" s="853"/>
      <c r="R85" s="853"/>
      <c r="S85" s="853"/>
      <c r="T85" s="853"/>
      <c r="U85" s="853"/>
      <c r="V85" s="853"/>
      <c r="W85" s="853"/>
      <c r="X85" s="853"/>
      <c r="Y85" s="853"/>
      <c r="Z85" s="853"/>
    </row>
    <row r="86" ht="15.75" customHeight="1">
      <c r="A86" s="853"/>
      <c r="B86" s="853"/>
      <c r="C86" s="853"/>
      <c r="D86" s="853"/>
      <c r="E86" s="853"/>
      <c r="F86" s="853"/>
      <c r="G86" s="853"/>
      <c r="H86" s="853"/>
      <c r="I86" s="853"/>
      <c r="J86" s="853"/>
      <c r="K86" s="853"/>
      <c r="L86" s="853"/>
      <c r="M86" s="853"/>
      <c r="N86" s="853"/>
      <c r="O86" s="853"/>
      <c r="P86" s="853"/>
      <c r="Q86" s="853"/>
      <c r="R86" s="853"/>
      <c r="S86" s="853"/>
      <c r="T86" s="853"/>
      <c r="U86" s="853"/>
      <c r="V86" s="853"/>
      <c r="W86" s="853"/>
      <c r="X86" s="853"/>
      <c r="Y86" s="853"/>
      <c r="Z86" s="853"/>
    </row>
    <row r="87" ht="15.75" customHeight="1">
      <c r="A87" s="853"/>
      <c r="B87" s="853"/>
      <c r="C87" s="853"/>
      <c r="D87" s="853"/>
      <c r="E87" s="853"/>
      <c r="F87" s="853"/>
      <c r="G87" s="853"/>
      <c r="H87" s="853"/>
      <c r="I87" s="853"/>
      <c r="J87" s="853"/>
      <c r="K87" s="853"/>
      <c r="L87" s="853"/>
      <c r="M87" s="853"/>
      <c r="N87" s="853"/>
      <c r="O87" s="853"/>
      <c r="P87" s="853"/>
      <c r="Q87" s="853"/>
      <c r="R87" s="853"/>
      <c r="S87" s="853"/>
      <c r="T87" s="853"/>
      <c r="U87" s="853"/>
      <c r="V87" s="853"/>
      <c r="W87" s="853"/>
      <c r="X87" s="853"/>
      <c r="Y87" s="853"/>
      <c r="Z87" s="853"/>
    </row>
    <row r="88" ht="15.75" customHeight="1">
      <c r="A88" s="853"/>
      <c r="B88" s="853"/>
      <c r="C88" s="853"/>
      <c r="D88" s="853"/>
      <c r="E88" s="853"/>
      <c r="F88" s="853"/>
      <c r="G88" s="853"/>
      <c r="H88" s="853"/>
      <c r="I88" s="853"/>
      <c r="J88" s="853"/>
      <c r="K88" s="853"/>
      <c r="L88" s="853"/>
      <c r="M88" s="853"/>
      <c r="N88" s="853"/>
      <c r="O88" s="853"/>
      <c r="P88" s="853"/>
      <c r="Q88" s="853"/>
      <c r="R88" s="853"/>
      <c r="S88" s="853"/>
      <c r="T88" s="853"/>
      <c r="U88" s="853"/>
      <c r="V88" s="853"/>
      <c r="W88" s="853"/>
      <c r="X88" s="853"/>
      <c r="Y88" s="853"/>
      <c r="Z88" s="853"/>
    </row>
    <row r="89" ht="15.75" customHeight="1">
      <c r="A89" s="853"/>
      <c r="B89" s="853"/>
      <c r="C89" s="853"/>
      <c r="D89" s="853"/>
      <c r="E89" s="853"/>
      <c r="F89" s="853"/>
      <c r="G89" s="853"/>
      <c r="H89" s="853"/>
      <c r="I89" s="853"/>
      <c r="J89" s="853"/>
      <c r="K89" s="853"/>
      <c r="L89" s="853"/>
      <c r="M89" s="853"/>
      <c r="N89" s="853"/>
      <c r="O89" s="853"/>
      <c r="P89" s="853"/>
      <c r="Q89" s="853"/>
      <c r="R89" s="853"/>
      <c r="S89" s="853"/>
      <c r="T89" s="853"/>
      <c r="U89" s="853"/>
      <c r="V89" s="853"/>
      <c r="W89" s="853"/>
      <c r="X89" s="853"/>
      <c r="Y89" s="853"/>
      <c r="Z89" s="853"/>
    </row>
    <row r="90" ht="15.75" customHeight="1">
      <c r="A90" s="853"/>
      <c r="B90" s="853"/>
      <c r="C90" s="853"/>
      <c r="D90" s="853"/>
      <c r="E90" s="853"/>
      <c r="F90" s="853"/>
      <c r="G90" s="853"/>
      <c r="H90" s="853"/>
      <c r="I90" s="853"/>
      <c r="J90" s="853"/>
      <c r="K90" s="853"/>
      <c r="L90" s="853"/>
      <c r="M90" s="853"/>
      <c r="N90" s="853"/>
      <c r="O90" s="853"/>
      <c r="P90" s="853"/>
      <c r="Q90" s="853"/>
      <c r="R90" s="853"/>
      <c r="S90" s="853"/>
      <c r="T90" s="853"/>
      <c r="U90" s="853"/>
      <c r="V90" s="853"/>
      <c r="W90" s="853"/>
      <c r="X90" s="853"/>
      <c r="Y90" s="853"/>
      <c r="Z90" s="853"/>
    </row>
    <row r="91" ht="15.75" customHeight="1">
      <c r="A91" s="853"/>
      <c r="B91" s="853"/>
      <c r="C91" s="853"/>
      <c r="D91" s="853"/>
      <c r="E91" s="853"/>
      <c r="F91" s="853"/>
      <c r="G91" s="853"/>
      <c r="H91" s="853"/>
      <c r="I91" s="853"/>
      <c r="J91" s="853"/>
      <c r="K91" s="853"/>
      <c r="L91" s="853"/>
      <c r="M91" s="853"/>
      <c r="N91" s="853"/>
      <c r="O91" s="853"/>
      <c r="P91" s="853"/>
      <c r="Q91" s="853"/>
      <c r="R91" s="853"/>
      <c r="S91" s="853"/>
      <c r="T91" s="853"/>
      <c r="U91" s="853"/>
      <c r="V91" s="853"/>
      <c r="W91" s="853"/>
      <c r="X91" s="853"/>
      <c r="Y91" s="853"/>
      <c r="Z91" s="853"/>
    </row>
    <row r="92" ht="15.75" customHeight="1">
      <c r="A92" s="853"/>
      <c r="B92" s="853"/>
      <c r="C92" s="853"/>
      <c r="D92" s="853"/>
      <c r="E92" s="853"/>
      <c r="F92" s="853"/>
      <c r="G92" s="853"/>
      <c r="H92" s="853"/>
      <c r="I92" s="853"/>
      <c r="J92" s="853"/>
      <c r="K92" s="853"/>
      <c r="L92" s="853"/>
      <c r="M92" s="853"/>
      <c r="N92" s="853"/>
      <c r="O92" s="853"/>
      <c r="P92" s="853"/>
      <c r="Q92" s="853"/>
      <c r="R92" s="853"/>
      <c r="S92" s="853"/>
      <c r="T92" s="853"/>
      <c r="U92" s="853"/>
      <c r="V92" s="853"/>
      <c r="W92" s="853"/>
      <c r="X92" s="853"/>
      <c r="Y92" s="853"/>
      <c r="Z92" s="853"/>
    </row>
    <row r="93" ht="15.75" customHeight="1">
      <c r="A93" s="853"/>
      <c r="B93" s="853"/>
      <c r="C93" s="853"/>
      <c r="D93" s="853"/>
      <c r="E93" s="853"/>
      <c r="F93" s="853"/>
      <c r="G93" s="853"/>
      <c r="H93" s="853"/>
      <c r="I93" s="853"/>
      <c r="J93" s="853"/>
      <c r="K93" s="853"/>
      <c r="L93" s="853"/>
      <c r="M93" s="853"/>
      <c r="N93" s="853"/>
      <c r="O93" s="853"/>
      <c r="P93" s="853"/>
      <c r="Q93" s="853"/>
      <c r="R93" s="853"/>
      <c r="S93" s="853"/>
      <c r="T93" s="853"/>
      <c r="U93" s="853"/>
      <c r="V93" s="853"/>
      <c r="W93" s="853"/>
      <c r="X93" s="853"/>
      <c r="Y93" s="853"/>
      <c r="Z93" s="853"/>
    </row>
    <row r="94" ht="15.75" customHeight="1">
      <c r="A94" s="853"/>
      <c r="B94" s="853"/>
      <c r="C94" s="853"/>
      <c r="D94" s="853"/>
      <c r="E94" s="853"/>
      <c r="F94" s="853"/>
      <c r="G94" s="853"/>
      <c r="H94" s="853"/>
      <c r="I94" s="853"/>
      <c r="J94" s="853"/>
      <c r="K94" s="853"/>
      <c r="L94" s="853"/>
      <c r="M94" s="853"/>
      <c r="N94" s="853"/>
      <c r="O94" s="853"/>
      <c r="P94" s="853"/>
      <c r="Q94" s="853"/>
      <c r="R94" s="853"/>
      <c r="S94" s="853"/>
      <c r="T94" s="853"/>
      <c r="U94" s="853"/>
      <c r="V94" s="853"/>
      <c r="W94" s="853"/>
      <c r="X94" s="853"/>
      <c r="Y94" s="853"/>
      <c r="Z94" s="853"/>
    </row>
    <row r="95" ht="15.75" customHeight="1">
      <c r="A95" s="853"/>
      <c r="B95" s="853"/>
      <c r="C95" s="853"/>
      <c r="D95" s="853"/>
      <c r="E95" s="853"/>
      <c r="F95" s="853"/>
      <c r="G95" s="853"/>
      <c r="H95" s="853"/>
      <c r="I95" s="853"/>
      <c r="J95" s="853"/>
      <c r="K95" s="853"/>
      <c r="L95" s="853"/>
      <c r="M95" s="853"/>
      <c r="N95" s="853"/>
      <c r="O95" s="853"/>
      <c r="P95" s="853"/>
      <c r="Q95" s="853"/>
      <c r="R95" s="853"/>
      <c r="S95" s="853"/>
      <c r="T95" s="853"/>
      <c r="U95" s="853"/>
      <c r="V95" s="853"/>
      <c r="W95" s="853"/>
      <c r="X95" s="853"/>
      <c r="Y95" s="853"/>
      <c r="Z95" s="853"/>
    </row>
    <row r="96" ht="15.75" customHeight="1">
      <c r="A96" s="853"/>
      <c r="B96" s="853"/>
      <c r="C96" s="853"/>
      <c r="D96" s="853"/>
      <c r="E96" s="853"/>
      <c r="F96" s="853"/>
      <c r="G96" s="853"/>
      <c r="H96" s="853"/>
      <c r="I96" s="853"/>
      <c r="J96" s="853"/>
      <c r="K96" s="853"/>
      <c r="L96" s="853"/>
      <c r="M96" s="853"/>
      <c r="N96" s="853"/>
      <c r="O96" s="853"/>
      <c r="P96" s="853"/>
      <c r="Q96" s="853"/>
      <c r="R96" s="853"/>
      <c r="S96" s="853"/>
      <c r="T96" s="853"/>
      <c r="U96" s="853"/>
      <c r="V96" s="853"/>
      <c r="W96" s="853"/>
      <c r="X96" s="853"/>
      <c r="Y96" s="853"/>
      <c r="Z96" s="853"/>
    </row>
    <row r="97" ht="15.75" customHeight="1">
      <c r="A97" s="853"/>
      <c r="B97" s="853"/>
      <c r="C97" s="853"/>
      <c r="D97" s="853"/>
      <c r="E97" s="853"/>
      <c r="F97" s="853"/>
      <c r="G97" s="853"/>
      <c r="H97" s="853"/>
      <c r="I97" s="853"/>
      <c r="J97" s="853"/>
      <c r="K97" s="853"/>
      <c r="L97" s="853"/>
      <c r="M97" s="853"/>
      <c r="N97" s="853"/>
      <c r="O97" s="853"/>
      <c r="P97" s="853"/>
      <c r="Q97" s="853"/>
      <c r="R97" s="853"/>
      <c r="S97" s="853"/>
      <c r="T97" s="853"/>
      <c r="U97" s="853"/>
      <c r="V97" s="853"/>
      <c r="W97" s="853"/>
      <c r="X97" s="853"/>
      <c r="Y97" s="853"/>
      <c r="Z97" s="853"/>
    </row>
    <row r="98" ht="15.75" customHeight="1">
      <c r="A98" s="853"/>
      <c r="B98" s="853"/>
      <c r="C98" s="853"/>
      <c r="D98" s="853"/>
      <c r="E98" s="853"/>
      <c r="F98" s="853"/>
      <c r="G98" s="853"/>
      <c r="H98" s="853"/>
      <c r="I98" s="853"/>
      <c r="J98" s="853"/>
      <c r="K98" s="853"/>
      <c r="L98" s="853"/>
      <c r="M98" s="853"/>
      <c r="N98" s="853"/>
      <c r="O98" s="853"/>
      <c r="P98" s="853"/>
      <c r="Q98" s="853"/>
      <c r="R98" s="853"/>
      <c r="S98" s="853"/>
      <c r="T98" s="853"/>
      <c r="U98" s="853"/>
      <c r="V98" s="853"/>
      <c r="W98" s="853"/>
      <c r="X98" s="853"/>
      <c r="Y98" s="853"/>
      <c r="Z98" s="853"/>
    </row>
    <row r="99" ht="15.75" customHeight="1">
      <c r="A99" s="853"/>
      <c r="B99" s="853"/>
      <c r="C99" s="853"/>
      <c r="D99" s="853"/>
      <c r="E99" s="853"/>
      <c r="F99" s="853"/>
      <c r="G99" s="853"/>
      <c r="H99" s="853"/>
      <c r="I99" s="853"/>
      <c r="J99" s="853"/>
      <c r="K99" s="853"/>
      <c r="L99" s="853"/>
      <c r="M99" s="853"/>
      <c r="N99" s="853"/>
      <c r="O99" s="853"/>
      <c r="P99" s="853"/>
      <c r="Q99" s="853"/>
      <c r="R99" s="853"/>
      <c r="S99" s="853"/>
      <c r="T99" s="853"/>
      <c r="U99" s="853"/>
      <c r="V99" s="853"/>
      <c r="W99" s="853"/>
      <c r="X99" s="853"/>
      <c r="Y99" s="853"/>
      <c r="Z99" s="853"/>
    </row>
    <row r="100" ht="15.75" customHeight="1">
      <c r="A100" s="853"/>
      <c r="B100" s="853"/>
      <c r="C100" s="853"/>
      <c r="D100" s="853"/>
      <c r="E100" s="853"/>
      <c r="F100" s="853"/>
      <c r="G100" s="853"/>
      <c r="H100" s="853"/>
      <c r="I100" s="853"/>
      <c r="J100" s="853"/>
      <c r="K100" s="853"/>
      <c r="L100" s="853"/>
      <c r="M100" s="853"/>
      <c r="N100" s="853"/>
      <c r="O100" s="853"/>
      <c r="P100" s="853"/>
      <c r="Q100" s="853"/>
      <c r="R100" s="853"/>
      <c r="S100" s="853"/>
      <c r="T100" s="853"/>
      <c r="U100" s="853"/>
      <c r="V100" s="853"/>
      <c r="W100" s="853"/>
      <c r="X100" s="853"/>
      <c r="Y100" s="853"/>
      <c r="Z100" s="853"/>
    </row>
    <row r="101" ht="15.75" customHeight="1">
      <c r="A101" s="853"/>
      <c r="B101" s="853"/>
      <c r="C101" s="853"/>
      <c r="D101" s="853"/>
      <c r="E101" s="853"/>
      <c r="F101" s="853"/>
      <c r="G101" s="853"/>
      <c r="H101" s="853"/>
      <c r="I101" s="853"/>
      <c r="J101" s="853"/>
      <c r="K101" s="853"/>
      <c r="L101" s="853"/>
      <c r="M101" s="853"/>
      <c r="N101" s="853"/>
      <c r="O101" s="853"/>
      <c r="P101" s="853"/>
      <c r="Q101" s="853"/>
      <c r="R101" s="853"/>
      <c r="S101" s="853"/>
      <c r="T101" s="853"/>
      <c r="U101" s="853"/>
      <c r="V101" s="853"/>
      <c r="W101" s="853"/>
      <c r="X101" s="853"/>
      <c r="Y101" s="853"/>
      <c r="Z101" s="853"/>
    </row>
    <row r="102" ht="15.75" customHeight="1">
      <c r="A102" s="853"/>
      <c r="B102" s="853"/>
      <c r="C102" s="853"/>
      <c r="D102" s="853"/>
      <c r="E102" s="853"/>
      <c r="F102" s="853"/>
      <c r="G102" s="853"/>
      <c r="H102" s="853"/>
      <c r="I102" s="853"/>
      <c r="J102" s="853"/>
      <c r="K102" s="853"/>
      <c r="L102" s="853"/>
      <c r="M102" s="853"/>
      <c r="N102" s="853"/>
      <c r="O102" s="853"/>
      <c r="P102" s="853"/>
      <c r="Q102" s="853"/>
      <c r="R102" s="853"/>
      <c r="S102" s="853"/>
      <c r="T102" s="853"/>
      <c r="U102" s="853"/>
      <c r="V102" s="853"/>
      <c r="W102" s="853"/>
      <c r="X102" s="853"/>
      <c r="Y102" s="853"/>
      <c r="Z102" s="853"/>
    </row>
    <row r="103" ht="15.75" customHeight="1">
      <c r="A103" s="853"/>
      <c r="B103" s="853"/>
      <c r="C103" s="853"/>
      <c r="D103" s="853"/>
      <c r="E103" s="853"/>
      <c r="F103" s="853"/>
      <c r="G103" s="853"/>
      <c r="H103" s="853"/>
      <c r="I103" s="853"/>
      <c r="J103" s="853"/>
      <c r="K103" s="853"/>
      <c r="L103" s="853"/>
      <c r="M103" s="853"/>
      <c r="N103" s="853"/>
      <c r="O103" s="853"/>
      <c r="P103" s="853"/>
      <c r="Q103" s="853"/>
      <c r="R103" s="853"/>
      <c r="S103" s="853"/>
      <c r="T103" s="853"/>
      <c r="U103" s="853"/>
      <c r="V103" s="853"/>
      <c r="W103" s="853"/>
      <c r="X103" s="853"/>
      <c r="Y103" s="853"/>
      <c r="Z103" s="853"/>
    </row>
    <row r="104" ht="15.75" customHeight="1">
      <c r="A104" s="853"/>
      <c r="B104" s="853"/>
      <c r="C104" s="853"/>
      <c r="D104" s="853"/>
      <c r="E104" s="853"/>
      <c r="F104" s="853"/>
      <c r="G104" s="853"/>
      <c r="H104" s="853"/>
      <c r="I104" s="853"/>
      <c r="J104" s="853"/>
      <c r="K104" s="853"/>
      <c r="L104" s="853"/>
      <c r="M104" s="853"/>
      <c r="N104" s="853"/>
      <c r="O104" s="853"/>
      <c r="P104" s="853"/>
      <c r="Q104" s="853"/>
      <c r="R104" s="853"/>
      <c r="S104" s="853"/>
      <c r="T104" s="853"/>
      <c r="U104" s="853"/>
      <c r="V104" s="853"/>
      <c r="W104" s="853"/>
      <c r="X104" s="853"/>
      <c r="Y104" s="853"/>
      <c r="Z104" s="853"/>
    </row>
    <row r="105" ht="15.75" customHeight="1">
      <c r="A105" s="853"/>
      <c r="B105" s="853"/>
      <c r="C105" s="853"/>
      <c r="D105" s="853"/>
      <c r="E105" s="853"/>
      <c r="F105" s="853"/>
      <c r="G105" s="853"/>
      <c r="H105" s="853"/>
      <c r="I105" s="853"/>
      <c r="J105" s="853"/>
      <c r="K105" s="853"/>
      <c r="L105" s="853"/>
      <c r="M105" s="853"/>
      <c r="N105" s="853"/>
      <c r="O105" s="853"/>
      <c r="P105" s="853"/>
      <c r="Q105" s="853"/>
      <c r="R105" s="853"/>
      <c r="S105" s="853"/>
      <c r="T105" s="853"/>
      <c r="U105" s="853"/>
      <c r="V105" s="853"/>
      <c r="W105" s="853"/>
      <c r="X105" s="853"/>
      <c r="Y105" s="853"/>
      <c r="Z105" s="853"/>
    </row>
    <row r="106" ht="15.75" customHeight="1">
      <c r="A106" s="853"/>
      <c r="B106" s="853"/>
      <c r="C106" s="853"/>
      <c r="D106" s="853"/>
      <c r="E106" s="853"/>
      <c r="F106" s="853"/>
      <c r="G106" s="853"/>
      <c r="H106" s="853"/>
      <c r="I106" s="853"/>
      <c r="J106" s="853"/>
      <c r="K106" s="853"/>
      <c r="L106" s="853"/>
      <c r="M106" s="853"/>
      <c r="N106" s="853"/>
      <c r="O106" s="853"/>
      <c r="P106" s="853"/>
      <c r="Q106" s="853"/>
      <c r="R106" s="853"/>
      <c r="S106" s="853"/>
      <c r="T106" s="853"/>
      <c r="U106" s="853"/>
      <c r="V106" s="853"/>
      <c r="W106" s="853"/>
      <c r="X106" s="853"/>
      <c r="Y106" s="853"/>
      <c r="Z106" s="853"/>
    </row>
    <row r="107" ht="15.75" customHeight="1">
      <c r="A107" s="853"/>
      <c r="B107" s="853"/>
      <c r="C107" s="853"/>
      <c r="D107" s="853"/>
      <c r="E107" s="853"/>
      <c r="F107" s="853"/>
      <c r="G107" s="853"/>
      <c r="H107" s="853"/>
      <c r="I107" s="853"/>
      <c r="J107" s="853"/>
      <c r="K107" s="853"/>
      <c r="L107" s="853"/>
      <c r="M107" s="853"/>
      <c r="N107" s="853"/>
      <c r="O107" s="853"/>
      <c r="P107" s="853"/>
      <c r="Q107" s="853"/>
      <c r="R107" s="853"/>
      <c r="S107" s="853"/>
      <c r="T107" s="853"/>
      <c r="U107" s="853"/>
      <c r="V107" s="853"/>
      <c r="W107" s="853"/>
      <c r="X107" s="853"/>
      <c r="Y107" s="853"/>
      <c r="Z107" s="853"/>
    </row>
    <row r="108" ht="15.75" customHeight="1">
      <c r="A108" s="853"/>
      <c r="B108" s="853"/>
      <c r="C108" s="853"/>
      <c r="D108" s="853"/>
      <c r="E108" s="853"/>
      <c r="F108" s="853"/>
      <c r="G108" s="853"/>
      <c r="H108" s="853"/>
      <c r="I108" s="853"/>
      <c r="J108" s="853"/>
      <c r="K108" s="853"/>
      <c r="L108" s="853"/>
      <c r="M108" s="853"/>
      <c r="N108" s="853"/>
      <c r="O108" s="853"/>
      <c r="P108" s="853"/>
      <c r="Q108" s="853"/>
      <c r="R108" s="853"/>
      <c r="S108" s="853"/>
      <c r="T108" s="853"/>
      <c r="U108" s="853"/>
      <c r="V108" s="853"/>
      <c r="W108" s="853"/>
      <c r="X108" s="853"/>
      <c r="Y108" s="853"/>
      <c r="Z108" s="853"/>
    </row>
    <row r="109" ht="15.75" customHeight="1">
      <c r="A109" s="853"/>
      <c r="B109" s="853"/>
      <c r="C109" s="853"/>
      <c r="D109" s="853"/>
      <c r="E109" s="853"/>
      <c r="F109" s="853"/>
      <c r="G109" s="853"/>
      <c r="H109" s="853"/>
      <c r="I109" s="853"/>
      <c r="J109" s="853"/>
      <c r="K109" s="853"/>
      <c r="L109" s="853"/>
      <c r="M109" s="853"/>
      <c r="N109" s="853"/>
      <c r="O109" s="853"/>
      <c r="P109" s="853"/>
      <c r="Q109" s="853"/>
      <c r="R109" s="853"/>
      <c r="S109" s="853"/>
      <c r="T109" s="853"/>
      <c r="U109" s="853"/>
      <c r="V109" s="853"/>
      <c r="W109" s="853"/>
      <c r="X109" s="853"/>
      <c r="Y109" s="853"/>
      <c r="Z109" s="853"/>
    </row>
    <row r="110" ht="15.75" customHeight="1">
      <c r="A110" s="853"/>
      <c r="B110" s="853"/>
      <c r="C110" s="853"/>
      <c r="D110" s="853"/>
      <c r="E110" s="853"/>
      <c r="F110" s="853"/>
      <c r="G110" s="853"/>
      <c r="H110" s="853"/>
      <c r="I110" s="853"/>
      <c r="J110" s="853"/>
      <c r="K110" s="853"/>
      <c r="L110" s="853"/>
      <c r="M110" s="853"/>
      <c r="N110" s="853"/>
      <c r="O110" s="853"/>
      <c r="P110" s="853"/>
      <c r="Q110" s="853"/>
      <c r="R110" s="853"/>
      <c r="S110" s="853"/>
      <c r="T110" s="853"/>
      <c r="U110" s="853"/>
      <c r="V110" s="853"/>
      <c r="W110" s="853"/>
      <c r="X110" s="853"/>
      <c r="Y110" s="853"/>
      <c r="Z110" s="853"/>
    </row>
    <row r="111" ht="15.75" customHeight="1">
      <c r="A111" s="853"/>
      <c r="B111" s="853"/>
      <c r="C111" s="853"/>
      <c r="D111" s="853"/>
      <c r="E111" s="853"/>
      <c r="F111" s="853"/>
      <c r="G111" s="853"/>
      <c r="H111" s="853"/>
      <c r="I111" s="853"/>
      <c r="J111" s="853"/>
      <c r="K111" s="853"/>
      <c r="L111" s="853"/>
      <c r="M111" s="853"/>
      <c r="N111" s="853"/>
      <c r="O111" s="853"/>
      <c r="P111" s="853"/>
      <c r="Q111" s="853"/>
      <c r="R111" s="853"/>
      <c r="S111" s="853"/>
      <c r="T111" s="853"/>
      <c r="U111" s="853"/>
      <c r="V111" s="853"/>
      <c r="W111" s="853"/>
      <c r="X111" s="853"/>
      <c r="Y111" s="853"/>
      <c r="Z111" s="853"/>
    </row>
    <row r="112" ht="15.75" customHeight="1">
      <c r="A112" s="853"/>
      <c r="B112" s="853"/>
      <c r="C112" s="853"/>
      <c r="D112" s="853"/>
      <c r="E112" s="853"/>
      <c r="F112" s="853"/>
      <c r="G112" s="853"/>
      <c r="H112" s="853"/>
      <c r="I112" s="853"/>
      <c r="J112" s="853"/>
      <c r="K112" s="853"/>
      <c r="L112" s="853"/>
      <c r="M112" s="853"/>
      <c r="N112" s="853"/>
      <c r="O112" s="853"/>
      <c r="P112" s="853"/>
      <c r="Q112" s="853"/>
      <c r="R112" s="853"/>
      <c r="S112" s="853"/>
      <c r="T112" s="853"/>
      <c r="U112" s="853"/>
      <c r="V112" s="853"/>
      <c r="W112" s="853"/>
      <c r="X112" s="853"/>
      <c r="Y112" s="853"/>
      <c r="Z112" s="853"/>
    </row>
    <row r="113" ht="15.75" customHeight="1">
      <c r="A113" s="853"/>
      <c r="B113" s="853"/>
      <c r="C113" s="853"/>
      <c r="D113" s="853"/>
      <c r="E113" s="853"/>
      <c r="F113" s="853"/>
      <c r="G113" s="853"/>
      <c r="H113" s="853"/>
      <c r="I113" s="853"/>
      <c r="J113" s="853"/>
      <c r="K113" s="853"/>
      <c r="L113" s="853"/>
      <c r="M113" s="853"/>
      <c r="N113" s="853"/>
      <c r="O113" s="853"/>
      <c r="P113" s="853"/>
      <c r="Q113" s="853"/>
      <c r="R113" s="853"/>
      <c r="S113" s="853"/>
      <c r="T113" s="853"/>
      <c r="U113" s="853"/>
      <c r="V113" s="853"/>
      <c r="W113" s="853"/>
      <c r="X113" s="853"/>
      <c r="Y113" s="853"/>
      <c r="Z113" s="853"/>
    </row>
    <row r="114" ht="15.75" customHeight="1">
      <c r="A114" s="853"/>
      <c r="B114" s="853"/>
      <c r="C114" s="853"/>
      <c r="D114" s="853"/>
      <c r="E114" s="853"/>
      <c r="F114" s="853"/>
      <c r="G114" s="853"/>
      <c r="H114" s="853"/>
      <c r="I114" s="853"/>
      <c r="J114" s="853"/>
      <c r="K114" s="853"/>
      <c r="L114" s="853"/>
      <c r="M114" s="853"/>
      <c r="N114" s="853"/>
      <c r="O114" s="853"/>
      <c r="P114" s="853"/>
      <c r="Q114" s="853"/>
      <c r="R114" s="853"/>
      <c r="S114" s="853"/>
      <c r="T114" s="853"/>
      <c r="U114" s="853"/>
      <c r="V114" s="853"/>
      <c r="W114" s="853"/>
      <c r="X114" s="853"/>
      <c r="Y114" s="853"/>
      <c r="Z114" s="853"/>
    </row>
    <row r="115" ht="15.75" customHeight="1">
      <c r="A115" s="853"/>
      <c r="B115" s="853"/>
      <c r="C115" s="853"/>
      <c r="D115" s="853"/>
      <c r="E115" s="853"/>
      <c r="F115" s="853"/>
      <c r="G115" s="853"/>
      <c r="H115" s="853"/>
      <c r="I115" s="853"/>
      <c r="J115" s="853"/>
      <c r="K115" s="853"/>
      <c r="L115" s="853"/>
      <c r="M115" s="853"/>
      <c r="N115" s="853"/>
      <c r="O115" s="853"/>
      <c r="P115" s="853"/>
      <c r="Q115" s="853"/>
      <c r="R115" s="853"/>
      <c r="S115" s="853"/>
      <c r="T115" s="853"/>
      <c r="U115" s="853"/>
      <c r="V115" s="853"/>
      <c r="W115" s="853"/>
      <c r="X115" s="853"/>
      <c r="Y115" s="853"/>
      <c r="Z115" s="853"/>
    </row>
    <row r="116" ht="15.75" customHeight="1">
      <c r="A116" s="853"/>
      <c r="B116" s="853"/>
      <c r="C116" s="853"/>
      <c r="D116" s="853"/>
      <c r="E116" s="853"/>
      <c r="F116" s="853"/>
      <c r="G116" s="853"/>
      <c r="H116" s="853"/>
      <c r="I116" s="853"/>
      <c r="J116" s="853"/>
      <c r="K116" s="853"/>
      <c r="L116" s="853"/>
      <c r="M116" s="853"/>
      <c r="N116" s="853"/>
      <c r="O116" s="853"/>
      <c r="P116" s="853"/>
      <c r="Q116" s="853"/>
      <c r="R116" s="853"/>
      <c r="S116" s="853"/>
      <c r="T116" s="853"/>
      <c r="U116" s="853"/>
      <c r="V116" s="853"/>
      <c r="W116" s="853"/>
      <c r="X116" s="853"/>
      <c r="Y116" s="853"/>
      <c r="Z116" s="853"/>
    </row>
    <row r="117" ht="15.75" customHeight="1">
      <c r="A117" s="853"/>
      <c r="B117" s="853"/>
      <c r="C117" s="853"/>
      <c r="D117" s="853"/>
      <c r="E117" s="853"/>
      <c r="F117" s="853"/>
      <c r="G117" s="853"/>
      <c r="H117" s="853"/>
      <c r="I117" s="853"/>
      <c r="J117" s="853"/>
      <c r="K117" s="853"/>
      <c r="L117" s="853"/>
      <c r="M117" s="853"/>
      <c r="N117" s="853"/>
      <c r="O117" s="853"/>
      <c r="P117" s="853"/>
      <c r="Q117" s="853"/>
      <c r="R117" s="853"/>
      <c r="S117" s="853"/>
      <c r="T117" s="853"/>
      <c r="U117" s="853"/>
      <c r="V117" s="853"/>
      <c r="W117" s="853"/>
      <c r="X117" s="853"/>
      <c r="Y117" s="853"/>
      <c r="Z117" s="853"/>
    </row>
    <row r="118" ht="15.75" customHeight="1">
      <c r="A118" s="853"/>
      <c r="B118" s="853"/>
      <c r="C118" s="853"/>
      <c r="D118" s="853"/>
      <c r="E118" s="853"/>
      <c r="F118" s="853"/>
      <c r="G118" s="853"/>
      <c r="H118" s="853"/>
      <c r="I118" s="853"/>
      <c r="J118" s="853"/>
      <c r="K118" s="853"/>
      <c r="L118" s="853"/>
      <c r="M118" s="853"/>
      <c r="N118" s="853"/>
      <c r="O118" s="853"/>
      <c r="P118" s="853"/>
      <c r="Q118" s="853"/>
      <c r="R118" s="853"/>
      <c r="S118" s="853"/>
      <c r="T118" s="853"/>
      <c r="U118" s="853"/>
      <c r="V118" s="853"/>
      <c r="W118" s="853"/>
      <c r="X118" s="853"/>
      <c r="Y118" s="853"/>
      <c r="Z118" s="853"/>
    </row>
    <row r="119" ht="15.75" customHeight="1">
      <c r="A119" s="853"/>
      <c r="B119" s="853"/>
      <c r="C119" s="853"/>
      <c r="D119" s="853"/>
      <c r="E119" s="853"/>
      <c r="F119" s="853"/>
      <c r="G119" s="853"/>
      <c r="H119" s="853"/>
      <c r="I119" s="853"/>
      <c r="J119" s="853"/>
      <c r="K119" s="853"/>
      <c r="L119" s="853"/>
      <c r="M119" s="853"/>
      <c r="N119" s="853"/>
      <c r="O119" s="853"/>
      <c r="P119" s="853"/>
      <c r="Q119" s="853"/>
      <c r="R119" s="853"/>
      <c r="S119" s="853"/>
      <c r="T119" s="853"/>
      <c r="U119" s="853"/>
      <c r="V119" s="853"/>
      <c r="W119" s="853"/>
      <c r="X119" s="853"/>
      <c r="Y119" s="853"/>
      <c r="Z119" s="853"/>
    </row>
    <row r="120" ht="15.75" customHeight="1">
      <c r="A120" s="853"/>
      <c r="B120" s="853"/>
      <c r="C120" s="853"/>
      <c r="D120" s="853"/>
      <c r="E120" s="853"/>
      <c r="F120" s="853"/>
      <c r="G120" s="853"/>
      <c r="H120" s="853"/>
      <c r="I120" s="853"/>
      <c r="J120" s="853"/>
      <c r="K120" s="853"/>
      <c r="L120" s="853"/>
      <c r="M120" s="853"/>
      <c r="N120" s="853"/>
      <c r="O120" s="853"/>
      <c r="P120" s="853"/>
      <c r="Q120" s="853"/>
      <c r="R120" s="853"/>
      <c r="S120" s="853"/>
      <c r="T120" s="853"/>
      <c r="U120" s="853"/>
      <c r="V120" s="853"/>
      <c r="W120" s="853"/>
      <c r="X120" s="853"/>
      <c r="Y120" s="853"/>
      <c r="Z120" s="853"/>
    </row>
    <row r="121" ht="15.75" customHeight="1">
      <c r="A121" s="853"/>
      <c r="B121" s="853"/>
      <c r="C121" s="853"/>
      <c r="D121" s="853"/>
      <c r="E121" s="853"/>
      <c r="F121" s="853"/>
      <c r="G121" s="853"/>
      <c r="H121" s="853"/>
      <c r="I121" s="853"/>
      <c r="J121" s="853"/>
      <c r="K121" s="853"/>
      <c r="L121" s="853"/>
      <c r="M121" s="853"/>
      <c r="N121" s="853"/>
      <c r="O121" s="853"/>
      <c r="P121" s="853"/>
      <c r="Q121" s="853"/>
      <c r="R121" s="853"/>
      <c r="S121" s="853"/>
      <c r="T121" s="853"/>
      <c r="U121" s="853"/>
      <c r="V121" s="853"/>
      <c r="W121" s="853"/>
      <c r="X121" s="853"/>
      <c r="Y121" s="853"/>
      <c r="Z121" s="853"/>
    </row>
    <row r="122" ht="15.75" customHeight="1">
      <c r="A122" s="853"/>
      <c r="B122" s="853"/>
      <c r="C122" s="853"/>
      <c r="D122" s="853"/>
      <c r="E122" s="853"/>
      <c r="F122" s="853"/>
      <c r="G122" s="853"/>
      <c r="H122" s="853"/>
      <c r="I122" s="853"/>
      <c r="J122" s="853"/>
      <c r="K122" s="853"/>
      <c r="L122" s="853"/>
      <c r="M122" s="853"/>
      <c r="N122" s="853"/>
      <c r="O122" s="853"/>
      <c r="P122" s="853"/>
      <c r="Q122" s="853"/>
      <c r="R122" s="853"/>
      <c r="S122" s="853"/>
      <c r="T122" s="853"/>
      <c r="U122" s="853"/>
      <c r="V122" s="853"/>
      <c r="W122" s="853"/>
      <c r="X122" s="853"/>
      <c r="Y122" s="853"/>
      <c r="Z122" s="853"/>
    </row>
    <row r="123" ht="15.75" customHeight="1">
      <c r="A123" s="853"/>
      <c r="B123" s="853"/>
      <c r="C123" s="853"/>
      <c r="D123" s="853"/>
      <c r="E123" s="853"/>
      <c r="F123" s="853"/>
      <c r="G123" s="853"/>
      <c r="H123" s="853"/>
      <c r="I123" s="853"/>
      <c r="J123" s="853"/>
      <c r="K123" s="853"/>
      <c r="L123" s="853"/>
      <c r="M123" s="853"/>
      <c r="N123" s="853"/>
      <c r="O123" s="853"/>
      <c r="P123" s="853"/>
      <c r="Q123" s="853"/>
      <c r="R123" s="853"/>
      <c r="S123" s="853"/>
      <c r="T123" s="853"/>
      <c r="U123" s="853"/>
      <c r="V123" s="853"/>
      <c r="W123" s="853"/>
      <c r="X123" s="853"/>
      <c r="Y123" s="853"/>
      <c r="Z123" s="853"/>
    </row>
    <row r="124" ht="15.75" customHeight="1">
      <c r="A124" s="853"/>
      <c r="B124" s="853"/>
      <c r="C124" s="853"/>
      <c r="D124" s="853"/>
      <c r="E124" s="853"/>
      <c r="F124" s="853"/>
      <c r="G124" s="853"/>
      <c r="H124" s="853"/>
      <c r="I124" s="853"/>
      <c r="J124" s="853"/>
      <c r="K124" s="853"/>
      <c r="L124" s="853"/>
      <c r="M124" s="853"/>
      <c r="N124" s="853"/>
      <c r="O124" s="853"/>
      <c r="P124" s="853"/>
      <c r="Q124" s="853"/>
      <c r="R124" s="853"/>
      <c r="S124" s="853"/>
      <c r="T124" s="853"/>
      <c r="U124" s="853"/>
      <c r="V124" s="853"/>
      <c r="W124" s="853"/>
      <c r="X124" s="853"/>
      <c r="Y124" s="853"/>
      <c r="Z124" s="853"/>
    </row>
    <row r="125" ht="15.75" customHeight="1">
      <c r="A125" s="853"/>
      <c r="B125" s="853"/>
      <c r="C125" s="853"/>
      <c r="D125" s="853"/>
      <c r="E125" s="853"/>
      <c r="F125" s="853"/>
      <c r="G125" s="853"/>
      <c r="H125" s="853"/>
      <c r="I125" s="853"/>
      <c r="J125" s="853"/>
      <c r="K125" s="853"/>
      <c r="L125" s="853"/>
      <c r="M125" s="853"/>
      <c r="N125" s="853"/>
      <c r="O125" s="853"/>
      <c r="P125" s="853"/>
      <c r="Q125" s="853"/>
      <c r="R125" s="853"/>
      <c r="S125" s="853"/>
      <c r="T125" s="853"/>
      <c r="U125" s="853"/>
      <c r="V125" s="853"/>
      <c r="W125" s="853"/>
      <c r="X125" s="853"/>
      <c r="Y125" s="853"/>
      <c r="Z125" s="853"/>
    </row>
    <row r="126" ht="15.75" customHeight="1">
      <c r="A126" s="853"/>
      <c r="B126" s="853"/>
      <c r="C126" s="853"/>
      <c r="D126" s="853"/>
      <c r="E126" s="853"/>
      <c r="F126" s="853"/>
      <c r="G126" s="853"/>
      <c r="H126" s="853"/>
      <c r="I126" s="853"/>
      <c r="J126" s="853"/>
      <c r="K126" s="853"/>
      <c r="L126" s="853"/>
      <c r="M126" s="853"/>
      <c r="N126" s="853"/>
      <c r="O126" s="853"/>
      <c r="P126" s="853"/>
      <c r="Q126" s="853"/>
      <c r="R126" s="853"/>
      <c r="S126" s="853"/>
      <c r="T126" s="853"/>
      <c r="U126" s="853"/>
      <c r="V126" s="853"/>
      <c r="W126" s="853"/>
      <c r="X126" s="853"/>
      <c r="Y126" s="853"/>
      <c r="Z126" s="853"/>
    </row>
    <row r="127" ht="15.75" customHeight="1">
      <c r="A127" s="853"/>
      <c r="B127" s="853"/>
      <c r="C127" s="853"/>
      <c r="D127" s="853"/>
      <c r="E127" s="853"/>
      <c r="F127" s="853"/>
      <c r="G127" s="853"/>
      <c r="H127" s="853"/>
      <c r="I127" s="853"/>
      <c r="J127" s="853"/>
      <c r="K127" s="853"/>
      <c r="L127" s="853"/>
      <c r="M127" s="853"/>
      <c r="N127" s="853"/>
      <c r="O127" s="853"/>
      <c r="P127" s="853"/>
      <c r="Q127" s="853"/>
      <c r="R127" s="853"/>
      <c r="S127" s="853"/>
      <c r="T127" s="853"/>
      <c r="U127" s="853"/>
      <c r="V127" s="853"/>
      <c r="W127" s="853"/>
      <c r="X127" s="853"/>
      <c r="Y127" s="853"/>
      <c r="Z127" s="853"/>
    </row>
    <row r="128" ht="15.75" customHeight="1">
      <c r="A128" s="853"/>
      <c r="B128" s="853"/>
      <c r="C128" s="853"/>
      <c r="D128" s="853"/>
      <c r="E128" s="853"/>
      <c r="F128" s="853"/>
      <c r="G128" s="853"/>
      <c r="H128" s="853"/>
      <c r="I128" s="853"/>
      <c r="J128" s="853"/>
      <c r="K128" s="853"/>
      <c r="L128" s="853"/>
      <c r="M128" s="853"/>
      <c r="N128" s="853"/>
      <c r="O128" s="853"/>
      <c r="P128" s="853"/>
      <c r="Q128" s="853"/>
      <c r="R128" s="853"/>
      <c r="S128" s="853"/>
      <c r="T128" s="853"/>
      <c r="U128" s="853"/>
      <c r="V128" s="853"/>
      <c r="W128" s="853"/>
      <c r="X128" s="853"/>
      <c r="Y128" s="853"/>
      <c r="Z128" s="853"/>
    </row>
    <row r="129" ht="15.75" customHeight="1">
      <c r="A129" s="853"/>
      <c r="B129" s="853"/>
      <c r="C129" s="853"/>
      <c r="D129" s="853"/>
      <c r="E129" s="853"/>
      <c r="F129" s="853"/>
      <c r="G129" s="853"/>
      <c r="H129" s="853"/>
      <c r="I129" s="853"/>
      <c r="J129" s="853"/>
      <c r="K129" s="853"/>
      <c r="L129" s="853"/>
      <c r="M129" s="853"/>
      <c r="N129" s="853"/>
      <c r="O129" s="853"/>
      <c r="P129" s="853"/>
      <c r="Q129" s="853"/>
      <c r="R129" s="853"/>
      <c r="S129" s="853"/>
      <c r="T129" s="853"/>
      <c r="U129" s="853"/>
      <c r="V129" s="853"/>
      <c r="W129" s="853"/>
      <c r="X129" s="853"/>
      <c r="Y129" s="853"/>
      <c r="Z129" s="853"/>
    </row>
    <row r="130" ht="15.75" customHeight="1">
      <c r="A130" s="853"/>
      <c r="B130" s="853"/>
      <c r="C130" s="853"/>
      <c r="D130" s="853"/>
      <c r="E130" s="853"/>
      <c r="F130" s="853"/>
      <c r="G130" s="853"/>
      <c r="H130" s="853"/>
      <c r="I130" s="853"/>
      <c r="J130" s="853"/>
      <c r="K130" s="853"/>
      <c r="L130" s="853"/>
      <c r="M130" s="853"/>
      <c r="N130" s="853"/>
      <c r="O130" s="853"/>
      <c r="P130" s="853"/>
      <c r="Q130" s="853"/>
      <c r="R130" s="853"/>
      <c r="S130" s="853"/>
      <c r="T130" s="853"/>
      <c r="U130" s="853"/>
      <c r="V130" s="853"/>
      <c r="W130" s="853"/>
      <c r="X130" s="853"/>
      <c r="Y130" s="853"/>
      <c r="Z130" s="853"/>
    </row>
    <row r="131" ht="15.75" customHeight="1">
      <c r="A131" s="853"/>
      <c r="B131" s="853"/>
      <c r="C131" s="853"/>
      <c r="D131" s="853"/>
      <c r="E131" s="853"/>
      <c r="F131" s="853"/>
      <c r="G131" s="853"/>
      <c r="H131" s="853"/>
      <c r="I131" s="853"/>
      <c r="J131" s="853"/>
      <c r="K131" s="853"/>
      <c r="L131" s="853"/>
      <c r="M131" s="853"/>
      <c r="N131" s="853"/>
      <c r="O131" s="853"/>
      <c r="P131" s="853"/>
      <c r="Q131" s="853"/>
      <c r="R131" s="853"/>
      <c r="S131" s="853"/>
      <c r="T131" s="853"/>
      <c r="U131" s="853"/>
      <c r="V131" s="853"/>
      <c r="W131" s="853"/>
      <c r="X131" s="853"/>
      <c r="Y131" s="853"/>
      <c r="Z131" s="853"/>
    </row>
    <row r="132" ht="15.75" customHeight="1">
      <c r="A132" s="853"/>
      <c r="B132" s="853"/>
      <c r="C132" s="853"/>
      <c r="D132" s="853"/>
      <c r="E132" s="853"/>
      <c r="F132" s="853"/>
      <c r="G132" s="853"/>
      <c r="H132" s="853"/>
      <c r="I132" s="853"/>
      <c r="J132" s="853"/>
      <c r="K132" s="853"/>
      <c r="L132" s="853"/>
      <c r="M132" s="853"/>
      <c r="N132" s="853"/>
      <c r="O132" s="853"/>
      <c r="P132" s="853"/>
      <c r="Q132" s="853"/>
      <c r="R132" s="853"/>
      <c r="S132" s="853"/>
      <c r="T132" s="853"/>
      <c r="U132" s="853"/>
      <c r="V132" s="853"/>
      <c r="W132" s="853"/>
      <c r="X132" s="853"/>
      <c r="Y132" s="853"/>
      <c r="Z132" s="853"/>
    </row>
    <row r="133" ht="15.75" customHeight="1">
      <c r="A133" s="853"/>
      <c r="B133" s="853"/>
      <c r="C133" s="853"/>
      <c r="D133" s="853"/>
      <c r="E133" s="853"/>
      <c r="F133" s="853"/>
      <c r="G133" s="853"/>
      <c r="H133" s="853"/>
      <c r="I133" s="853"/>
      <c r="J133" s="853"/>
      <c r="K133" s="853"/>
      <c r="L133" s="853"/>
      <c r="M133" s="853"/>
      <c r="N133" s="853"/>
      <c r="O133" s="853"/>
      <c r="P133" s="853"/>
      <c r="Q133" s="853"/>
      <c r="R133" s="853"/>
      <c r="S133" s="853"/>
      <c r="T133" s="853"/>
      <c r="U133" s="853"/>
      <c r="V133" s="853"/>
      <c r="W133" s="853"/>
      <c r="X133" s="853"/>
      <c r="Y133" s="853"/>
      <c r="Z133" s="853"/>
    </row>
    <row r="134" ht="15.75" customHeight="1">
      <c r="A134" s="853"/>
      <c r="B134" s="853"/>
      <c r="C134" s="853"/>
      <c r="D134" s="853"/>
      <c r="E134" s="853"/>
      <c r="F134" s="853"/>
      <c r="G134" s="853"/>
      <c r="H134" s="853"/>
      <c r="I134" s="853"/>
      <c r="J134" s="853"/>
      <c r="K134" s="853"/>
      <c r="L134" s="853"/>
      <c r="M134" s="853"/>
      <c r="N134" s="853"/>
      <c r="O134" s="853"/>
      <c r="P134" s="853"/>
      <c r="Q134" s="853"/>
      <c r="R134" s="853"/>
      <c r="S134" s="853"/>
      <c r="T134" s="853"/>
      <c r="U134" s="853"/>
      <c r="V134" s="853"/>
      <c r="W134" s="853"/>
      <c r="X134" s="853"/>
      <c r="Y134" s="853"/>
      <c r="Z134" s="853"/>
    </row>
    <row r="135" ht="15.75" customHeight="1">
      <c r="A135" s="853"/>
      <c r="B135" s="853"/>
      <c r="C135" s="853"/>
      <c r="D135" s="853"/>
      <c r="E135" s="853"/>
      <c r="F135" s="853"/>
      <c r="G135" s="853"/>
      <c r="H135" s="853"/>
      <c r="I135" s="853"/>
      <c r="J135" s="853"/>
      <c r="K135" s="853"/>
      <c r="L135" s="853"/>
      <c r="M135" s="853"/>
      <c r="N135" s="853"/>
      <c r="O135" s="853"/>
      <c r="P135" s="853"/>
      <c r="Q135" s="853"/>
      <c r="R135" s="853"/>
      <c r="S135" s="853"/>
      <c r="T135" s="853"/>
      <c r="U135" s="853"/>
      <c r="V135" s="853"/>
      <c r="W135" s="853"/>
      <c r="X135" s="853"/>
      <c r="Y135" s="853"/>
      <c r="Z135" s="853"/>
    </row>
    <row r="136" ht="15.75" customHeight="1">
      <c r="A136" s="853"/>
      <c r="B136" s="853"/>
      <c r="C136" s="853"/>
      <c r="D136" s="853"/>
      <c r="E136" s="853"/>
      <c r="F136" s="853"/>
      <c r="G136" s="853"/>
      <c r="H136" s="853"/>
      <c r="I136" s="853"/>
      <c r="J136" s="853"/>
      <c r="K136" s="853"/>
      <c r="L136" s="853"/>
      <c r="M136" s="853"/>
      <c r="N136" s="853"/>
      <c r="O136" s="853"/>
      <c r="P136" s="853"/>
      <c r="Q136" s="853"/>
      <c r="R136" s="853"/>
      <c r="S136" s="853"/>
      <c r="T136" s="853"/>
      <c r="U136" s="853"/>
      <c r="V136" s="853"/>
      <c r="W136" s="853"/>
      <c r="X136" s="853"/>
      <c r="Y136" s="853"/>
      <c r="Z136" s="853"/>
    </row>
    <row r="137" ht="15.75" customHeight="1">
      <c r="A137" s="853"/>
      <c r="B137" s="853"/>
      <c r="C137" s="853"/>
      <c r="D137" s="853"/>
      <c r="E137" s="853"/>
      <c r="F137" s="853"/>
      <c r="G137" s="853"/>
      <c r="H137" s="853"/>
      <c r="I137" s="853"/>
      <c r="J137" s="853"/>
      <c r="K137" s="853"/>
      <c r="L137" s="853"/>
      <c r="M137" s="853"/>
      <c r="N137" s="853"/>
      <c r="O137" s="853"/>
      <c r="P137" s="853"/>
      <c r="Q137" s="853"/>
      <c r="R137" s="853"/>
      <c r="S137" s="853"/>
      <c r="T137" s="853"/>
      <c r="U137" s="853"/>
      <c r="V137" s="853"/>
      <c r="W137" s="853"/>
      <c r="X137" s="853"/>
      <c r="Y137" s="853"/>
      <c r="Z137" s="853"/>
    </row>
    <row r="138" ht="15.75" customHeight="1">
      <c r="A138" s="853"/>
      <c r="B138" s="853"/>
      <c r="C138" s="853"/>
      <c r="D138" s="853"/>
      <c r="E138" s="853"/>
      <c r="F138" s="853"/>
      <c r="G138" s="853"/>
      <c r="H138" s="853"/>
      <c r="I138" s="853"/>
      <c r="J138" s="853"/>
      <c r="K138" s="853"/>
      <c r="L138" s="853"/>
      <c r="M138" s="853"/>
      <c r="N138" s="853"/>
      <c r="O138" s="853"/>
      <c r="P138" s="853"/>
      <c r="Q138" s="853"/>
      <c r="R138" s="853"/>
      <c r="S138" s="853"/>
      <c r="T138" s="853"/>
      <c r="U138" s="853"/>
      <c r="V138" s="853"/>
      <c r="W138" s="853"/>
      <c r="X138" s="853"/>
      <c r="Y138" s="853"/>
      <c r="Z138" s="853"/>
    </row>
    <row r="139" ht="15.75" customHeight="1">
      <c r="A139" s="853"/>
      <c r="B139" s="853"/>
      <c r="C139" s="853"/>
      <c r="D139" s="853"/>
      <c r="E139" s="853"/>
      <c r="F139" s="853"/>
      <c r="G139" s="853"/>
      <c r="H139" s="853"/>
      <c r="I139" s="853"/>
      <c r="J139" s="853"/>
      <c r="K139" s="853"/>
      <c r="L139" s="853"/>
      <c r="M139" s="853"/>
      <c r="N139" s="853"/>
      <c r="O139" s="853"/>
      <c r="P139" s="853"/>
      <c r="Q139" s="853"/>
      <c r="R139" s="853"/>
      <c r="S139" s="853"/>
      <c r="T139" s="853"/>
      <c r="U139" s="853"/>
      <c r="V139" s="853"/>
      <c r="W139" s="853"/>
      <c r="X139" s="853"/>
      <c r="Y139" s="853"/>
      <c r="Z139" s="853"/>
    </row>
    <row r="140" ht="15.75" customHeight="1">
      <c r="A140" s="853"/>
      <c r="B140" s="853"/>
      <c r="C140" s="853"/>
      <c r="D140" s="853"/>
      <c r="E140" s="853"/>
      <c r="F140" s="853"/>
      <c r="G140" s="853"/>
      <c r="H140" s="853"/>
      <c r="I140" s="853"/>
      <c r="J140" s="853"/>
      <c r="K140" s="853"/>
      <c r="L140" s="853"/>
      <c r="M140" s="853"/>
      <c r="N140" s="853"/>
      <c r="O140" s="853"/>
      <c r="P140" s="853"/>
      <c r="Q140" s="853"/>
      <c r="R140" s="853"/>
      <c r="S140" s="853"/>
      <c r="T140" s="853"/>
      <c r="U140" s="853"/>
      <c r="V140" s="853"/>
      <c r="W140" s="853"/>
      <c r="X140" s="853"/>
      <c r="Y140" s="853"/>
      <c r="Z140" s="853"/>
    </row>
    <row r="141" ht="15.75" customHeight="1">
      <c r="A141" s="853"/>
      <c r="B141" s="853"/>
      <c r="C141" s="853"/>
      <c r="D141" s="853"/>
      <c r="E141" s="853"/>
      <c r="F141" s="853"/>
      <c r="G141" s="853"/>
      <c r="H141" s="853"/>
      <c r="I141" s="853"/>
      <c r="J141" s="853"/>
      <c r="K141" s="853"/>
      <c r="L141" s="853"/>
      <c r="M141" s="853"/>
      <c r="N141" s="853"/>
      <c r="O141" s="853"/>
      <c r="P141" s="853"/>
      <c r="Q141" s="853"/>
      <c r="R141" s="853"/>
      <c r="S141" s="853"/>
      <c r="T141" s="853"/>
      <c r="U141" s="853"/>
      <c r="V141" s="853"/>
      <c r="W141" s="853"/>
      <c r="X141" s="853"/>
      <c r="Y141" s="853"/>
      <c r="Z141" s="853"/>
    </row>
    <row r="142" ht="15.75" customHeight="1">
      <c r="A142" s="853"/>
      <c r="B142" s="853"/>
      <c r="C142" s="853"/>
      <c r="D142" s="853"/>
      <c r="E142" s="853"/>
      <c r="F142" s="853"/>
      <c r="G142" s="853"/>
      <c r="H142" s="853"/>
      <c r="I142" s="853"/>
      <c r="J142" s="853"/>
      <c r="K142" s="853"/>
      <c r="L142" s="853"/>
      <c r="M142" s="853"/>
      <c r="N142" s="853"/>
      <c r="O142" s="853"/>
      <c r="P142" s="853"/>
      <c r="Q142" s="853"/>
      <c r="R142" s="853"/>
      <c r="S142" s="853"/>
      <c r="T142" s="853"/>
      <c r="U142" s="853"/>
      <c r="V142" s="853"/>
      <c r="W142" s="853"/>
      <c r="X142" s="853"/>
      <c r="Y142" s="853"/>
      <c r="Z142" s="853"/>
    </row>
    <row r="143" ht="15.75" customHeight="1">
      <c r="A143" s="853"/>
      <c r="B143" s="853"/>
      <c r="C143" s="853"/>
      <c r="D143" s="853"/>
      <c r="E143" s="853"/>
      <c r="F143" s="853"/>
      <c r="G143" s="853"/>
      <c r="H143" s="853"/>
      <c r="I143" s="853"/>
      <c r="J143" s="853"/>
      <c r="K143" s="853"/>
      <c r="L143" s="853"/>
      <c r="M143" s="853"/>
      <c r="N143" s="853"/>
      <c r="O143" s="853"/>
      <c r="P143" s="853"/>
      <c r="Q143" s="853"/>
      <c r="R143" s="853"/>
      <c r="S143" s="853"/>
      <c r="T143" s="853"/>
      <c r="U143" s="853"/>
      <c r="V143" s="853"/>
      <c r="W143" s="853"/>
      <c r="X143" s="853"/>
      <c r="Y143" s="853"/>
      <c r="Z143" s="853"/>
    </row>
    <row r="144" ht="15.75" customHeight="1">
      <c r="A144" s="853"/>
      <c r="B144" s="853"/>
      <c r="C144" s="853"/>
      <c r="D144" s="853"/>
      <c r="E144" s="853"/>
      <c r="F144" s="853"/>
      <c r="G144" s="853"/>
      <c r="H144" s="853"/>
      <c r="I144" s="853"/>
      <c r="J144" s="853"/>
      <c r="K144" s="853"/>
      <c r="L144" s="853"/>
      <c r="M144" s="853"/>
      <c r="N144" s="853"/>
      <c r="O144" s="853"/>
      <c r="P144" s="853"/>
      <c r="Q144" s="853"/>
      <c r="R144" s="853"/>
      <c r="S144" s="853"/>
      <c r="T144" s="853"/>
      <c r="U144" s="853"/>
      <c r="V144" s="853"/>
      <c r="W144" s="853"/>
      <c r="X144" s="853"/>
      <c r="Y144" s="853"/>
      <c r="Z144" s="853"/>
    </row>
    <row r="145" ht="15.75" customHeight="1">
      <c r="A145" s="853"/>
      <c r="B145" s="853"/>
      <c r="C145" s="853"/>
      <c r="D145" s="853"/>
      <c r="E145" s="853"/>
      <c r="F145" s="853"/>
      <c r="G145" s="853"/>
      <c r="H145" s="853"/>
      <c r="I145" s="853"/>
      <c r="J145" s="853"/>
      <c r="K145" s="853"/>
      <c r="L145" s="853"/>
      <c r="M145" s="853"/>
      <c r="N145" s="853"/>
      <c r="O145" s="853"/>
      <c r="P145" s="853"/>
      <c r="Q145" s="853"/>
      <c r="R145" s="853"/>
      <c r="S145" s="853"/>
      <c r="T145" s="853"/>
      <c r="U145" s="853"/>
      <c r="V145" s="853"/>
      <c r="W145" s="853"/>
      <c r="X145" s="853"/>
      <c r="Y145" s="853"/>
      <c r="Z145" s="853"/>
    </row>
    <row r="146" ht="15.75" customHeight="1">
      <c r="A146" s="853"/>
      <c r="B146" s="853"/>
      <c r="C146" s="853"/>
      <c r="D146" s="853"/>
      <c r="E146" s="853"/>
      <c r="F146" s="853"/>
      <c r="G146" s="853"/>
      <c r="H146" s="853"/>
      <c r="I146" s="853"/>
      <c r="J146" s="853"/>
      <c r="K146" s="853"/>
      <c r="L146" s="853"/>
      <c r="M146" s="853"/>
      <c r="N146" s="853"/>
      <c r="O146" s="853"/>
      <c r="P146" s="853"/>
      <c r="Q146" s="853"/>
      <c r="R146" s="853"/>
      <c r="S146" s="853"/>
      <c r="T146" s="853"/>
      <c r="U146" s="853"/>
      <c r="V146" s="853"/>
      <c r="W146" s="853"/>
      <c r="X146" s="853"/>
      <c r="Y146" s="853"/>
      <c r="Z146" s="853"/>
    </row>
    <row r="147" ht="15.75" customHeight="1">
      <c r="A147" s="853"/>
      <c r="B147" s="853"/>
      <c r="C147" s="853"/>
      <c r="D147" s="853"/>
      <c r="E147" s="853"/>
      <c r="F147" s="853"/>
      <c r="G147" s="853"/>
      <c r="H147" s="853"/>
      <c r="I147" s="853"/>
      <c r="J147" s="853"/>
      <c r="K147" s="853"/>
      <c r="L147" s="853"/>
      <c r="M147" s="853"/>
      <c r="N147" s="853"/>
      <c r="O147" s="853"/>
      <c r="P147" s="853"/>
      <c r="Q147" s="853"/>
      <c r="R147" s="853"/>
      <c r="S147" s="853"/>
      <c r="T147" s="853"/>
      <c r="U147" s="853"/>
      <c r="V147" s="853"/>
      <c r="W147" s="853"/>
      <c r="X147" s="853"/>
      <c r="Y147" s="853"/>
      <c r="Z147" s="853"/>
    </row>
    <row r="148" ht="15.75" customHeight="1">
      <c r="A148" s="853"/>
      <c r="B148" s="853"/>
      <c r="C148" s="853"/>
      <c r="D148" s="853"/>
      <c r="E148" s="853"/>
      <c r="F148" s="853"/>
      <c r="G148" s="853"/>
      <c r="H148" s="853"/>
      <c r="I148" s="853"/>
      <c r="J148" s="853"/>
      <c r="K148" s="853"/>
      <c r="L148" s="853"/>
      <c r="M148" s="853"/>
      <c r="N148" s="853"/>
      <c r="O148" s="853"/>
      <c r="P148" s="853"/>
      <c r="Q148" s="853"/>
      <c r="R148" s="853"/>
      <c r="S148" s="853"/>
      <c r="T148" s="853"/>
      <c r="U148" s="853"/>
      <c r="V148" s="853"/>
      <c r="W148" s="853"/>
      <c r="X148" s="853"/>
      <c r="Y148" s="853"/>
      <c r="Z148" s="853"/>
    </row>
    <row r="149" ht="15.75" customHeight="1">
      <c r="A149" s="853"/>
      <c r="B149" s="853"/>
      <c r="C149" s="853"/>
      <c r="D149" s="853"/>
      <c r="E149" s="853"/>
      <c r="F149" s="853"/>
      <c r="G149" s="853"/>
      <c r="H149" s="853"/>
      <c r="I149" s="853"/>
      <c r="J149" s="853"/>
      <c r="K149" s="853"/>
      <c r="L149" s="853"/>
      <c r="M149" s="853"/>
      <c r="N149" s="853"/>
      <c r="O149" s="853"/>
      <c r="P149" s="853"/>
      <c r="Q149" s="853"/>
      <c r="R149" s="853"/>
      <c r="S149" s="853"/>
      <c r="T149" s="853"/>
      <c r="U149" s="853"/>
      <c r="V149" s="853"/>
      <c r="W149" s="853"/>
      <c r="X149" s="853"/>
      <c r="Y149" s="853"/>
      <c r="Z149" s="853"/>
    </row>
    <row r="150" ht="15.75" customHeight="1">
      <c r="A150" s="853"/>
      <c r="B150" s="853"/>
      <c r="C150" s="853"/>
      <c r="D150" s="853"/>
      <c r="E150" s="853"/>
      <c r="F150" s="853"/>
      <c r="G150" s="853"/>
      <c r="H150" s="853"/>
      <c r="I150" s="853"/>
      <c r="J150" s="853"/>
      <c r="K150" s="853"/>
      <c r="L150" s="853"/>
      <c r="M150" s="853"/>
      <c r="N150" s="853"/>
      <c r="O150" s="853"/>
      <c r="P150" s="853"/>
      <c r="Q150" s="853"/>
      <c r="R150" s="853"/>
      <c r="S150" s="853"/>
      <c r="T150" s="853"/>
      <c r="U150" s="853"/>
      <c r="V150" s="853"/>
      <c r="W150" s="853"/>
      <c r="X150" s="853"/>
      <c r="Y150" s="853"/>
      <c r="Z150" s="853"/>
    </row>
    <row r="151" ht="15.75" customHeight="1">
      <c r="A151" s="853"/>
      <c r="B151" s="853"/>
      <c r="C151" s="853"/>
      <c r="D151" s="853"/>
      <c r="E151" s="853"/>
      <c r="F151" s="853"/>
      <c r="G151" s="853"/>
      <c r="H151" s="853"/>
      <c r="I151" s="853"/>
      <c r="J151" s="853"/>
      <c r="K151" s="853"/>
      <c r="L151" s="853"/>
      <c r="M151" s="853"/>
      <c r="N151" s="853"/>
      <c r="O151" s="853"/>
      <c r="P151" s="853"/>
      <c r="Q151" s="853"/>
      <c r="R151" s="853"/>
      <c r="S151" s="853"/>
      <c r="T151" s="853"/>
      <c r="U151" s="853"/>
      <c r="V151" s="853"/>
      <c r="W151" s="853"/>
      <c r="X151" s="853"/>
      <c r="Y151" s="853"/>
      <c r="Z151" s="853"/>
    </row>
    <row r="152" ht="15.75" customHeight="1">
      <c r="A152" s="853"/>
      <c r="B152" s="853"/>
      <c r="C152" s="853"/>
      <c r="D152" s="853"/>
      <c r="E152" s="853"/>
      <c r="F152" s="853"/>
      <c r="G152" s="853"/>
      <c r="H152" s="853"/>
      <c r="I152" s="853"/>
      <c r="J152" s="853"/>
      <c r="K152" s="853"/>
      <c r="L152" s="853"/>
      <c r="M152" s="853"/>
      <c r="N152" s="853"/>
      <c r="O152" s="853"/>
      <c r="P152" s="853"/>
      <c r="Q152" s="853"/>
      <c r="R152" s="853"/>
      <c r="S152" s="853"/>
      <c r="T152" s="853"/>
      <c r="U152" s="853"/>
      <c r="V152" s="853"/>
      <c r="W152" s="853"/>
      <c r="X152" s="853"/>
      <c r="Y152" s="853"/>
      <c r="Z152" s="853"/>
    </row>
    <row r="153" ht="15.75" customHeight="1">
      <c r="A153" s="853"/>
      <c r="B153" s="853"/>
      <c r="C153" s="853"/>
      <c r="D153" s="853"/>
      <c r="E153" s="853"/>
      <c r="F153" s="853"/>
      <c r="G153" s="853"/>
      <c r="H153" s="853"/>
      <c r="I153" s="853"/>
      <c r="J153" s="853"/>
      <c r="K153" s="853"/>
      <c r="L153" s="853"/>
      <c r="M153" s="853"/>
      <c r="N153" s="853"/>
      <c r="O153" s="853"/>
      <c r="P153" s="853"/>
      <c r="Q153" s="853"/>
      <c r="R153" s="853"/>
      <c r="S153" s="853"/>
      <c r="T153" s="853"/>
      <c r="U153" s="853"/>
      <c r="V153" s="853"/>
      <c r="W153" s="853"/>
      <c r="X153" s="853"/>
      <c r="Y153" s="853"/>
      <c r="Z153" s="853"/>
    </row>
    <row r="154" ht="15.75" customHeight="1">
      <c r="A154" s="853"/>
      <c r="B154" s="853"/>
      <c r="C154" s="853"/>
      <c r="D154" s="853"/>
      <c r="E154" s="853"/>
      <c r="F154" s="853"/>
      <c r="G154" s="853"/>
      <c r="H154" s="853"/>
      <c r="I154" s="853"/>
      <c r="J154" s="853"/>
      <c r="K154" s="853"/>
      <c r="L154" s="853"/>
      <c r="M154" s="853"/>
      <c r="N154" s="853"/>
      <c r="O154" s="853"/>
      <c r="P154" s="853"/>
      <c r="Q154" s="853"/>
      <c r="R154" s="853"/>
      <c r="S154" s="853"/>
      <c r="T154" s="853"/>
      <c r="U154" s="853"/>
      <c r="V154" s="853"/>
      <c r="W154" s="853"/>
      <c r="X154" s="853"/>
      <c r="Y154" s="853"/>
      <c r="Z154" s="853"/>
    </row>
    <row r="155" ht="15.75" customHeight="1">
      <c r="A155" s="853"/>
      <c r="B155" s="853"/>
      <c r="C155" s="853"/>
      <c r="D155" s="853"/>
      <c r="E155" s="853"/>
      <c r="F155" s="853"/>
      <c r="G155" s="853"/>
      <c r="H155" s="853"/>
      <c r="I155" s="853"/>
      <c r="J155" s="853"/>
      <c r="K155" s="853"/>
      <c r="L155" s="853"/>
      <c r="M155" s="853"/>
      <c r="N155" s="853"/>
      <c r="O155" s="853"/>
      <c r="P155" s="853"/>
      <c r="Q155" s="853"/>
      <c r="R155" s="853"/>
      <c r="S155" s="853"/>
      <c r="T155" s="853"/>
      <c r="U155" s="853"/>
      <c r="V155" s="853"/>
      <c r="W155" s="853"/>
      <c r="X155" s="853"/>
      <c r="Y155" s="853"/>
      <c r="Z155" s="853"/>
    </row>
    <row r="156" ht="15.75" customHeight="1">
      <c r="A156" s="853"/>
      <c r="B156" s="853"/>
      <c r="C156" s="853"/>
      <c r="D156" s="853"/>
      <c r="E156" s="853"/>
      <c r="F156" s="853"/>
      <c r="G156" s="853"/>
      <c r="H156" s="853"/>
      <c r="I156" s="853"/>
      <c r="J156" s="853"/>
      <c r="K156" s="853"/>
      <c r="L156" s="853"/>
      <c r="M156" s="853"/>
      <c r="N156" s="853"/>
      <c r="O156" s="853"/>
      <c r="P156" s="853"/>
      <c r="Q156" s="853"/>
      <c r="R156" s="853"/>
      <c r="S156" s="853"/>
      <c r="T156" s="853"/>
      <c r="U156" s="853"/>
      <c r="V156" s="853"/>
      <c r="W156" s="853"/>
      <c r="X156" s="853"/>
      <c r="Y156" s="853"/>
      <c r="Z156" s="853"/>
    </row>
    <row r="157" ht="15.75" customHeight="1">
      <c r="A157" s="853"/>
      <c r="B157" s="853"/>
      <c r="C157" s="853"/>
      <c r="D157" s="853"/>
      <c r="E157" s="853"/>
      <c r="F157" s="853"/>
      <c r="G157" s="853"/>
      <c r="H157" s="853"/>
      <c r="I157" s="853"/>
      <c r="J157" s="853"/>
      <c r="K157" s="853"/>
      <c r="L157" s="853"/>
      <c r="M157" s="853"/>
      <c r="N157" s="853"/>
      <c r="O157" s="853"/>
      <c r="P157" s="853"/>
      <c r="Q157" s="853"/>
      <c r="R157" s="853"/>
      <c r="S157" s="853"/>
      <c r="T157" s="853"/>
      <c r="U157" s="853"/>
      <c r="V157" s="853"/>
      <c r="W157" s="853"/>
      <c r="X157" s="853"/>
      <c r="Y157" s="853"/>
      <c r="Z157" s="853"/>
    </row>
    <row r="158" ht="15.75" customHeight="1">
      <c r="A158" s="853"/>
      <c r="B158" s="853"/>
      <c r="C158" s="853"/>
      <c r="D158" s="853"/>
      <c r="E158" s="853"/>
      <c r="F158" s="853"/>
      <c r="G158" s="853"/>
      <c r="H158" s="853"/>
      <c r="I158" s="853"/>
      <c r="J158" s="853"/>
      <c r="K158" s="853"/>
      <c r="L158" s="853"/>
      <c r="M158" s="853"/>
      <c r="N158" s="853"/>
      <c r="O158" s="853"/>
      <c r="P158" s="853"/>
      <c r="Q158" s="853"/>
      <c r="R158" s="853"/>
      <c r="S158" s="853"/>
      <c r="T158" s="853"/>
      <c r="U158" s="853"/>
      <c r="V158" s="853"/>
      <c r="W158" s="853"/>
      <c r="X158" s="853"/>
      <c r="Y158" s="853"/>
      <c r="Z158" s="853"/>
    </row>
    <row r="159" ht="15.75" customHeight="1">
      <c r="A159" s="853"/>
      <c r="B159" s="853"/>
      <c r="C159" s="853"/>
      <c r="D159" s="853"/>
      <c r="E159" s="853"/>
      <c r="F159" s="853"/>
      <c r="G159" s="853"/>
      <c r="H159" s="853"/>
      <c r="I159" s="853"/>
      <c r="J159" s="853"/>
      <c r="K159" s="853"/>
      <c r="L159" s="853"/>
      <c r="M159" s="853"/>
      <c r="N159" s="853"/>
      <c r="O159" s="853"/>
      <c r="P159" s="853"/>
      <c r="Q159" s="853"/>
      <c r="R159" s="853"/>
      <c r="S159" s="853"/>
      <c r="T159" s="853"/>
      <c r="U159" s="853"/>
      <c r="V159" s="853"/>
      <c r="W159" s="853"/>
      <c r="X159" s="853"/>
      <c r="Y159" s="853"/>
      <c r="Z159" s="853"/>
    </row>
    <row r="160" ht="15.75" customHeight="1">
      <c r="A160" s="853"/>
      <c r="B160" s="853"/>
      <c r="C160" s="853"/>
      <c r="D160" s="853"/>
      <c r="E160" s="853"/>
      <c r="F160" s="853"/>
      <c r="G160" s="853"/>
      <c r="H160" s="853"/>
      <c r="I160" s="853"/>
      <c r="J160" s="853"/>
      <c r="K160" s="853"/>
      <c r="L160" s="853"/>
      <c r="M160" s="853"/>
      <c r="N160" s="853"/>
      <c r="O160" s="853"/>
      <c r="P160" s="853"/>
      <c r="Q160" s="853"/>
      <c r="R160" s="853"/>
      <c r="S160" s="853"/>
      <c r="T160" s="853"/>
      <c r="U160" s="853"/>
      <c r="V160" s="853"/>
      <c r="W160" s="853"/>
      <c r="X160" s="853"/>
      <c r="Y160" s="853"/>
      <c r="Z160" s="853"/>
    </row>
    <row r="161" ht="15.75" customHeight="1">
      <c r="A161" s="853"/>
      <c r="B161" s="853"/>
      <c r="C161" s="853"/>
      <c r="D161" s="853"/>
      <c r="E161" s="853"/>
      <c r="F161" s="853"/>
      <c r="G161" s="853"/>
      <c r="H161" s="853"/>
      <c r="I161" s="853"/>
      <c r="J161" s="853"/>
      <c r="K161" s="853"/>
      <c r="L161" s="853"/>
      <c r="M161" s="853"/>
      <c r="N161" s="853"/>
      <c r="O161" s="853"/>
      <c r="P161" s="853"/>
      <c r="Q161" s="853"/>
      <c r="R161" s="853"/>
      <c r="S161" s="853"/>
      <c r="T161" s="853"/>
      <c r="U161" s="853"/>
      <c r="V161" s="853"/>
      <c r="W161" s="853"/>
      <c r="X161" s="853"/>
      <c r="Y161" s="853"/>
      <c r="Z161" s="853"/>
    </row>
    <row r="162" ht="15.75" customHeight="1">
      <c r="A162" s="853"/>
      <c r="B162" s="853"/>
      <c r="C162" s="853"/>
      <c r="D162" s="853"/>
      <c r="E162" s="853"/>
      <c r="F162" s="853"/>
      <c r="G162" s="853"/>
      <c r="H162" s="853"/>
      <c r="I162" s="853"/>
      <c r="J162" s="853"/>
      <c r="K162" s="853"/>
      <c r="L162" s="853"/>
      <c r="M162" s="853"/>
      <c r="N162" s="853"/>
      <c r="O162" s="853"/>
      <c r="P162" s="853"/>
      <c r="Q162" s="853"/>
      <c r="R162" s="853"/>
      <c r="S162" s="853"/>
      <c r="T162" s="853"/>
      <c r="U162" s="853"/>
      <c r="V162" s="853"/>
      <c r="W162" s="853"/>
      <c r="X162" s="853"/>
      <c r="Y162" s="853"/>
      <c r="Z162" s="853"/>
    </row>
    <row r="163" ht="15.75" customHeight="1">
      <c r="A163" s="853"/>
      <c r="B163" s="853"/>
      <c r="C163" s="853"/>
      <c r="D163" s="853"/>
      <c r="E163" s="853"/>
      <c r="F163" s="853"/>
      <c r="G163" s="853"/>
      <c r="H163" s="853"/>
      <c r="I163" s="853"/>
      <c r="J163" s="853"/>
      <c r="K163" s="853"/>
      <c r="L163" s="853"/>
      <c r="M163" s="853"/>
      <c r="N163" s="853"/>
      <c r="O163" s="853"/>
      <c r="P163" s="853"/>
      <c r="Q163" s="853"/>
      <c r="R163" s="853"/>
      <c r="S163" s="853"/>
      <c r="T163" s="853"/>
      <c r="U163" s="853"/>
      <c r="V163" s="853"/>
      <c r="W163" s="853"/>
      <c r="X163" s="853"/>
      <c r="Y163" s="853"/>
      <c r="Z163" s="853"/>
    </row>
    <row r="164" ht="15.75" customHeight="1">
      <c r="A164" s="853"/>
      <c r="B164" s="853"/>
      <c r="C164" s="853"/>
      <c r="D164" s="853"/>
      <c r="E164" s="853"/>
      <c r="F164" s="853"/>
      <c r="G164" s="853"/>
      <c r="H164" s="853"/>
      <c r="I164" s="853"/>
      <c r="J164" s="853"/>
      <c r="K164" s="853"/>
      <c r="L164" s="853"/>
      <c r="M164" s="853"/>
      <c r="N164" s="853"/>
      <c r="O164" s="853"/>
      <c r="P164" s="853"/>
      <c r="Q164" s="853"/>
      <c r="R164" s="853"/>
      <c r="S164" s="853"/>
      <c r="T164" s="853"/>
      <c r="U164" s="853"/>
      <c r="V164" s="853"/>
      <c r="W164" s="853"/>
      <c r="X164" s="853"/>
      <c r="Y164" s="853"/>
      <c r="Z164" s="853"/>
    </row>
    <row r="165" ht="15.75" customHeight="1">
      <c r="A165" s="853"/>
      <c r="B165" s="853"/>
      <c r="C165" s="853"/>
      <c r="D165" s="853"/>
      <c r="E165" s="853"/>
      <c r="F165" s="853"/>
      <c r="G165" s="853"/>
      <c r="H165" s="853"/>
      <c r="I165" s="853"/>
      <c r="J165" s="853"/>
      <c r="K165" s="853"/>
      <c r="L165" s="853"/>
      <c r="M165" s="853"/>
      <c r="N165" s="853"/>
      <c r="O165" s="853"/>
      <c r="P165" s="853"/>
      <c r="Q165" s="853"/>
      <c r="R165" s="853"/>
      <c r="S165" s="853"/>
      <c r="T165" s="853"/>
      <c r="U165" s="853"/>
      <c r="V165" s="853"/>
      <c r="W165" s="853"/>
      <c r="X165" s="853"/>
      <c r="Y165" s="853"/>
      <c r="Z165" s="853"/>
    </row>
    <row r="166" ht="15.75" customHeight="1">
      <c r="A166" s="853"/>
      <c r="B166" s="853"/>
      <c r="C166" s="853"/>
      <c r="D166" s="853"/>
      <c r="E166" s="853"/>
      <c r="F166" s="853"/>
      <c r="G166" s="853"/>
      <c r="H166" s="853"/>
      <c r="I166" s="853"/>
      <c r="J166" s="853"/>
      <c r="K166" s="853"/>
      <c r="L166" s="853"/>
      <c r="M166" s="853"/>
      <c r="N166" s="853"/>
      <c r="O166" s="853"/>
      <c r="P166" s="853"/>
      <c r="Q166" s="853"/>
      <c r="R166" s="853"/>
      <c r="S166" s="853"/>
      <c r="T166" s="853"/>
      <c r="U166" s="853"/>
      <c r="V166" s="853"/>
      <c r="W166" s="853"/>
      <c r="X166" s="853"/>
      <c r="Y166" s="853"/>
      <c r="Z166" s="853"/>
    </row>
    <row r="167" ht="15.75" customHeight="1">
      <c r="A167" s="853"/>
      <c r="B167" s="853"/>
      <c r="C167" s="853"/>
      <c r="D167" s="853"/>
      <c r="E167" s="853"/>
      <c r="F167" s="853"/>
      <c r="G167" s="853"/>
      <c r="H167" s="853"/>
      <c r="I167" s="853"/>
      <c r="J167" s="853"/>
      <c r="K167" s="853"/>
      <c r="L167" s="853"/>
      <c r="M167" s="853"/>
      <c r="N167" s="853"/>
      <c r="O167" s="853"/>
      <c r="P167" s="853"/>
      <c r="Q167" s="853"/>
      <c r="R167" s="853"/>
      <c r="S167" s="853"/>
      <c r="T167" s="853"/>
      <c r="U167" s="853"/>
      <c r="V167" s="853"/>
      <c r="W167" s="853"/>
      <c r="X167" s="853"/>
      <c r="Y167" s="853"/>
      <c r="Z167" s="853"/>
    </row>
    <row r="168" ht="15.75" customHeight="1">
      <c r="A168" s="853"/>
      <c r="B168" s="853"/>
      <c r="C168" s="853"/>
      <c r="D168" s="853"/>
      <c r="E168" s="853"/>
      <c r="F168" s="853"/>
      <c r="G168" s="853"/>
      <c r="H168" s="853"/>
      <c r="I168" s="853"/>
      <c r="J168" s="853"/>
      <c r="K168" s="853"/>
      <c r="L168" s="853"/>
      <c r="M168" s="853"/>
      <c r="N168" s="853"/>
      <c r="O168" s="853"/>
      <c r="P168" s="853"/>
      <c r="Q168" s="853"/>
      <c r="R168" s="853"/>
      <c r="S168" s="853"/>
      <c r="T168" s="853"/>
      <c r="U168" s="853"/>
      <c r="V168" s="853"/>
      <c r="W168" s="853"/>
      <c r="X168" s="853"/>
      <c r="Y168" s="853"/>
      <c r="Z168" s="853"/>
    </row>
    <row r="169" ht="15.75" customHeight="1">
      <c r="A169" s="853"/>
      <c r="B169" s="853"/>
      <c r="C169" s="853"/>
      <c r="D169" s="853"/>
      <c r="E169" s="853"/>
      <c r="F169" s="853"/>
      <c r="G169" s="853"/>
      <c r="H169" s="853"/>
      <c r="I169" s="853"/>
      <c r="J169" s="853"/>
      <c r="K169" s="853"/>
      <c r="L169" s="853"/>
      <c r="M169" s="853"/>
      <c r="N169" s="853"/>
      <c r="O169" s="853"/>
      <c r="P169" s="853"/>
      <c r="Q169" s="853"/>
      <c r="R169" s="853"/>
      <c r="S169" s="853"/>
      <c r="T169" s="853"/>
      <c r="U169" s="853"/>
      <c r="V169" s="853"/>
      <c r="W169" s="853"/>
      <c r="X169" s="853"/>
      <c r="Y169" s="853"/>
      <c r="Z169" s="853"/>
    </row>
    <row r="170" ht="15.75" customHeight="1">
      <c r="A170" s="853"/>
      <c r="B170" s="853"/>
      <c r="C170" s="853"/>
      <c r="D170" s="853"/>
      <c r="E170" s="853"/>
      <c r="F170" s="853"/>
      <c r="G170" s="853"/>
      <c r="H170" s="853"/>
      <c r="I170" s="853"/>
      <c r="J170" s="853"/>
      <c r="K170" s="853"/>
      <c r="L170" s="853"/>
      <c r="M170" s="853"/>
      <c r="N170" s="853"/>
      <c r="O170" s="853"/>
      <c r="P170" s="853"/>
      <c r="Q170" s="853"/>
      <c r="R170" s="853"/>
      <c r="S170" s="853"/>
      <c r="T170" s="853"/>
      <c r="U170" s="853"/>
      <c r="V170" s="853"/>
      <c r="W170" s="853"/>
      <c r="X170" s="853"/>
      <c r="Y170" s="853"/>
      <c r="Z170" s="853"/>
    </row>
    <row r="171" ht="15.75" customHeight="1">
      <c r="A171" s="853"/>
      <c r="B171" s="853"/>
      <c r="C171" s="853"/>
      <c r="D171" s="853"/>
      <c r="E171" s="853"/>
      <c r="F171" s="853"/>
      <c r="G171" s="853"/>
      <c r="H171" s="853"/>
      <c r="I171" s="853"/>
      <c r="J171" s="853"/>
      <c r="K171" s="853"/>
      <c r="L171" s="853"/>
      <c r="M171" s="853"/>
      <c r="N171" s="853"/>
      <c r="O171" s="853"/>
      <c r="P171" s="853"/>
      <c r="Q171" s="853"/>
      <c r="R171" s="853"/>
      <c r="S171" s="853"/>
      <c r="T171" s="853"/>
      <c r="U171" s="853"/>
      <c r="V171" s="853"/>
      <c r="W171" s="853"/>
      <c r="X171" s="853"/>
      <c r="Y171" s="853"/>
      <c r="Z171" s="853"/>
    </row>
    <row r="172" ht="15.75" customHeight="1">
      <c r="A172" s="853"/>
      <c r="B172" s="853"/>
      <c r="C172" s="853"/>
      <c r="D172" s="853"/>
      <c r="E172" s="853"/>
      <c r="F172" s="853"/>
      <c r="G172" s="853"/>
      <c r="H172" s="853"/>
      <c r="I172" s="853"/>
      <c r="J172" s="853"/>
      <c r="K172" s="853"/>
      <c r="L172" s="853"/>
      <c r="M172" s="853"/>
      <c r="N172" s="853"/>
      <c r="O172" s="853"/>
      <c r="P172" s="853"/>
      <c r="Q172" s="853"/>
      <c r="R172" s="853"/>
      <c r="S172" s="853"/>
      <c r="T172" s="853"/>
      <c r="U172" s="853"/>
      <c r="V172" s="853"/>
      <c r="W172" s="853"/>
      <c r="X172" s="853"/>
      <c r="Y172" s="853"/>
      <c r="Z172" s="853"/>
    </row>
    <row r="173" ht="15.75" customHeight="1">
      <c r="A173" s="853"/>
      <c r="B173" s="853"/>
      <c r="C173" s="853"/>
      <c r="D173" s="853"/>
      <c r="E173" s="853"/>
      <c r="F173" s="853"/>
      <c r="G173" s="853"/>
      <c r="H173" s="853"/>
      <c r="I173" s="853"/>
      <c r="J173" s="853"/>
      <c r="K173" s="853"/>
      <c r="L173" s="853"/>
      <c r="M173" s="853"/>
      <c r="N173" s="853"/>
      <c r="O173" s="853"/>
      <c r="P173" s="853"/>
      <c r="Q173" s="853"/>
      <c r="R173" s="853"/>
      <c r="S173" s="853"/>
      <c r="T173" s="853"/>
      <c r="U173" s="853"/>
      <c r="V173" s="853"/>
      <c r="W173" s="853"/>
      <c r="X173" s="853"/>
      <c r="Y173" s="853"/>
      <c r="Z173" s="853"/>
    </row>
    <row r="174" ht="15.75" customHeight="1">
      <c r="A174" s="853"/>
      <c r="B174" s="853"/>
      <c r="C174" s="853"/>
      <c r="D174" s="853"/>
      <c r="E174" s="853"/>
      <c r="F174" s="853"/>
      <c r="G174" s="853"/>
      <c r="H174" s="853"/>
      <c r="I174" s="853"/>
      <c r="J174" s="853"/>
      <c r="K174" s="853"/>
      <c r="L174" s="853"/>
      <c r="M174" s="853"/>
      <c r="N174" s="853"/>
      <c r="O174" s="853"/>
      <c r="P174" s="853"/>
      <c r="Q174" s="853"/>
      <c r="R174" s="853"/>
      <c r="S174" s="853"/>
      <c r="T174" s="853"/>
      <c r="U174" s="853"/>
      <c r="V174" s="853"/>
      <c r="W174" s="853"/>
      <c r="X174" s="853"/>
      <c r="Y174" s="853"/>
      <c r="Z174" s="853"/>
    </row>
    <row r="175" ht="15.75" customHeight="1">
      <c r="A175" s="853"/>
      <c r="B175" s="853"/>
      <c r="C175" s="853"/>
      <c r="D175" s="853"/>
      <c r="E175" s="853"/>
      <c r="F175" s="853"/>
      <c r="G175" s="853"/>
      <c r="H175" s="853"/>
      <c r="I175" s="853"/>
      <c r="J175" s="853"/>
      <c r="K175" s="853"/>
      <c r="L175" s="853"/>
      <c r="M175" s="853"/>
      <c r="N175" s="853"/>
      <c r="O175" s="853"/>
      <c r="P175" s="853"/>
      <c r="Q175" s="853"/>
      <c r="R175" s="853"/>
      <c r="S175" s="853"/>
      <c r="T175" s="853"/>
      <c r="U175" s="853"/>
      <c r="V175" s="853"/>
      <c r="W175" s="853"/>
      <c r="X175" s="853"/>
      <c r="Y175" s="853"/>
      <c r="Z175" s="853"/>
    </row>
    <row r="176" ht="15.75" customHeight="1">
      <c r="A176" s="853"/>
      <c r="B176" s="853"/>
      <c r="C176" s="853"/>
      <c r="D176" s="853"/>
      <c r="E176" s="853"/>
      <c r="F176" s="853"/>
      <c r="G176" s="853"/>
      <c r="H176" s="853"/>
      <c r="I176" s="853"/>
      <c r="J176" s="853"/>
      <c r="K176" s="853"/>
      <c r="L176" s="853"/>
      <c r="M176" s="853"/>
      <c r="N176" s="853"/>
      <c r="O176" s="853"/>
      <c r="P176" s="853"/>
      <c r="Q176" s="853"/>
      <c r="R176" s="853"/>
      <c r="S176" s="853"/>
      <c r="T176" s="853"/>
      <c r="U176" s="853"/>
      <c r="V176" s="853"/>
      <c r="W176" s="853"/>
      <c r="X176" s="853"/>
      <c r="Y176" s="853"/>
      <c r="Z176" s="853"/>
    </row>
    <row r="177" ht="15.75" customHeight="1">
      <c r="A177" s="853"/>
      <c r="B177" s="853"/>
      <c r="C177" s="853"/>
      <c r="D177" s="853"/>
      <c r="E177" s="853"/>
      <c r="F177" s="853"/>
      <c r="G177" s="853"/>
      <c r="H177" s="853"/>
      <c r="I177" s="853"/>
      <c r="J177" s="853"/>
      <c r="K177" s="853"/>
      <c r="L177" s="853"/>
      <c r="M177" s="853"/>
      <c r="N177" s="853"/>
      <c r="O177" s="853"/>
      <c r="P177" s="853"/>
      <c r="Q177" s="853"/>
      <c r="R177" s="853"/>
      <c r="S177" s="853"/>
      <c r="T177" s="853"/>
      <c r="U177" s="853"/>
      <c r="V177" s="853"/>
      <c r="W177" s="853"/>
      <c r="X177" s="853"/>
      <c r="Y177" s="853"/>
      <c r="Z177" s="853"/>
    </row>
    <row r="178" ht="15.75" customHeight="1">
      <c r="A178" s="853"/>
      <c r="B178" s="853"/>
      <c r="C178" s="853"/>
      <c r="D178" s="853"/>
      <c r="E178" s="853"/>
      <c r="F178" s="853"/>
      <c r="G178" s="853"/>
      <c r="H178" s="853"/>
      <c r="I178" s="853"/>
      <c r="J178" s="853"/>
      <c r="K178" s="853"/>
      <c r="L178" s="853"/>
      <c r="M178" s="853"/>
      <c r="N178" s="853"/>
      <c r="O178" s="853"/>
      <c r="P178" s="853"/>
      <c r="Q178" s="853"/>
      <c r="R178" s="853"/>
      <c r="S178" s="853"/>
      <c r="T178" s="853"/>
      <c r="U178" s="853"/>
      <c r="V178" s="853"/>
      <c r="W178" s="853"/>
      <c r="X178" s="853"/>
      <c r="Y178" s="853"/>
      <c r="Z178" s="853"/>
    </row>
    <row r="179" ht="15.75" customHeight="1">
      <c r="A179" s="853"/>
      <c r="B179" s="853"/>
      <c r="C179" s="853"/>
      <c r="D179" s="853"/>
      <c r="E179" s="853"/>
      <c r="F179" s="853"/>
      <c r="G179" s="853"/>
      <c r="H179" s="853"/>
      <c r="I179" s="853"/>
      <c r="J179" s="853"/>
      <c r="K179" s="853"/>
      <c r="L179" s="853"/>
      <c r="M179" s="853"/>
      <c r="N179" s="853"/>
      <c r="O179" s="853"/>
      <c r="P179" s="853"/>
      <c r="Q179" s="853"/>
      <c r="R179" s="853"/>
      <c r="S179" s="853"/>
      <c r="T179" s="853"/>
      <c r="U179" s="853"/>
      <c r="V179" s="853"/>
      <c r="W179" s="853"/>
      <c r="X179" s="853"/>
      <c r="Y179" s="853"/>
      <c r="Z179" s="853"/>
    </row>
    <row r="180" ht="15.75" customHeight="1">
      <c r="A180" s="853"/>
      <c r="B180" s="853"/>
      <c r="C180" s="853"/>
      <c r="D180" s="853"/>
      <c r="E180" s="853"/>
      <c r="F180" s="853"/>
      <c r="G180" s="853"/>
      <c r="H180" s="853"/>
      <c r="I180" s="853"/>
      <c r="J180" s="853"/>
      <c r="K180" s="853"/>
      <c r="L180" s="853"/>
      <c r="M180" s="853"/>
      <c r="N180" s="853"/>
      <c r="O180" s="853"/>
      <c r="P180" s="853"/>
      <c r="Q180" s="853"/>
      <c r="R180" s="853"/>
      <c r="S180" s="853"/>
      <c r="T180" s="853"/>
      <c r="U180" s="853"/>
      <c r="V180" s="853"/>
      <c r="W180" s="853"/>
      <c r="X180" s="853"/>
      <c r="Y180" s="853"/>
      <c r="Z180" s="853"/>
    </row>
    <row r="181" ht="15.75" customHeight="1">
      <c r="A181" s="853"/>
      <c r="B181" s="853"/>
      <c r="C181" s="853"/>
      <c r="D181" s="853"/>
      <c r="E181" s="853"/>
      <c r="F181" s="853"/>
      <c r="G181" s="853"/>
      <c r="H181" s="853"/>
      <c r="I181" s="853"/>
      <c r="J181" s="853"/>
      <c r="K181" s="853"/>
      <c r="L181" s="853"/>
      <c r="M181" s="853"/>
      <c r="N181" s="853"/>
      <c r="O181" s="853"/>
      <c r="P181" s="853"/>
      <c r="Q181" s="853"/>
      <c r="R181" s="853"/>
      <c r="S181" s="853"/>
      <c r="T181" s="853"/>
      <c r="U181" s="853"/>
      <c r="V181" s="853"/>
      <c r="W181" s="853"/>
      <c r="X181" s="853"/>
      <c r="Y181" s="853"/>
      <c r="Z181" s="853"/>
    </row>
    <row r="182" ht="15.75" customHeight="1">
      <c r="A182" s="853"/>
      <c r="B182" s="853"/>
      <c r="C182" s="853"/>
      <c r="D182" s="853"/>
      <c r="E182" s="853"/>
      <c r="F182" s="853"/>
      <c r="G182" s="853"/>
      <c r="H182" s="853"/>
      <c r="I182" s="853"/>
      <c r="J182" s="853"/>
      <c r="K182" s="853"/>
      <c r="L182" s="853"/>
      <c r="M182" s="853"/>
      <c r="N182" s="853"/>
      <c r="O182" s="853"/>
      <c r="P182" s="853"/>
      <c r="Q182" s="853"/>
      <c r="R182" s="853"/>
      <c r="S182" s="853"/>
      <c r="T182" s="853"/>
      <c r="U182" s="853"/>
      <c r="V182" s="853"/>
      <c r="W182" s="853"/>
      <c r="X182" s="853"/>
      <c r="Y182" s="853"/>
      <c r="Z182" s="853"/>
    </row>
    <row r="183" ht="15.75" customHeight="1">
      <c r="A183" s="853"/>
      <c r="B183" s="853"/>
      <c r="C183" s="853"/>
      <c r="D183" s="853"/>
      <c r="E183" s="853"/>
      <c r="F183" s="853"/>
      <c r="G183" s="853"/>
      <c r="H183" s="853"/>
      <c r="I183" s="853"/>
      <c r="J183" s="853"/>
      <c r="K183" s="853"/>
      <c r="L183" s="853"/>
      <c r="M183" s="853"/>
      <c r="N183" s="853"/>
      <c r="O183" s="853"/>
      <c r="P183" s="853"/>
      <c r="Q183" s="853"/>
      <c r="R183" s="853"/>
      <c r="S183" s="853"/>
      <c r="T183" s="853"/>
      <c r="U183" s="853"/>
      <c r="V183" s="853"/>
      <c r="W183" s="853"/>
      <c r="X183" s="853"/>
      <c r="Y183" s="853"/>
      <c r="Z183" s="853"/>
    </row>
    <row r="184" ht="15.75" customHeight="1">
      <c r="A184" s="853"/>
      <c r="B184" s="853"/>
      <c r="C184" s="853"/>
      <c r="D184" s="853"/>
      <c r="E184" s="853"/>
      <c r="F184" s="853"/>
      <c r="G184" s="853"/>
      <c r="H184" s="853"/>
      <c r="I184" s="853"/>
      <c r="J184" s="853"/>
      <c r="K184" s="853"/>
      <c r="L184" s="853"/>
      <c r="M184" s="853"/>
      <c r="N184" s="853"/>
      <c r="O184" s="853"/>
      <c r="P184" s="853"/>
      <c r="Q184" s="853"/>
      <c r="R184" s="853"/>
      <c r="S184" s="853"/>
      <c r="T184" s="853"/>
      <c r="U184" s="853"/>
      <c r="V184" s="853"/>
      <c r="W184" s="853"/>
      <c r="X184" s="853"/>
      <c r="Y184" s="853"/>
      <c r="Z184" s="853"/>
    </row>
    <row r="185" ht="15.75" customHeight="1">
      <c r="A185" s="853"/>
      <c r="B185" s="853"/>
      <c r="C185" s="853"/>
      <c r="D185" s="853"/>
      <c r="E185" s="853"/>
      <c r="F185" s="853"/>
      <c r="G185" s="853"/>
      <c r="H185" s="853"/>
      <c r="I185" s="853"/>
      <c r="J185" s="853"/>
      <c r="K185" s="853"/>
      <c r="L185" s="853"/>
      <c r="M185" s="853"/>
      <c r="N185" s="853"/>
      <c r="O185" s="853"/>
      <c r="P185" s="853"/>
      <c r="Q185" s="853"/>
      <c r="R185" s="853"/>
      <c r="S185" s="853"/>
      <c r="T185" s="853"/>
      <c r="U185" s="853"/>
      <c r="V185" s="853"/>
      <c r="W185" s="853"/>
      <c r="X185" s="853"/>
      <c r="Y185" s="853"/>
      <c r="Z185" s="853"/>
    </row>
    <row r="186" ht="15.75" customHeight="1">
      <c r="A186" s="853"/>
      <c r="B186" s="853"/>
      <c r="C186" s="853"/>
      <c r="D186" s="853"/>
      <c r="E186" s="853"/>
      <c r="F186" s="853"/>
      <c r="G186" s="853"/>
      <c r="H186" s="853"/>
      <c r="I186" s="853"/>
      <c r="J186" s="853"/>
      <c r="K186" s="853"/>
      <c r="L186" s="853"/>
      <c r="M186" s="853"/>
      <c r="N186" s="853"/>
      <c r="O186" s="853"/>
      <c r="P186" s="853"/>
      <c r="Q186" s="853"/>
      <c r="R186" s="853"/>
      <c r="S186" s="853"/>
      <c r="T186" s="853"/>
      <c r="U186" s="853"/>
      <c r="V186" s="853"/>
      <c r="W186" s="853"/>
      <c r="X186" s="853"/>
      <c r="Y186" s="853"/>
      <c r="Z186" s="853"/>
    </row>
    <row r="187" ht="15.75" customHeight="1">
      <c r="A187" s="853"/>
      <c r="B187" s="853"/>
      <c r="C187" s="853"/>
      <c r="D187" s="853"/>
      <c r="E187" s="853"/>
      <c r="F187" s="853"/>
      <c r="G187" s="853"/>
      <c r="H187" s="853"/>
      <c r="I187" s="853"/>
      <c r="J187" s="853"/>
      <c r="K187" s="853"/>
      <c r="L187" s="853"/>
      <c r="M187" s="853"/>
      <c r="N187" s="853"/>
      <c r="O187" s="853"/>
      <c r="P187" s="853"/>
      <c r="Q187" s="853"/>
      <c r="R187" s="853"/>
      <c r="S187" s="853"/>
      <c r="T187" s="853"/>
      <c r="U187" s="853"/>
      <c r="V187" s="853"/>
      <c r="W187" s="853"/>
      <c r="X187" s="853"/>
      <c r="Y187" s="853"/>
      <c r="Z187" s="853"/>
    </row>
    <row r="188" ht="15.75" customHeight="1">
      <c r="A188" s="853"/>
      <c r="B188" s="853"/>
      <c r="C188" s="853"/>
      <c r="D188" s="853"/>
      <c r="E188" s="853"/>
      <c r="F188" s="853"/>
      <c r="G188" s="853"/>
      <c r="H188" s="853"/>
      <c r="I188" s="853"/>
      <c r="J188" s="853"/>
      <c r="K188" s="853"/>
      <c r="L188" s="853"/>
      <c r="M188" s="853"/>
      <c r="N188" s="853"/>
      <c r="O188" s="853"/>
      <c r="P188" s="853"/>
      <c r="Q188" s="853"/>
      <c r="R188" s="853"/>
      <c r="S188" s="853"/>
      <c r="T188" s="853"/>
      <c r="U188" s="853"/>
      <c r="V188" s="853"/>
      <c r="W188" s="853"/>
      <c r="X188" s="853"/>
      <c r="Y188" s="853"/>
      <c r="Z188" s="853"/>
    </row>
    <row r="189" ht="15.75" customHeight="1">
      <c r="A189" s="853"/>
      <c r="B189" s="853"/>
      <c r="C189" s="853"/>
      <c r="D189" s="853"/>
      <c r="E189" s="853"/>
      <c r="F189" s="853"/>
      <c r="G189" s="853"/>
      <c r="H189" s="853"/>
      <c r="I189" s="853"/>
      <c r="J189" s="853"/>
      <c r="K189" s="853"/>
      <c r="L189" s="853"/>
      <c r="M189" s="853"/>
      <c r="N189" s="853"/>
      <c r="O189" s="853"/>
      <c r="P189" s="853"/>
      <c r="Q189" s="853"/>
      <c r="R189" s="853"/>
      <c r="S189" s="853"/>
      <c r="T189" s="853"/>
      <c r="U189" s="853"/>
      <c r="V189" s="853"/>
      <c r="W189" s="853"/>
      <c r="X189" s="853"/>
      <c r="Y189" s="853"/>
      <c r="Z189" s="853"/>
    </row>
    <row r="190" ht="15.75" customHeight="1">
      <c r="A190" s="853"/>
      <c r="B190" s="853"/>
      <c r="C190" s="853"/>
      <c r="D190" s="853"/>
      <c r="E190" s="853"/>
      <c r="F190" s="853"/>
      <c r="G190" s="853"/>
      <c r="H190" s="853"/>
      <c r="I190" s="853"/>
      <c r="J190" s="853"/>
      <c r="K190" s="853"/>
      <c r="L190" s="853"/>
      <c r="M190" s="853"/>
      <c r="N190" s="853"/>
      <c r="O190" s="853"/>
      <c r="P190" s="853"/>
      <c r="Q190" s="853"/>
      <c r="R190" s="853"/>
      <c r="S190" s="853"/>
      <c r="T190" s="853"/>
      <c r="U190" s="853"/>
      <c r="V190" s="853"/>
      <c r="W190" s="853"/>
      <c r="X190" s="853"/>
      <c r="Y190" s="853"/>
      <c r="Z190" s="853"/>
    </row>
    <row r="191" ht="15.75" customHeight="1">
      <c r="A191" s="853"/>
      <c r="B191" s="853"/>
      <c r="C191" s="853"/>
      <c r="D191" s="853"/>
      <c r="E191" s="853"/>
      <c r="F191" s="853"/>
      <c r="G191" s="853"/>
      <c r="H191" s="853"/>
      <c r="I191" s="853"/>
      <c r="J191" s="853"/>
      <c r="K191" s="853"/>
      <c r="L191" s="853"/>
      <c r="M191" s="853"/>
      <c r="N191" s="853"/>
      <c r="O191" s="853"/>
      <c r="P191" s="853"/>
      <c r="Q191" s="853"/>
      <c r="R191" s="853"/>
      <c r="S191" s="853"/>
      <c r="T191" s="853"/>
      <c r="U191" s="853"/>
      <c r="V191" s="853"/>
      <c r="W191" s="853"/>
      <c r="X191" s="853"/>
      <c r="Y191" s="853"/>
      <c r="Z191" s="853"/>
    </row>
    <row r="192" ht="15.75" customHeight="1">
      <c r="A192" s="853"/>
      <c r="B192" s="853"/>
      <c r="C192" s="853"/>
      <c r="D192" s="853"/>
      <c r="E192" s="853"/>
      <c r="F192" s="853"/>
      <c r="G192" s="853"/>
      <c r="H192" s="853"/>
      <c r="I192" s="853"/>
      <c r="J192" s="853"/>
      <c r="K192" s="853"/>
      <c r="L192" s="853"/>
      <c r="M192" s="853"/>
      <c r="N192" s="853"/>
      <c r="O192" s="853"/>
      <c r="P192" s="853"/>
      <c r="Q192" s="853"/>
      <c r="R192" s="853"/>
      <c r="S192" s="853"/>
      <c r="T192" s="853"/>
      <c r="U192" s="853"/>
      <c r="V192" s="853"/>
      <c r="W192" s="853"/>
      <c r="X192" s="853"/>
      <c r="Y192" s="853"/>
      <c r="Z192" s="853"/>
    </row>
    <row r="193" ht="15.75" customHeight="1">
      <c r="A193" s="853"/>
      <c r="B193" s="853"/>
      <c r="C193" s="853"/>
      <c r="D193" s="853"/>
      <c r="E193" s="853"/>
      <c r="F193" s="853"/>
      <c r="G193" s="853"/>
      <c r="H193" s="853"/>
      <c r="I193" s="853"/>
      <c r="J193" s="853"/>
      <c r="K193" s="853"/>
      <c r="L193" s="853"/>
      <c r="M193" s="853"/>
      <c r="N193" s="853"/>
      <c r="O193" s="853"/>
      <c r="P193" s="853"/>
      <c r="Q193" s="853"/>
      <c r="R193" s="853"/>
      <c r="S193" s="853"/>
      <c r="T193" s="853"/>
      <c r="U193" s="853"/>
      <c r="V193" s="853"/>
      <c r="W193" s="853"/>
      <c r="X193" s="853"/>
      <c r="Y193" s="853"/>
      <c r="Z193" s="853"/>
    </row>
    <row r="194" ht="15.75" customHeight="1">
      <c r="A194" s="853"/>
      <c r="B194" s="853"/>
      <c r="C194" s="853"/>
      <c r="D194" s="853"/>
      <c r="E194" s="853"/>
      <c r="F194" s="853"/>
      <c r="G194" s="853"/>
      <c r="H194" s="853"/>
      <c r="I194" s="853"/>
      <c r="J194" s="853"/>
      <c r="K194" s="853"/>
      <c r="L194" s="853"/>
      <c r="M194" s="853"/>
      <c r="N194" s="853"/>
      <c r="O194" s="853"/>
      <c r="P194" s="853"/>
      <c r="Q194" s="853"/>
      <c r="R194" s="853"/>
      <c r="S194" s="853"/>
      <c r="T194" s="853"/>
      <c r="U194" s="853"/>
      <c r="V194" s="853"/>
      <c r="W194" s="853"/>
      <c r="X194" s="853"/>
      <c r="Y194" s="853"/>
      <c r="Z194" s="853"/>
    </row>
    <row r="195" ht="15.75" customHeight="1">
      <c r="A195" s="853"/>
      <c r="B195" s="853"/>
      <c r="C195" s="853"/>
      <c r="D195" s="853"/>
      <c r="E195" s="853"/>
      <c r="F195" s="853"/>
      <c r="G195" s="853"/>
      <c r="H195" s="853"/>
      <c r="I195" s="853"/>
      <c r="J195" s="853"/>
      <c r="K195" s="853"/>
      <c r="L195" s="853"/>
      <c r="M195" s="853"/>
      <c r="N195" s="853"/>
      <c r="O195" s="853"/>
      <c r="P195" s="853"/>
      <c r="Q195" s="853"/>
      <c r="R195" s="853"/>
      <c r="S195" s="853"/>
      <c r="T195" s="853"/>
      <c r="U195" s="853"/>
      <c r="V195" s="853"/>
      <c r="W195" s="853"/>
      <c r="X195" s="853"/>
      <c r="Y195" s="853"/>
      <c r="Z195" s="853"/>
    </row>
    <row r="196" ht="15.75" customHeight="1">
      <c r="A196" s="853"/>
      <c r="B196" s="853"/>
      <c r="C196" s="853"/>
      <c r="D196" s="853"/>
      <c r="E196" s="853"/>
      <c r="F196" s="853"/>
      <c r="G196" s="853"/>
      <c r="H196" s="853"/>
      <c r="I196" s="853"/>
      <c r="J196" s="853"/>
      <c r="K196" s="853"/>
      <c r="L196" s="853"/>
      <c r="M196" s="853"/>
      <c r="N196" s="853"/>
      <c r="O196" s="853"/>
      <c r="P196" s="853"/>
      <c r="Q196" s="853"/>
      <c r="R196" s="853"/>
      <c r="S196" s="853"/>
      <c r="T196" s="853"/>
      <c r="U196" s="853"/>
      <c r="V196" s="853"/>
      <c r="W196" s="853"/>
      <c r="X196" s="853"/>
      <c r="Y196" s="853"/>
      <c r="Z196" s="853"/>
    </row>
    <row r="197" ht="15.75" customHeight="1">
      <c r="A197" s="853"/>
      <c r="B197" s="853"/>
      <c r="C197" s="853"/>
      <c r="D197" s="853"/>
      <c r="E197" s="853"/>
      <c r="F197" s="853"/>
      <c r="G197" s="853"/>
      <c r="H197" s="853"/>
      <c r="I197" s="853"/>
      <c r="J197" s="853"/>
      <c r="K197" s="853"/>
      <c r="L197" s="853"/>
      <c r="M197" s="853"/>
      <c r="N197" s="853"/>
      <c r="O197" s="853"/>
      <c r="P197" s="853"/>
      <c r="Q197" s="853"/>
      <c r="R197" s="853"/>
      <c r="S197" s="853"/>
      <c r="T197" s="853"/>
      <c r="U197" s="853"/>
      <c r="V197" s="853"/>
      <c r="W197" s="853"/>
      <c r="X197" s="853"/>
      <c r="Y197" s="853"/>
      <c r="Z197" s="853"/>
    </row>
    <row r="198" ht="15.75" customHeight="1">
      <c r="A198" s="853"/>
      <c r="B198" s="853"/>
      <c r="C198" s="853"/>
      <c r="D198" s="853"/>
      <c r="E198" s="853"/>
      <c r="F198" s="853"/>
      <c r="G198" s="853"/>
      <c r="H198" s="853"/>
      <c r="I198" s="853"/>
      <c r="J198" s="853"/>
      <c r="K198" s="853"/>
      <c r="L198" s="853"/>
      <c r="M198" s="853"/>
      <c r="N198" s="853"/>
      <c r="O198" s="853"/>
      <c r="P198" s="853"/>
      <c r="Q198" s="853"/>
      <c r="R198" s="853"/>
      <c r="S198" s="853"/>
      <c r="T198" s="853"/>
      <c r="U198" s="853"/>
      <c r="V198" s="853"/>
      <c r="W198" s="853"/>
      <c r="X198" s="853"/>
      <c r="Y198" s="853"/>
      <c r="Z198" s="853"/>
    </row>
    <row r="199" ht="15.75" customHeight="1">
      <c r="A199" s="853"/>
      <c r="B199" s="853"/>
      <c r="C199" s="853"/>
      <c r="D199" s="853"/>
      <c r="E199" s="853"/>
      <c r="F199" s="853"/>
      <c r="G199" s="853"/>
      <c r="H199" s="853"/>
      <c r="I199" s="853"/>
      <c r="J199" s="853"/>
      <c r="K199" s="853"/>
      <c r="L199" s="853"/>
      <c r="M199" s="853"/>
      <c r="N199" s="853"/>
      <c r="O199" s="853"/>
      <c r="P199" s="853"/>
      <c r="Q199" s="853"/>
      <c r="R199" s="853"/>
      <c r="S199" s="853"/>
      <c r="T199" s="853"/>
      <c r="U199" s="853"/>
      <c r="V199" s="853"/>
      <c r="W199" s="853"/>
      <c r="X199" s="853"/>
      <c r="Y199" s="853"/>
      <c r="Z199" s="853"/>
    </row>
    <row r="200" ht="15.75" customHeight="1">
      <c r="A200" s="853"/>
      <c r="B200" s="853"/>
      <c r="C200" s="853"/>
      <c r="D200" s="853"/>
      <c r="E200" s="853"/>
      <c r="F200" s="853"/>
      <c r="G200" s="853"/>
      <c r="H200" s="853"/>
      <c r="I200" s="853"/>
      <c r="J200" s="853"/>
      <c r="K200" s="853"/>
      <c r="L200" s="853"/>
      <c r="M200" s="853"/>
      <c r="N200" s="853"/>
      <c r="O200" s="853"/>
      <c r="P200" s="853"/>
      <c r="Q200" s="853"/>
      <c r="R200" s="853"/>
      <c r="S200" s="853"/>
      <c r="T200" s="853"/>
      <c r="U200" s="853"/>
      <c r="V200" s="853"/>
      <c r="W200" s="853"/>
      <c r="X200" s="853"/>
      <c r="Y200" s="853"/>
      <c r="Z200" s="853"/>
    </row>
    <row r="201" ht="15.75" customHeight="1">
      <c r="A201" s="1221"/>
      <c r="B201" s="1221"/>
      <c r="C201" s="1221"/>
      <c r="D201" s="1221"/>
      <c r="E201" s="1221"/>
      <c r="F201" s="1221"/>
      <c r="G201" s="1221"/>
      <c r="H201" s="1221"/>
      <c r="I201" s="1221"/>
      <c r="J201" s="1221"/>
      <c r="K201" s="1221"/>
      <c r="L201" s="1221"/>
      <c r="M201" s="1221"/>
      <c r="N201" s="1221"/>
      <c r="O201" s="1221"/>
      <c r="P201" s="1221"/>
      <c r="Q201" s="1221"/>
      <c r="R201" s="1221"/>
      <c r="S201" s="1221"/>
      <c r="T201" s="1221"/>
      <c r="U201" s="1221"/>
      <c r="V201" s="1221"/>
      <c r="W201" s="1221"/>
      <c r="X201" s="1221"/>
      <c r="Y201" s="1221"/>
      <c r="Z201" s="1221"/>
    </row>
    <row r="202" ht="15.75" customHeight="1">
      <c r="A202" s="1221"/>
      <c r="B202" s="1221"/>
      <c r="C202" s="1221"/>
      <c r="D202" s="1221"/>
      <c r="E202" s="1221"/>
      <c r="F202" s="1221"/>
      <c r="G202" s="1221"/>
      <c r="H202" s="1221"/>
      <c r="I202" s="1221"/>
      <c r="J202" s="1221"/>
      <c r="K202" s="1221"/>
      <c r="L202" s="1221"/>
      <c r="M202" s="1221"/>
      <c r="N202" s="1221"/>
      <c r="O202" s="1221"/>
      <c r="P202" s="1221"/>
      <c r="Q202" s="1221"/>
      <c r="R202" s="1221"/>
      <c r="S202" s="1221"/>
      <c r="T202" s="1221"/>
      <c r="U202" s="1221"/>
      <c r="V202" s="1221"/>
      <c r="W202" s="1221"/>
      <c r="X202" s="1221"/>
      <c r="Y202" s="1221"/>
      <c r="Z202" s="1221"/>
    </row>
    <row r="203" ht="15.75" customHeight="1">
      <c r="A203" s="1221"/>
      <c r="B203" s="1221"/>
      <c r="C203" s="1221"/>
      <c r="D203" s="1221"/>
      <c r="E203" s="1221"/>
      <c r="F203" s="1221"/>
      <c r="G203" s="1221"/>
      <c r="H203" s="1221"/>
      <c r="I203" s="1221"/>
      <c r="J203" s="1221"/>
      <c r="K203" s="1221"/>
      <c r="L203" s="1221"/>
      <c r="M203" s="1221"/>
      <c r="N203" s="1221"/>
      <c r="O203" s="1221"/>
      <c r="P203" s="1221"/>
      <c r="Q203" s="1221"/>
      <c r="R203" s="1221"/>
      <c r="S203" s="1221"/>
      <c r="T203" s="1221"/>
      <c r="U203" s="1221"/>
      <c r="V203" s="1221"/>
      <c r="W203" s="1221"/>
      <c r="X203" s="1221"/>
      <c r="Y203" s="1221"/>
      <c r="Z203" s="1221"/>
    </row>
    <row r="204" ht="15.75" customHeight="1">
      <c r="A204" s="1221"/>
      <c r="B204" s="1221"/>
      <c r="C204" s="1221"/>
      <c r="D204" s="1221"/>
      <c r="E204" s="1221"/>
      <c r="F204" s="1221"/>
      <c r="G204" s="1221"/>
      <c r="H204" s="1221"/>
      <c r="I204" s="1221"/>
      <c r="J204" s="1221"/>
      <c r="K204" s="1221"/>
      <c r="L204" s="1221"/>
      <c r="M204" s="1221"/>
      <c r="N204" s="1221"/>
      <c r="O204" s="1221"/>
      <c r="P204" s="1221"/>
      <c r="Q204" s="1221"/>
      <c r="R204" s="1221"/>
      <c r="S204" s="1221"/>
      <c r="T204" s="1221"/>
      <c r="U204" s="1221"/>
      <c r="V204" s="1221"/>
      <c r="W204" s="1221"/>
      <c r="X204" s="1221"/>
      <c r="Y204" s="1221"/>
      <c r="Z204" s="1221"/>
    </row>
    <row r="205" ht="15.75" customHeight="1">
      <c r="A205" s="1221"/>
      <c r="B205" s="1221"/>
      <c r="C205" s="1221"/>
      <c r="D205" s="1221"/>
      <c r="E205" s="1221"/>
      <c r="F205" s="1221"/>
      <c r="G205" s="1221"/>
      <c r="H205" s="1221"/>
      <c r="I205" s="1221"/>
      <c r="J205" s="1221"/>
      <c r="K205" s="1221"/>
      <c r="L205" s="1221"/>
      <c r="M205" s="1221"/>
      <c r="N205" s="1221"/>
      <c r="O205" s="1221"/>
      <c r="P205" s="1221"/>
      <c r="Q205" s="1221"/>
      <c r="R205" s="1221"/>
      <c r="S205" s="1221"/>
      <c r="T205" s="1221"/>
      <c r="U205" s="1221"/>
      <c r="V205" s="1221"/>
      <c r="W205" s="1221"/>
      <c r="X205" s="1221"/>
      <c r="Y205" s="1221"/>
      <c r="Z205" s="1221"/>
    </row>
    <row r="206" ht="15.75" customHeight="1">
      <c r="A206" s="1221"/>
      <c r="B206" s="1221"/>
      <c r="C206" s="1221"/>
      <c r="D206" s="1221"/>
      <c r="E206" s="1221"/>
      <c r="F206" s="1221"/>
      <c r="G206" s="1221"/>
      <c r="H206" s="1221"/>
      <c r="I206" s="1221"/>
      <c r="J206" s="1221"/>
      <c r="K206" s="1221"/>
      <c r="L206" s="1221"/>
      <c r="M206" s="1221"/>
      <c r="N206" s="1221"/>
      <c r="O206" s="1221"/>
      <c r="P206" s="1221"/>
      <c r="Q206" s="1221"/>
      <c r="R206" s="1221"/>
      <c r="S206" s="1221"/>
      <c r="T206" s="1221"/>
      <c r="U206" s="1221"/>
      <c r="V206" s="1221"/>
      <c r="W206" s="1221"/>
      <c r="X206" s="1221"/>
      <c r="Y206" s="1221"/>
      <c r="Z206" s="1221"/>
    </row>
    <row r="207" ht="15.75" customHeight="1">
      <c r="A207" s="1221"/>
      <c r="B207" s="1221"/>
      <c r="C207" s="1221"/>
      <c r="D207" s="1221"/>
      <c r="E207" s="1221"/>
      <c r="F207" s="1221"/>
      <c r="G207" s="1221"/>
      <c r="H207" s="1221"/>
      <c r="I207" s="1221"/>
      <c r="J207" s="1221"/>
      <c r="K207" s="1221"/>
      <c r="L207" s="1221"/>
      <c r="M207" s="1221"/>
      <c r="N207" s="1221"/>
      <c r="O207" s="1221"/>
      <c r="P207" s="1221"/>
      <c r="Q207" s="1221"/>
      <c r="R207" s="1221"/>
      <c r="S207" s="1221"/>
      <c r="T207" s="1221"/>
      <c r="U207" s="1221"/>
      <c r="V207" s="1221"/>
      <c r="W207" s="1221"/>
      <c r="X207" s="1221"/>
      <c r="Y207" s="1221"/>
      <c r="Z207" s="1221"/>
    </row>
    <row r="208" ht="15.75" customHeight="1">
      <c r="A208" s="1221"/>
      <c r="B208" s="1221"/>
      <c r="C208" s="1221"/>
      <c r="D208" s="1221"/>
      <c r="E208" s="1221"/>
      <c r="F208" s="1221"/>
      <c r="G208" s="1221"/>
      <c r="H208" s="1221"/>
      <c r="I208" s="1221"/>
      <c r="J208" s="1221"/>
      <c r="K208" s="1221"/>
      <c r="L208" s="1221"/>
      <c r="M208" s="1221"/>
      <c r="N208" s="1221"/>
      <c r="O208" s="1221"/>
      <c r="P208" s="1221"/>
      <c r="Q208" s="1221"/>
      <c r="R208" s="1221"/>
      <c r="S208" s="1221"/>
      <c r="T208" s="1221"/>
      <c r="U208" s="1221"/>
      <c r="V208" s="1221"/>
      <c r="W208" s="1221"/>
      <c r="X208" s="1221"/>
      <c r="Y208" s="1221"/>
      <c r="Z208" s="1221"/>
    </row>
    <row r="209" ht="15.75" customHeight="1">
      <c r="A209" s="1221"/>
      <c r="B209" s="1221"/>
      <c r="C209" s="1221"/>
      <c r="D209" s="1221"/>
      <c r="E209" s="1221"/>
      <c r="F209" s="1221"/>
      <c r="G209" s="1221"/>
      <c r="H209" s="1221"/>
      <c r="I209" s="1221"/>
      <c r="J209" s="1221"/>
      <c r="K209" s="1221"/>
      <c r="L209" s="1221"/>
      <c r="M209" s="1221"/>
      <c r="N209" s="1221"/>
      <c r="O209" s="1221"/>
      <c r="P209" s="1221"/>
      <c r="Q209" s="1221"/>
      <c r="R209" s="1221"/>
      <c r="S209" s="1221"/>
      <c r="T209" s="1221"/>
      <c r="U209" s="1221"/>
      <c r="V209" s="1221"/>
      <c r="W209" s="1221"/>
      <c r="X209" s="1221"/>
      <c r="Y209" s="1221"/>
      <c r="Z209" s="1221"/>
    </row>
    <row r="210" ht="15.75" customHeight="1">
      <c r="A210" s="1221"/>
      <c r="B210" s="1221"/>
      <c r="C210" s="1221"/>
      <c r="D210" s="1221"/>
      <c r="E210" s="1221"/>
      <c r="F210" s="1221"/>
      <c r="G210" s="1221"/>
      <c r="H210" s="1221"/>
      <c r="I210" s="1221"/>
      <c r="J210" s="1221"/>
      <c r="K210" s="1221"/>
      <c r="L210" s="1221"/>
      <c r="M210" s="1221"/>
      <c r="N210" s="1221"/>
      <c r="O210" s="1221"/>
      <c r="P210" s="1221"/>
      <c r="Q210" s="1221"/>
      <c r="R210" s="1221"/>
      <c r="S210" s="1221"/>
      <c r="T210" s="1221"/>
      <c r="U210" s="1221"/>
      <c r="V210" s="1221"/>
      <c r="W210" s="1221"/>
      <c r="X210" s="1221"/>
      <c r="Y210" s="1221"/>
      <c r="Z210" s="1221"/>
    </row>
    <row r="211" ht="15.75" customHeight="1">
      <c r="A211" s="1221"/>
      <c r="B211" s="1221"/>
      <c r="C211" s="1221"/>
      <c r="D211" s="1221"/>
      <c r="E211" s="1221"/>
      <c r="F211" s="1221"/>
      <c r="G211" s="1221"/>
      <c r="H211" s="1221"/>
      <c r="I211" s="1221"/>
      <c r="J211" s="1221"/>
      <c r="K211" s="1221"/>
      <c r="L211" s="1221"/>
      <c r="M211" s="1221"/>
      <c r="N211" s="1221"/>
      <c r="O211" s="1221"/>
      <c r="P211" s="1221"/>
      <c r="Q211" s="1221"/>
      <c r="R211" s="1221"/>
      <c r="S211" s="1221"/>
      <c r="T211" s="1221"/>
      <c r="U211" s="1221"/>
      <c r="V211" s="1221"/>
      <c r="W211" s="1221"/>
      <c r="X211" s="1221"/>
      <c r="Y211" s="1221"/>
      <c r="Z211" s="1221"/>
    </row>
    <row r="212" ht="15.75" customHeight="1">
      <c r="A212" s="1221"/>
      <c r="B212" s="1221"/>
      <c r="C212" s="1221"/>
      <c r="D212" s="1221"/>
      <c r="E212" s="1221"/>
      <c r="F212" s="1221"/>
      <c r="G212" s="1221"/>
      <c r="H212" s="1221"/>
      <c r="I212" s="1221"/>
      <c r="J212" s="1221"/>
      <c r="K212" s="1221"/>
      <c r="L212" s="1221"/>
      <c r="M212" s="1221"/>
      <c r="N212" s="1221"/>
      <c r="O212" s="1221"/>
      <c r="P212" s="1221"/>
      <c r="Q212" s="1221"/>
      <c r="R212" s="1221"/>
      <c r="S212" s="1221"/>
      <c r="T212" s="1221"/>
      <c r="U212" s="1221"/>
      <c r="V212" s="1221"/>
      <c r="W212" s="1221"/>
      <c r="X212" s="1221"/>
      <c r="Y212" s="1221"/>
      <c r="Z212" s="1221"/>
    </row>
    <row r="213" ht="15.75" customHeight="1">
      <c r="A213" s="1221"/>
      <c r="B213" s="1221"/>
      <c r="C213" s="1221"/>
      <c r="D213" s="1221"/>
      <c r="E213" s="1221"/>
      <c r="F213" s="1221"/>
      <c r="G213" s="1221"/>
      <c r="H213" s="1221"/>
      <c r="I213" s="1221"/>
      <c r="J213" s="1221"/>
      <c r="K213" s="1221"/>
      <c r="L213" s="1221"/>
      <c r="M213" s="1221"/>
      <c r="N213" s="1221"/>
      <c r="O213" s="1221"/>
      <c r="P213" s="1221"/>
      <c r="Q213" s="1221"/>
      <c r="R213" s="1221"/>
      <c r="S213" s="1221"/>
      <c r="T213" s="1221"/>
      <c r="U213" s="1221"/>
      <c r="V213" s="1221"/>
      <c r="W213" s="1221"/>
      <c r="X213" s="1221"/>
      <c r="Y213" s="1221"/>
      <c r="Z213" s="1221"/>
    </row>
    <row r="214" ht="15.75" customHeight="1">
      <c r="A214" s="1221"/>
      <c r="B214" s="1221"/>
      <c r="C214" s="1221"/>
      <c r="D214" s="1221"/>
      <c r="E214" s="1221"/>
      <c r="F214" s="1221"/>
      <c r="G214" s="1221"/>
      <c r="H214" s="1221"/>
      <c r="I214" s="1221"/>
      <c r="J214" s="1221"/>
      <c r="K214" s="1221"/>
      <c r="L214" s="1221"/>
      <c r="M214" s="1221"/>
      <c r="N214" s="1221"/>
      <c r="O214" s="1221"/>
      <c r="P214" s="1221"/>
      <c r="Q214" s="1221"/>
      <c r="R214" s="1221"/>
      <c r="S214" s="1221"/>
      <c r="T214" s="1221"/>
      <c r="U214" s="1221"/>
      <c r="V214" s="1221"/>
      <c r="W214" s="1221"/>
      <c r="X214" s="1221"/>
      <c r="Y214" s="1221"/>
      <c r="Z214" s="1221"/>
    </row>
    <row r="215" ht="15.75" customHeight="1">
      <c r="A215" s="1221"/>
      <c r="B215" s="1221"/>
      <c r="C215" s="1221"/>
      <c r="D215" s="1221"/>
      <c r="E215" s="1221"/>
      <c r="F215" s="1221"/>
      <c r="G215" s="1221"/>
      <c r="H215" s="1221"/>
      <c r="I215" s="1221"/>
      <c r="J215" s="1221"/>
      <c r="K215" s="1221"/>
      <c r="L215" s="1221"/>
      <c r="M215" s="1221"/>
      <c r="N215" s="1221"/>
      <c r="O215" s="1221"/>
      <c r="P215" s="1221"/>
      <c r="Q215" s="1221"/>
      <c r="R215" s="1221"/>
      <c r="S215" s="1221"/>
      <c r="T215" s="1221"/>
      <c r="U215" s="1221"/>
      <c r="V215" s="1221"/>
      <c r="W215" s="1221"/>
      <c r="X215" s="1221"/>
      <c r="Y215" s="1221"/>
      <c r="Z215" s="1221"/>
    </row>
    <row r="216" ht="15.75" customHeight="1">
      <c r="A216" s="1221"/>
      <c r="B216" s="1221"/>
      <c r="C216" s="1221"/>
      <c r="D216" s="1221"/>
      <c r="E216" s="1221"/>
      <c r="F216" s="1221"/>
      <c r="G216" s="1221"/>
      <c r="H216" s="1221"/>
      <c r="I216" s="1221"/>
      <c r="J216" s="1221"/>
      <c r="K216" s="1221"/>
      <c r="L216" s="1221"/>
      <c r="M216" s="1221"/>
      <c r="N216" s="1221"/>
      <c r="O216" s="1221"/>
      <c r="P216" s="1221"/>
      <c r="Q216" s="1221"/>
      <c r="R216" s="1221"/>
      <c r="S216" s="1221"/>
      <c r="T216" s="1221"/>
      <c r="U216" s="1221"/>
      <c r="V216" s="1221"/>
      <c r="W216" s="1221"/>
      <c r="X216" s="1221"/>
      <c r="Y216" s="1221"/>
      <c r="Z216" s="1221"/>
    </row>
    <row r="217" ht="15.75" customHeight="1">
      <c r="A217" s="1221"/>
      <c r="B217" s="1221"/>
      <c r="C217" s="1221"/>
      <c r="D217" s="1221"/>
      <c r="E217" s="1221"/>
      <c r="F217" s="1221"/>
      <c r="G217" s="1221"/>
      <c r="H217" s="1221"/>
      <c r="I217" s="1221"/>
      <c r="J217" s="1221"/>
      <c r="K217" s="1221"/>
      <c r="L217" s="1221"/>
      <c r="M217" s="1221"/>
      <c r="N217" s="1221"/>
      <c r="O217" s="1221"/>
      <c r="P217" s="1221"/>
      <c r="Q217" s="1221"/>
      <c r="R217" s="1221"/>
      <c r="S217" s="1221"/>
      <c r="T217" s="1221"/>
      <c r="U217" s="1221"/>
      <c r="V217" s="1221"/>
      <c r="W217" s="1221"/>
      <c r="X217" s="1221"/>
      <c r="Y217" s="1221"/>
      <c r="Z217" s="1221"/>
    </row>
    <row r="218" ht="15.75" customHeight="1">
      <c r="A218" s="1221"/>
      <c r="B218" s="1221"/>
      <c r="C218" s="1221"/>
      <c r="D218" s="1221"/>
      <c r="E218" s="1221"/>
      <c r="F218" s="1221"/>
      <c r="G218" s="1221"/>
      <c r="H218" s="1221"/>
      <c r="I218" s="1221"/>
      <c r="J218" s="1221"/>
      <c r="K218" s="1221"/>
      <c r="L218" s="1221"/>
      <c r="M218" s="1221"/>
      <c r="N218" s="1221"/>
      <c r="O218" s="1221"/>
      <c r="P218" s="1221"/>
      <c r="Q218" s="1221"/>
      <c r="R218" s="1221"/>
      <c r="S218" s="1221"/>
      <c r="T218" s="1221"/>
      <c r="U218" s="1221"/>
      <c r="V218" s="1221"/>
      <c r="W218" s="1221"/>
      <c r="X218" s="1221"/>
      <c r="Y218" s="1221"/>
      <c r="Z218" s="1221"/>
    </row>
    <row r="219" ht="15.75" customHeight="1">
      <c r="A219" s="1221"/>
      <c r="B219" s="1221"/>
      <c r="C219" s="1221"/>
      <c r="D219" s="1221"/>
      <c r="E219" s="1221"/>
      <c r="F219" s="1221"/>
      <c r="G219" s="1221"/>
      <c r="H219" s="1221"/>
      <c r="I219" s="1221"/>
      <c r="J219" s="1221"/>
      <c r="K219" s="1221"/>
      <c r="L219" s="1221"/>
      <c r="M219" s="1221"/>
      <c r="N219" s="1221"/>
      <c r="O219" s="1221"/>
      <c r="P219" s="1221"/>
      <c r="Q219" s="1221"/>
      <c r="R219" s="1221"/>
      <c r="S219" s="1221"/>
      <c r="T219" s="1221"/>
      <c r="U219" s="1221"/>
      <c r="V219" s="1221"/>
      <c r="W219" s="1221"/>
      <c r="X219" s="1221"/>
      <c r="Y219" s="1221"/>
      <c r="Z219" s="1221"/>
    </row>
    <row r="220" ht="15.75" customHeight="1">
      <c r="A220" s="1221"/>
      <c r="B220" s="1221"/>
      <c r="C220" s="1221"/>
      <c r="D220" s="1221"/>
      <c r="E220" s="1221"/>
      <c r="F220" s="1221"/>
      <c r="G220" s="1221"/>
      <c r="H220" s="1221"/>
      <c r="I220" s="1221"/>
      <c r="J220" s="1221"/>
      <c r="K220" s="1221"/>
      <c r="L220" s="1221"/>
      <c r="M220" s="1221"/>
      <c r="N220" s="1221"/>
      <c r="O220" s="1221"/>
      <c r="P220" s="1221"/>
      <c r="Q220" s="1221"/>
      <c r="R220" s="1221"/>
      <c r="S220" s="1221"/>
      <c r="T220" s="1221"/>
      <c r="U220" s="1221"/>
      <c r="V220" s="1221"/>
      <c r="W220" s="1221"/>
      <c r="X220" s="1221"/>
      <c r="Y220" s="1221"/>
      <c r="Z220" s="1221"/>
    </row>
    <row r="221" ht="15.75" customHeight="1">
      <c r="A221" s="1221"/>
      <c r="B221" s="1221"/>
      <c r="C221" s="1221"/>
      <c r="D221" s="1221"/>
      <c r="E221" s="1221"/>
      <c r="F221" s="1221"/>
      <c r="G221" s="1221"/>
      <c r="H221" s="1221"/>
      <c r="I221" s="1221"/>
      <c r="J221" s="1221"/>
      <c r="K221" s="1221"/>
      <c r="L221" s="1221"/>
      <c r="M221" s="1221"/>
      <c r="N221" s="1221"/>
      <c r="O221" s="1221"/>
      <c r="P221" s="1221"/>
      <c r="Q221" s="1221"/>
      <c r="R221" s="1221"/>
      <c r="S221" s="1221"/>
      <c r="T221" s="1221"/>
      <c r="U221" s="1221"/>
      <c r="V221" s="1221"/>
      <c r="W221" s="1221"/>
      <c r="X221" s="1221"/>
      <c r="Y221" s="1221"/>
      <c r="Z221" s="1221"/>
    </row>
    <row r="222" ht="15.75" customHeight="1">
      <c r="A222" s="1221"/>
      <c r="B222" s="1221"/>
      <c r="C222" s="1221"/>
      <c r="D222" s="1221"/>
      <c r="E222" s="1221"/>
      <c r="F222" s="1221"/>
      <c r="G222" s="1221"/>
      <c r="H222" s="1221"/>
      <c r="I222" s="1221"/>
      <c r="J222" s="1221"/>
      <c r="K222" s="1221"/>
      <c r="L222" s="1221"/>
      <c r="M222" s="1221"/>
      <c r="N222" s="1221"/>
      <c r="O222" s="1221"/>
      <c r="P222" s="1221"/>
      <c r="Q222" s="1221"/>
      <c r="R222" s="1221"/>
      <c r="S222" s="1221"/>
      <c r="T222" s="1221"/>
      <c r="U222" s="1221"/>
      <c r="V222" s="1221"/>
      <c r="W222" s="1221"/>
      <c r="X222" s="1221"/>
      <c r="Y222" s="1221"/>
      <c r="Z222" s="1221"/>
    </row>
    <row r="223" ht="15.75" customHeight="1">
      <c r="A223" s="1221"/>
      <c r="B223" s="1221"/>
      <c r="C223" s="1221"/>
      <c r="D223" s="1221"/>
      <c r="E223" s="1221"/>
      <c r="F223" s="1221"/>
      <c r="G223" s="1221"/>
      <c r="H223" s="1221"/>
      <c r="I223" s="1221"/>
      <c r="J223" s="1221"/>
      <c r="K223" s="1221"/>
      <c r="L223" s="1221"/>
      <c r="M223" s="1221"/>
      <c r="N223" s="1221"/>
      <c r="O223" s="1221"/>
      <c r="P223" s="1221"/>
      <c r="Q223" s="1221"/>
      <c r="R223" s="1221"/>
      <c r="S223" s="1221"/>
      <c r="T223" s="1221"/>
      <c r="U223" s="1221"/>
      <c r="V223" s="1221"/>
      <c r="W223" s="1221"/>
      <c r="X223" s="1221"/>
      <c r="Y223" s="1221"/>
      <c r="Z223" s="1221"/>
    </row>
    <row r="224" ht="15.75" customHeight="1">
      <c r="A224" s="1221"/>
      <c r="B224" s="1221"/>
      <c r="C224" s="1221"/>
      <c r="D224" s="1221"/>
      <c r="E224" s="1221"/>
      <c r="F224" s="1221"/>
      <c r="G224" s="1221"/>
      <c r="H224" s="1221"/>
      <c r="I224" s="1221"/>
      <c r="J224" s="1221"/>
      <c r="K224" s="1221"/>
      <c r="L224" s="1221"/>
      <c r="M224" s="1221"/>
      <c r="N224" s="1221"/>
      <c r="O224" s="1221"/>
      <c r="P224" s="1221"/>
      <c r="Q224" s="1221"/>
      <c r="R224" s="1221"/>
      <c r="S224" s="1221"/>
      <c r="T224" s="1221"/>
      <c r="U224" s="1221"/>
      <c r="V224" s="1221"/>
      <c r="W224" s="1221"/>
      <c r="X224" s="1221"/>
      <c r="Y224" s="1221"/>
      <c r="Z224" s="1221"/>
    </row>
    <row r="225" ht="15.75" customHeight="1">
      <c r="A225" s="1221"/>
      <c r="B225" s="1221"/>
      <c r="C225" s="1221"/>
      <c r="D225" s="1221"/>
      <c r="E225" s="1221"/>
      <c r="F225" s="1221"/>
      <c r="G225" s="1221"/>
      <c r="H225" s="1221"/>
      <c r="I225" s="1221"/>
      <c r="J225" s="1221"/>
      <c r="K225" s="1221"/>
      <c r="L225" s="1221"/>
      <c r="M225" s="1221"/>
      <c r="N225" s="1221"/>
      <c r="O225" s="1221"/>
      <c r="P225" s="1221"/>
      <c r="Q225" s="1221"/>
      <c r="R225" s="1221"/>
      <c r="S225" s="1221"/>
      <c r="T225" s="1221"/>
      <c r="U225" s="1221"/>
      <c r="V225" s="1221"/>
      <c r="W225" s="1221"/>
      <c r="X225" s="1221"/>
      <c r="Y225" s="1221"/>
      <c r="Z225" s="1221"/>
    </row>
    <row r="226" ht="15.75" customHeight="1">
      <c r="A226" s="1221"/>
      <c r="B226" s="1221"/>
      <c r="C226" s="1221"/>
      <c r="D226" s="1221"/>
      <c r="E226" s="1221"/>
      <c r="F226" s="1221"/>
      <c r="G226" s="1221"/>
      <c r="H226" s="1221"/>
      <c r="I226" s="1221"/>
      <c r="J226" s="1221"/>
      <c r="K226" s="1221"/>
      <c r="L226" s="1221"/>
      <c r="M226" s="1221"/>
      <c r="N226" s="1221"/>
      <c r="O226" s="1221"/>
      <c r="P226" s="1221"/>
      <c r="Q226" s="1221"/>
      <c r="R226" s="1221"/>
      <c r="S226" s="1221"/>
      <c r="T226" s="1221"/>
      <c r="U226" s="1221"/>
      <c r="V226" s="1221"/>
      <c r="W226" s="1221"/>
      <c r="X226" s="1221"/>
      <c r="Y226" s="1221"/>
      <c r="Z226" s="1221"/>
    </row>
    <row r="227" ht="15.75" customHeight="1">
      <c r="A227" s="1221"/>
      <c r="B227" s="1221"/>
      <c r="C227" s="1221"/>
      <c r="D227" s="1221"/>
      <c r="E227" s="1221"/>
      <c r="F227" s="1221"/>
      <c r="G227" s="1221"/>
      <c r="H227" s="1221"/>
      <c r="I227" s="1221"/>
      <c r="J227" s="1221"/>
      <c r="K227" s="1221"/>
      <c r="L227" s="1221"/>
      <c r="M227" s="1221"/>
      <c r="N227" s="1221"/>
      <c r="O227" s="1221"/>
      <c r="P227" s="1221"/>
      <c r="Q227" s="1221"/>
      <c r="R227" s="1221"/>
      <c r="S227" s="1221"/>
      <c r="T227" s="1221"/>
      <c r="U227" s="1221"/>
      <c r="V227" s="1221"/>
      <c r="W227" s="1221"/>
      <c r="X227" s="1221"/>
      <c r="Y227" s="1221"/>
      <c r="Z227" s="1221"/>
    </row>
    <row r="228" ht="15.75" customHeight="1">
      <c r="A228" s="1221"/>
      <c r="B228" s="1221"/>
      <c r="C228" s="1221"/>
      <c r="D228" s="1221"/>
      <c r="E228" s="1221"/>
      <c r="F228" s="1221"/>
      <c r="G228" s="1221"/>
      <c r="H228" s="1221"/>
      <c r="I228" s="1221"/>
      <c r="J228" s="1221"/>
      <c r="K228" s="1221"/>
      <c r="L228" s="1221"/>
      <c r="M228" s="1221"/>
      <c r="N228" s="1221"/>
      <c r="O228" s="1221"/>
      <c r="P228" s="1221"/>
      <c r="Q228" s="1221"/>
      <c r="R228" s="1221"/>
      <c r="S228" s="1221"/>
      <c r="T228" s="1221"/>
      <c r="U228" s="1221"/>
      <c r="V228" s="1221"/>
      <c r="W228" s="1221"/>
      <c r="X228" s="1221"/>
      <c r="Y228" s="1221"/>
      <c r="Z228" s="1221"/>
    </row>
    <row r="229" ht="15.75" customHeight="1">
      <c r="A229" s="1221"/>
      <c r="B229" s="1221"/>
      <c r="C229" s="1221"/>
      <c r="D229" s="1221"/>
      <c r="E229" s="1221"/>
      <c r="F229" s="1221"/>
      <c r="G229" s="1221"/>
      <c r="H229" s="1221"/>
      <c r="I229" s="1221"/>
      <c r="J229" s="1221"/>
      <c r="K229" s="1221"/>
      <c r="L229" s="1221"/>
      <c r="M229" s="1221"/>
      <c r="N229" s="1221"/>
      <c r="O229" s="1221"/>
      <c r="P229" s="1221"/>
      <c r="Q229" s="1221"/>
      <c r="R229" s="1221"/>
      <c r="S229" s="1221"/>
      <c r="T229" s="1221"/>
      <c r="U229" s="1221"/>
      <c r="V229" s="1221"/>
      <c r="W229" s="1221"/>
      <c r="X229" s="1221"/>
      <c r="Y229" s="1221"/>
      <c r="Z229" s="1221"/>
    </row>
    <row r="230" ht="15.75" customHeight="1">
      <c r="A230" s="1221"/>
      <c r="B230" s="1221"/>
      <c r="C230" s="1221"/>
      <c r="D230" s="1221"/>
      <c r="E230" s="1221"/>
      <c r="F230" s="1221"/>
      <c r="G230" s="1221"/>
      <c r="H230" s="1221"/>
      <c r="I230" s="1221"/>
      <c r="J230" s="1221"/>
      <c r="K230" s="1221"/>
      <c r="L230" s="1221"/>
      <c r="M230" s="1221"/>
      <c r="N230" s="1221"/>
      <c r="O230" s="1221"/>
      <c r="P230" s="1221"/>
      <c r="Q230" s="1221"/>
      <c r="R230" s="1221"/>
      <c r="S230" s="1221"/>
      <c r="T230" s="1221"/>
      <c r="U230" s="1221"/>
      <c r="V230" s="1221"/>
      <c r="W230" s="1221"/>
      <c r="X230" s="1221"/>
      <c r="Y230" s="1221"/>
      <c r="Z230" s="1221"/>
    </row>
    <row r="231" ht="15.75" customHeight="1">
      <c r="A231" s="1221"/>
      <c r="B231" s="1221"/>
      <c r="C231" s="1221"/>
      <c r="D231" s="1221"/>
      <c r="E231" s="1221"/>
      <c r="F231" s="1221"/>
      <c r="G231" s="1221"/>
      <c r="H231" s="1221"/>
      <c r="I231" s="1221"/>
      <c r="J231" s="1221"/>
      <c r="K231" s="1221"/>
      <c r="L231" s="1221"/>
      <c r="M231" s="1221"/>
      <c r="N231" s="1221"/>
      <c r="O231" s="1221"/>
      <c r="P231" s="1221"/>
      <c r="Q231" s="1221"/>
      <c r="R231" s="1221"/>
      <c r="S231" s="1221"/>
      <c r="T231" s="1221"/>
      <c r="U231" s="1221"/>
      <c r="V231" s="1221"/>
      <c r="W231" s="1221"/>
      <c r="X231" s="1221"/>
      <c r="Y231" s="1221"/>
      <c r="Z231" s="1221"/>
    </row>
    <row r="232" ht="15.75" customHeight="1">
      <c r="A232" s="1221"/>
      <c r="B232" s="1221"/>
      <c r="C232" s="1221"/>
      <c r="D232" s="1221"/>
      <c r="E232" s="1221"/>
      <c r="F232" s="1221"/>
      <c r="G232" s="1221"/>
      <c r="H232" s="1221"/>
      <c r="I232" s="1221"/>
      <c r="J232" s="1221"/>
      <c r="K232" s="1221"/>
      <c r="L232" s="1221"/>
      <c r="M232" s="1221"/>
      <c r="N232" s="1221"/>
      <c r="O232" s="1221"/>
      <c r="P232" s="1221"/>
      <c r="Q232" s="1221"/>
      <c r="R232" s="1221"/>
      <c r="S232" s="1221"/>
      <c r="T232" s="1221"/>
      <c r="U232" s="1221"/>
      <c r="V232" s="1221"/>
      <c r="W232" s="1221"/>
      <c r="X232" s="1221"/>
      <c r="Y232" s="1221"/>
      <c r="Z232" s="1221"/>
    </row>
    <row r="233" ht="15.75" customHeight="1">
      <c r="A233" s="1221"/>
      <c r="B233" s="1221"/>
      <c r="C233" s="1221"/>
      <c r="D233" s="1221"/>
      <c r="E233" s="1221"/>
      <c r="F233" s="1221"/>
      <c r="G233" s="1221"/>
      <c r="H233" s="1221"/>
      <c r="I233" s="1221"/>
      <c r="J233" s="1221"/>
      <c r="K233" s="1221"/>
      <c r="L233" s="1221"/>
      <c r="M233" s="1221"/>
      <c r="N233" s="1221"/>
      <c r="O233" s="1221"/>
      <c r="P233" s="1221"/>
      <c r="Q233" s="1221"/>
      <c r="R233" s="1221"/>
      <c r="S233" s="1221"/>
      <c r="T233" s="1221"/>
      <c r="U233" s="1221"/>
      <c r="V233" s="1221"/>
      <c r="W233" s="1221"/>
      <c r="X233" s="1221"/>
      <c r="Y233" s="1221"/>
      <c r="Z233" s="1221"/>
    </row>
    <row r="234" ht="15.75" customHeight="1">
      <c r="A234" s="1221"/>
      <c r="B234" s="1221"/>
      <c r="C234" s="1221"/>
      <c r="D234" s="1221"/>
      <c r="E234" s="1221"/>
      <c r="F234" s="1221"/>
      <c r="G234" s="1221"/>
      <c r="H234" s="1221"/>
      <c r="I234" s="1221"/>
      <c r="J234" s="1221"/>
      <c r="K234" s="1221"/>
      <c r="L234" s="1221"/>
      <c r="M234" s="1221"/>
      <c r="N234" s="1221"/>
      <c r="O234" s="1221"/>
      <c r="P234" s="1221"/>
      <c r="Q234" s="1221"/>
      <c r="R234" s="1221"/>
      <c r="S234" s="1221"/>
      <c r="T234" s="1221"/>
      <c r="U234" s="1221"/>
      <c r="V234" s="1221"/>
      <c r="W234" s="1221"/>
      <c r="X234" s="1221"/>
      <c r="Y234" s="1221"/>
      <c r="Z234" s="1221"/>
    </row>
    <row r="235" ht="15.75" customHeight="1">
      <c r="A235" s="1221"/>
      <c r="B235" s="1221"/>
      <c r="C235" s="1221"/>
      <c r="D235" s="1221"/>
      <c r="E235" s="1221"/>
      <c r="F235" s="1221"/>
      <c r="G235" s="1221"/>
      <c r="H235" s="1221"/>
      <c r="I235" s="1221"/>
      <c r="J235" s="1221"/>
      <c r="K235" s="1221"/>
      <c r="L235" s="1221"/>
      <c r="M235" s="1221"/>
      <c r="N235" s="1221"/>
      <c r="O235" s="1221"/>
      <c r="P235" s="1221"/>
      <c r="Q235" s="1221"/>
      <c r="R235" s="1221"/>
      <c r="S235" s="1221"/>
      <c r="T235" s="1221"/>
      <c r="U235" s="1221"/>
      <c r="V235" s="1221"/>
      <c r="W235" s="1221"/>
      <c r="X235" s="1221"/>
      <c r="Y235" s="1221"/>
      <c r="Z235" s="1221"/>
    </row>
    <row r="236" ht="15.75" customHeight="1">
      <c r="A236" s="1221"/>
      <c r="B236" s="1221"/>
      <c r="C236" s="1221"/>
      <c r="D236" s="1221"/>
      <c r="E236" s="1221"/>
      <c r="F236" s="1221"/>
      <c r="G236" s="1221"/>
      <c r="H236" s="1221"/>
      <c r="I236" s="1221"/>
      <c r="J236" s="1221"/>
      <c r="K236" s="1221"/>
      <c r="L236" s="1221"/>
      <c r="M236" s="1221"/>
      <c r="N236" s="1221"/>
      <c r="O236" s="1221"/>
      <c r="P236" s="1221"/>
      <c r="Q236" s="1221"/>
      <c r="R236" s="1221"/>
      <c r="S236" s="1221"/>
      <c r="T236" s="1221"/>
      <c r="U236" s="1221"/>
      <c r="V236" s="1221"/>
      <c r="W236" s="1221"/>
      <c r="X236" s="1221"/>
      <c r="Y236" s="1221"/>
      <c r="Z236" s="1221"/>
    </row>
    <row r="237" ht="15.75" customHeight="1">
      <c r="A237" s="1221"/>
      <c r="B237" s="1221"/>
      <c r="C237" s="1221"/>
      <c r="D237" s="1221"/>
      <c r="E237" s="1221"/>
      <c r="F237" s="1221"/>
      <c r="G237" s="1221"/>
      <c r="H237" s="1221"/>
      <c r="I237" s="1221"/>
      <c r="J237" s="1221"/>
      <c r="K237" s="1221"/>
      <c r="L237" s="1221"/>
      <c r="M237" s="1221"/>
      <c r="N237" s="1221"/>
      <c r="O237" s="1221"/>
      <c r="P237" s="1221"/>
      <c r="Q237" s="1221"/>
      <c r="R237" s="1221"/>
      <c r="S237" s="1221"/>
      <c r="T237" s="1221"/>
      <c r="U237" s="1221"/>
      <c r="V237" s="1221"/>
      <c r="W237" s="1221"/>
      <c r="X237" s="1221"/>
      <c r="Y237" s="1221"/>
      <c r="Z237" s="1221"/>
    </row>
    <row r="238" ht="15.75" customHeight="1">
      <c r="A238" s="1221"/>
      <c r="B238" s="1221"/>
      <c r="C238" s="1221"/>
      <c r="D238" s="1221"/>
      <c r="E238" s="1221"/>
      <c r="F238" s="1221"/>
      <c r="G238" s="1221"/>
      <c r="H238" s="1221"/>
      <c r="I238" s="1221"/>
      <c r="J238" s="1221"/>
      <c r="K238" s="1221"/>
      <c r="L238" s="1221"/>
      <c r="M238" s="1221"/>
      <c r="N238" s="1221"/>
      <c r="O238" s="1221"/>
      <c r="P238" s="1221"/>
      <c r="Q238" s="1221"/>
      <c r="R238" s="1221"/>
      <c r="S238" s="1221"/>
      <c r="T238" s="1221"/>
      <c r="U238" s="1221"/>
      <c r="V238" s="1221"/>
      <c r="W238" s="1221"/>
      <c r="X238" s="1221"/>
      <c r="Y238" s="1221"/>
      <c r="Z238" s="1221"/>
    </row>
    <row r="239" ht="15.75" customHeight="1">
      <c r="A239" s="1221"/>
      <c r="B239" s="1221"/>
      <c r="C239" s="1221"/>
      <c r="D239" s="1221"/>
      <c r="E239" s="1221"/>
      <c r="F239" s="1221"/>
      <c r="G239" s="1221"/>
      <c r="H239" s="1221"/>
      <c r="I239" s="1221"/>
      <c r="J239" s="1221"/>
      <c r="K239" s="1221"/>
      <c r="L239" s="1221"/>
      <c r="M239" s="1221"/>
      <c r="N239" s="1221"/>
      <c r="O239" s="1221"/>
      <c r="P239" s="1221"/>
      <c r="Q239" s="1221"/>
      <c r="R239" s="1221"/>
      <c r="S239" s="1221"/>
      <c r="T239" s="1221"/>
      <c r="U239" s="1221"/>
      <c r="V239" s="1221"/>
      <c r="W239" s="1221"/>
      <c r="X239" s="1221"/>
      <c r="Y239" s="1221"/>
      <c r="Z239" s="1221"/>
    </row>
    <row r="240" ht="15.75" customHeight="1">
      <c r="A240" s="1221"/>
      <c r="B240" s="1221"/>
      <c r="C240" s="1221"/>
      <c r="D240" s="1221"/>
      <c r="E240" s="1221"/>
      <c r="F240" s="1221"/>
      <c r="G240" s="1221"/>
      <c r="H240" s="1221"/>
      <c r="I240" s="1221"/>
      <c r="J240" s="1221"/>
      <c r="K240" s="1221"/>
      <c r="L240" s="1221"/>
      <c r="M240" s="1221"/>
      <c r="N240" s="1221"/>
      <c r="O240" s="1221"/>
      <c r="P240" s="1221"/>
      <c r="Q240" s="1221"/>
      <c r="R240" s="1221"/>
      <c r="S240" s="1221"/>
      <c r="T240" s="1221"/>
      <c r="U240" s="1221"/>
      <c r="V240" s="1221"/>
      <c r="W240" s="1221"/>
      <c r="X240" s="1221"/>
      <c r="Y240" s="1221"/>
      <c r="Z240" s="1221"/>
    </row>
    <row r="241" ht="15.75" customHeight="1">
      <c r="A241" s="1221"/>
      <c r="B241" s="1221"/>
      <c r="C241" s="1221"/>
      <c r="D241" s="1221"/>
      <c r="E241" s="1221"/>
      <c r="F241" s="1221"/>
      <c r="G241" s="1221"/>
      <c r="H241" s="1221"/>
      <c r="I241" s="1221"/>
      <c r="J241" s="1221"/>
      <c r="K241" s="1221"/>
      <c r="L241" s="1221"/>
      <c r="M241" s="1221"/>
      <c r="N241" s="1221"/>
      <c r="O241" s="1221"/>
      <c r="P241" s="1221"/>
      <c r="Q241" s="1221"/>
      <c r="R241" s="1221"/>
      <c r="S241" s="1221"/>
      <c r="T241" s="1221"/>
      <c r="U241" s="1221"/>
      <c r="V241" s="1221"/>
      <c r="W241" s="1221"/>
      <c r="X241" s="1221"/>
      <c r="Y241" s="1221"/>
      <c r="Z241" s="1221"/>
    </row>
    <row r="242" ht="15.75" customHeight="1">
      <c r="A242" s="1221"/>
      <c r="B242" s="1221"/>
      <c r="C242" s="1221"/>
      <c r="D242" s="1221"/>
      <c r="E242" s="1221"/>
      <c r="F242" s="1221"/>
      <c r="G242" s="1221"/>
      <c r="H242" s="1221"/>
      <c r="I242" s="1221"/>
      <c r="J242" s="1221"/>
      <c r="K242" s="1221"/>
      <c r="L242" s="1221"/>
      <c r="M242" s="1221"/>
      <c r="N242" s="1221"/>
      <c r="O242" s="1221"/>
      <c r="P242" s="1221"/>
      <c r="Q242" s="1221"/>
      <c r="R242" s="1221"/>
      <c r="S242" s="1221"/>
      <c r="T242" s="1221"/>
      <c r="U242" s="1221"/>
      <c r="V242" s="1221"/>
      <c r="W242" s="1221"/>
      <c r="X242" s="1221"/>
      <c r="Y242" s="1221"/>
      <c r="Z242" s="1221"/>
    </row>
    <row r="243" ht="15.75" customHeight="1">
      <c r="A243" s="1221"/>
      <c r="B243" s="1221"/>
      <c r="C243" s="1221"/>
      <c r="D243" s="1221"/>
      <c r="E243" s="1221"/>
      <c r="F243" s="1221"/>
      <c r="G243" s="1221"/>
      <c r="H243" s="1221"/>
      <c r="I243" s="1221"/>
      <c r="J243" s="1221"/>
      <c r="K243" s="1221"/>
      <c r="L243" s="1221"/>
      <c r="M243" s="1221"/>
      <c r="N243" s="1221"/>
      <c r="O243" s="1221"/>
      <c r="P243" s="1221"/>
      <c r="Q243" s="1221"/>
      <c r="R243" s="1221"/>
      <c r="S243" s="1221"/>
      <c r="T243" s="1221"/>
      <c r="U243" s="1221"/>
      <c r="V243" s="1221"/>
      <c r="W243" s="1221"/>
      <c r="X243" s="1221"/>
      <c r="Y243" s="1221"/>
      <c r="Z243" s="1221"/>
    </row>
    <row r="244" ht="15.75" customHeight="1">
      <c r="A244" s="1221"/>
      <c r="B244" s="1221"/>
      <c r="C244" s="1221"/>
      <c r="D244" s="1221"/>
      <c r="E244" s="1221"/>
      <c r="F244" s="1221"/>
      <c r="G244" s="1221"/>
      <c r="H244" s="1221"/>
      <c r="I244" s="1221"/>
      <c r="J244" s="1221"/>
      <c r="K244" s="1221"/>
      <c r="L244" s="1221"/>
      <c r="M244" s="1221"/>
      <c r="N244" s="1221"/>
      <c r="O244" s="1221"/>
      <c r="P244" s="1221"/>
      <c r="Q244" s="1221"/>
      <c r="R244" s="1221"/>
      <c r="S244" s="1221"/>
      <c r="T244" s="1221"/>
      <c r="U244" s="1221"/>
      <c r="V244" s="1221"/>
      <c r="W244" s="1221"/>
      <c r="X244" s="1221"/>
      <c r="Y244" s="1221"/>
      <c r="Z244" s="1221"/>
    </row>
    <row r="245" ht="15.75" customHeight="1">
      <c r="A245" s="1221"/>
      <c r="B245" s="1221"/>
      <c r="C245" s="1221"/>
      <c r="D245" s="1221"/>
      <c r="E245" s="1221"/>
      <c r="F245" s="1221"/>
      <c r="G245" s="1221"/>
      <c r="H245" s="1221"/>
      <c r="I245" s="1221"/>
      <c r="J245" s="1221"/>
      <c r="K245" s="1221"/>
      <c r="L245" s="1221"/>
      <c r="M245" s="1221"/>
      <c r="N245" s="1221"/>
      <c r="O245" s="1221"/>
      <c r="P245" s="1221"/>
      <c r="Q245" s="1221"/>
      <c r="R245" s="1221"/>
      <c r="S245" s="1221"/>
      <c r="T245" s="1221"/>
      <c r="U245" s="1221"/>
      <c r="V245" s="1221"/>
      <c r="W245" s="1221"/>
      <c r="X245" s="1221"/>
      <c r="Y245" s="1221"/>
      <c r="Z245" s="1221"/>
    </row>
    <row r="246" ht="15.75" customHeight="1">
      <c r="A246" s="1221"/>
      <c r="B246" s="1221"/>
      <c r="C246" s="1221"/>
      <c r="D246" s="1221"/>
      <c r="E246" s="1221"/>
      <c r="F246" s="1221"/>
      <c r="G246" s="1221"/>
      <c r="H246" s="1221"/>
      <c r="I246" s="1221"/>
      <c r="J246" s="1221"/>
      <c r="K246" s="1221"/>
      <c r="L246" s="1221"/>
      <c r="M246" s="1221"/>
      <c r="N246" s="1221"/>
      <c r="O246" s="1221"/>
      <c r="P246" s="1221"/>
      <c r="Q246" s="1221"/>
      <c r="R246" s="1221"/>
      <c r="S246" s="1221"/>
      <c r="T246" s="1221"/>
      <c r="U246" s="1221"/>
      <c r="V246" s="1221"/>
      <c r="W246" s="1221"/>
      <c r="X246" s="1221"/>
      <c r="Y246" s="1221"/>
      <c r="Z246" s="1221"/>
    </row>
    <row r="247" ht="15.75" customHeight="1">
      <c r="A247" s="1221"/>
      <c r="B247" s="1221"/>
      <c r="C247" s="1221"/>
      <c r="D247" s="1221"/>
      <c r="E247" s="1221"/>
      <c r="F247" s="1221"/>
      <c r="G247" s="1221"/>
      <c r="H247" s="1221"/>
      <c r="I247" s="1221"/>
      <c r="J247" s="1221"/>
      <c r="K247" s="1221"/>
      <c r="L247" s="1221"/>
      <c r="M247" s="1221"/>
      <c r="N247" s="1221"/>
      <c r="O247" s="1221"/>
      <c r="P247" s="1221"/>
      <c r="Q247" s="1221"/>
      <c r="R247" s="1221"/>
      <c r="S247" s="1221"/>
      <c r="T247" s="1221"/>
      <c r="U247" s="1221"/>
      <c r="V247" s="1221"/>
      <c r="W247" s="1221"/>
      <c r="X247" s="1221"/>
      <c r="Y247" s="1221"/>
      <c r="Z247" s="1221"/>
    </row>
    <row r="248" ht="15.75" customHeight="1">
      <c r="A248" s="1221"/>
      <c r="B248" s="1221"/>
      <c r="C248" s="1221"/>
      <c r="D248" s="1221"/>
      <c r="E248" s="1221"/>
      <c r="F248" s="1221"/>
      <c r="G248" s="1221"/>
      <c r="H248" s="1221"/>
      <c r="I248" s="1221"/>
      <c r="J248" s="1221"/>
      <c r="K248" s="1221"/>
      <c r="L248" s="1221"/>
      <c r="M248" s="1221"/>
      <c r="N248" s="1221"/>
      <c r="O248" s="1221"/>
      <c r="P248" s="1221"/>
      <c r="Q248" s="1221"/>
      <c r="R248" s="1221"/>
      <c r="S248" s="1221"/>
      <c r="T248" s="1221"/>
      <c r="U248" s="1221"/>
      <c r="V248" s="1221"/>
      <c r="W248" s="1221"/>
      <c r="X248" s="1221"/>
      <c r="Y248" s="1221"/>
      <c r="Z248" s="1221"/>
    </row>
    <row r="249" ht="15.75" customHeight="1">
      <c r="A249" s="1221"/>
      <c r="B249" s="1221"/>
      <c r="C249" s="1221"/>
      <c r="D249" s="1221"/>
      <c r="E249" s="1221"/>
      <c r="F249" s="1221"/>
      <c r="G249" s="1221"/>
      <c r="H249" s="1221"/>
      <c r="I249" s="1221"/>
      <c r="J249" s="1221"/>
      <c r="K249" s="1221"/>
      <c r="L249" s="1221"/>
      <c r="M249" s="1221"/>
      <c r="N249" s="1221"/>
      <c r="O249" s="1221"/>
      <c r="P249" s="1221"/>
      <c r="Q249" s="1221"/>
      <c r="R249" s="1221"/>
      <c r="S249" s="1221"/>
      <c r="T249" s="1221"/>
      <c r="U249" s="1221"/>
      <c r="V249" s="1221"/>
      <c r="W249" s="1221"/>
      <c r="X249" s="1221"/>
      <c r="Y249" s="1221"/>
      <c r="Z249" s="1221"/>
    </row>
    <row r="250" ht="15.75" customHeight="1">
      <c r="A250" s="1221"/>
      <c r="B250" s="1221"/>
      <c r="C250" s="1221"/>
      <c r="D250" s="1221"/>
      <c r="E250" s="1221"/>
      <c r="F250" s="1221"/>
      <c r="G250" s="1221"/>
      <c r="H250" s="1221"/>
      <c r="I250" s="1221"/>
      <c r="J250" s="1221"/>
      <c r="K250" s="1221"/>
      <c r="L250" s="1221"/>
      <c r="M250" s="1221"/>
      <c r="N250" s="1221"/>
      <c r="O250" s="1221"/>
      <c r="P250" s="1221"/>
      <c r="Q250" s="1221"/>
      <c r="R250" s="1221"/>
      <c r="S250" s="1221"/>
      <c r="T250" s="1221"/>
      <c r="U250" s="1221"/>
      <c r="V250" s="1221"/>
      <c r="W250" s="1221"/>
      <c r="X250" s="1221"/>
      <c r="Y250" s="1221"/>
      <c r="Z250" s="1221"/>
    </row>
    <row r="251" ht="15.75" customHeight="1">
      <c r="A251" s="1221"/>
      <c r="B251" s="1221"/>
      <c r="C251" s="1221"/>
      <c r="D251" s="1221"/>
      <c r="E251" s="1221"/>
      <c r="F251" s="1221"/>
      <c r="G251" s="1221"/>
      <c r="H251" s="1221"/>
      <c r="I251" s="1221"/>
      <c r="J251" s="1221"/>
      <c r="K251" s="1221"/>
      <c r="L251" s="1221"/>
      <c r="M251" s="1221"/>
      <c r="N251" s="1221"/>
      <c r="O251" s="1221"/>
      <c r="P251" s="1221"/>
      <c r="Q251" s="1221"/>
      <c r="R251" s="1221"/>
      <c r="S251" s="1221"/>
      <c r="T251" s="1221"/>
      <c r="U251" s="1221"/>
      <c r="V251" s="1221"/>
      <c r="W251" s="1221"/>
      <c r="X251" s="1221"/>
      <c r="Y251" s="1221"/>
      <c r="Z251" s="1221"/>
    </row>
    <row r="252" ht="15.75" customHeight="1">
      <c r="A252" s="1221"/>
      <c r="B252" s="1221"/>
      <c r="C252" s="1221"/>
      <c r="D252" s="1221"/>
      <c r="E252" s="1221"/>
      <c r="F252" s="1221"/>
      <c r="G252" s="1221"/>
      <c r="H252" s="1221"/>
      <c r="I252" s="1221"/>
      <c r="J252" s="1221"/>
      <c r="K252" s="1221"/>
      <c r="L252" s="1221"/>
      <c r="M252" s="1221"/>
      <c r="N252" s="1221"/>
      <c r="O252" s="1221"/>
      <c r="P252" s="1221"/>
      <c r="Q252" s="1221"/>
      <c r="R252" s="1221"/>
      <c r="S252" s="1221"/>
      <c r="T252" s="1221"/>
      <c r="U252" s="1221"/>
      <c r="V252" s="1221"/>
      <c r="W252" s="1221"/>
      <c r="X252" s="1221"/>
      <c r="Y252" s="1221"/>
      <c r="Z252" s="1221"/>
    </row>
    <row r="253" ht="15.75" customHeight="1">
      <c r="A253" s="1221"/>
      <c r="B253" s="1221"/>
      <c r="C253" s="1221"/>
      <c r="D253" s="1221"/>
      <c r="E253" s="1221"/>
      <c r="F253" s="1221"/>
      <c r="G253" s="1221"/>
      <c r="H253" s="1221"/>
      <c r="I253" s="1221"/>
      <c r="J253" s="1221"/>
      <c r="K253" s="1221"/>
      <c r="L253" s="1221"/>
      <c r="M253" s="1221"/>
      <c r="N253" s="1221"/>
      <c r="O253" s="1221"/>
      <c r="P253" s="1221"/>
      <c r="Q253" s="1221"/>
      <c r="R253" s="1221"/>
      <c r="S253" s="1221"/>
      <c r="T253" s="1221"/>
      <c r="U253" s="1221"/>
      <c r="V253" s="1221"/>
      <c r="W253" s="1221"/>
      <c r="X253" s="1221"/>
      <c r="Y253" s="1221"/>
      <c r="Z253" s="1221"/>
    </row>
    <row r="254" ht="15.75" customHeight="1">
      <c r="A254" s="1221"/>
      <c r="B254" s="1221"/>
      <c r="C254" s="1221"/>
      <c r="D254" s="1221"/>
      <c r="E254" s="1221"/>
      <c r="F254" s="1221"/>
      <c r="G254" s="1221"/>
      <c r="H254" s="1221"/>
      <c r="I254" s="1221"/>
      <c r="J254" s="1221"/>
      <c r="K254" s="1221"/>
      <c r="L254" s="1221"/>
      <c r="M254" s="1221"/>
      <c r="N254" s="1221"/>
      <c r="O254" s="1221"/>
      <c r="P254" s="1221"/>
      <c r="Q254" s="1221"/>
      <c r="R254" s="1221"/>
      <c r="S254" s="1221"/>
      <c r="T254" s="1221"/>
      <c r="U254" s="1221"/>
      <c r="V254" s="1221"/>
      <c r="W254" s="1221"/>
      <c r="X254" s="1221"/>
      <c r="Y254" s="1221"/>
      <c r="Z254" s="1221"/>
    </row>
    <row r="255" ht="15.75" customHeight="1">
      <c r="A255" s="1221"/>
      <c r="B255" s="1221"/>
      <c r="C255" s="1221"/>
      <c r="D255" s="1221"/>
      <c r="E255" s="1221"/>
      <c r="F255" s="1221"/>
      <c r="G255" s="1221"/>
      <c r="H255" s="1221"/>
      <c r="I255" s="1221"/>
      <c r="J255" s="1221"/>
      <c r="K255" s="1221"/>
      <c r="L255" s="1221"/>
      <c r="M255" s="1221"/>
      <c r="N255" s="1221"/>
      <c r="O255" s="1221"/>
      <c r="P255" s="1221"/>
      <c r="Q255" s="1221"/>
      <c r="R255" s="1221"/>
      <c r="S255" s="1221"/>
      <c r="T255" s="1221"/>
      <c r="U255" s="1221"/>
      <c r="V255" s="1221"/>
      <c r="W255" s="1221"/>
      <c r="X255" s="1221"/>
      <c r="Y255" s="1221"/>
      <c r="Z255" s="1221"/>
    </row>
    <row r="256" ht="15.75" customHeight="1">
      <c r="A256" s="1221"/>
      <c r="B256" s="1221"/>
      <c r="C256" s="1221"/>
      <c r="D256" s="1221"/>
      <c r="E256" s="1221"/>
      <c r="F256" s="1221"/>
      <c r="G256" s="1221"/>
      <c r="H256" s="1221"/>
      <c r="I256" s="1221"/>
      <c r="J256" s="1221"/>
      <c r="K256" s="1221"/>
      <c r="L256" s="1221"/>
      <c r="M256" s="1221"/>
      <c r="N256" s="1221"/>
      <c r="O256" s="1221"/>
      <c r="P256" s="1221"/>
      <c r="Q256" s="1221"/>
      <c r="R256" s="1221"/>
      <c r="S256" s="1221"/>
      <c r="T256" s="1221"/>
      <c r="U256" s="1221"/>
      <c r="V256" s="1221"/>
      <c r="W256" s="1221"/>
      <c r="X256" s="1221"/>
      <c r="Y256" s="1221"/>
      <c r="Z256" s="1221"/>
    </row>
    <row r="257" ht="15.75" customHeight="1">
      <c r="A257" s="1221"/>
      <c r="B257" s="1221"/>
      <c r="C257" s="1221"/>
      <c r="D257" s="1221"/>
      <c r="E257" s="1221"/>
      <c r="F257" s="1221"/>
      <c r="G257" s="1221"/>
      <c r="H257" s="1221"/>
      <c r="I257" s="1221"/>
      <c r="J257" s="1221"/>
      <c r="K257" s="1221"/>
      <c r="L257" s="1221"/>
      <c r="M257" s="1221"/>
      <c r="N257" s="1221"/>
      <c r="O257" s="1221"/>
      <c r="P257" s="1221"/>
      <c r="Q257" s="1221"/>
      <c r="R257" s="1221"/>
      <c r="S257" s="1221"/>
      <c r="T257" s="1221"/>
      <c r="U257" s="1221"/>
      <c r="V257" s="1221"/>
      <c r="W257" s="1221"/>
      <c r="X257" s="1221"/>
      <c r="Y257" s="1221"/>
      <c r="Z257" s="1221"/>
    </row>
    <row r="258" ht="15.75" customHeight="1">
      <c r="A258" s="1221"/>
      <c r="B258" s="1221"/>
      <c r="C258" s="1221"/>
      <c r="D258" s="1221"/>
      <c r="E258" s="1221"/>
      <c r="F258" s="1221"/>
      <c r="G258" s="1221"/>
      <c r="H258" s="1221"/>
      <c r="I258" s="1221"/>
      <c r="J258" s="1221"/>
      <c r="K258" s="1221"/>
      <c r="L258" s="1221"/>
      <c r="M258" s="1221"/>
      <c r="N258" s="1221"/>
      <c r="O258" s="1221"/>
      <c r="P258" s="1221"/>
      <c r="Q258" s="1221"/>
      <c r="R258" s="1221"/>
      <c r="S258" s="1221"/>
      <c r="T258" s="1221"/>
      <c r="U258" s="1221"/>
      <c r="V258" s="1221"/>
      <c r="W258" s="1221"/>
      <c r="X258" s="1221"/>
      <c r="Y258" s="1221"/>
      <c r="Z258" s="1221"/>
    </row>
    <row r="259" ht="15.75" customHeight="1">
      <c r="A259" s="1221"/>
      <c r="B259" s="1221"/>
      <c r="C259" s="1221"/>
      <c r="D259" s="1221"/>
      <c r="E259" s="1221"/>
      <c r="F259" s="1221"/>
      <c r="G259" s="1221"/>
      <c r="H259" s="1221"/>
      <c r="I259" s="1221"/>
      <c r="J259" s="1221"/>
      <c r="K259" s="1221"/>
      <c r="L259" s="1221"/>
      <c r="M259" s="1221"/>
      <c r="N259" s="1221"/>
      <c r="O259" s="1221"/>
      <c r="P259" s="1221"/>
      <c r="Q259" s="1221"/>
      <c r="R259" s="1221"/>
      <c r="S259" s="1221"/>
      <c r="T259" s="1221"/>
      <c r="U259" s="1221"/>
      <c r="V259" s="1221"/>
      <c r="W259" s="1221"/>
      <c r="X259" s="1221"/>
      <c r="Y259" s="1221"/>
      <c r="Z259" s="1221"/>
    </row>
    <row r="260" ht="15.75" customHeight="1">
      <c r="A260" s="1221"/>
      <c r="B260" s="1221"/>
      <c r="C260" s="1221"/>
      <c r="D260" s="1221"/>
      <c r="E260" s="1221"/>
      <c r="F260" s="1221"/>
      <c r="G260" s="1221"/>
      <c r="H260" s="1221"/>
      <c r="I260" s="1221"/>
      <c r="J260" s="1221"/>
      <c r="K260" s="1221"/>
      <c r="L260" s="1221"/>
      <c r="M260" s="1221"/>
      <c r="N260" s="1221"/>
      <c r="O260" s="1221"/>
      <c r="P260" s="1221"/>
      <c r="Q260" s="1221"/>
      <c r="R260" s="1221"/>
      <c r="S260" s="1221"/>
      <c r="T260" s="1221"/>
      <c r="U260" s="1221"/>
      <c r="V260" s="1221"/>
      <c r="W260" s="1221"/>
      <c r="X260" s="1221"/>
      <c r="Y260" s="1221"/>
      <c r="Z260" s="1221"/>
    </row>
    <row r="261" ht="15.75" customHeight="1">
      <c r="A261" s="1221"/>
      <c r="B261" s="1221"/>
      <c r="C261" s="1221"/>
      <c r="D261" s="1221"/>
      <c r="E261" s="1221"/>
      <c r="F261" s="1221"/>
      <c r="G261" s="1221"/>
      <c r="H261" s="1221"/>
      <c r="I261" s="1221"/>
      <c r="J261" s="1221"/>
      <c r="K261" s="1221"/>
      <c r="L261" s="1221"/>
      <c r="M261" s="1221"/>
      <c r="N261" s="1221"/>
      <c r="O261" s="1221"/>
      <c r="P261" s="1221"/>
      <c r="Q261" s="1221"/>
      <c r="R261" s="1221"/>
      <c r="S261" s="1221"/>
      <c r="T261" s="1221"/>
      <c r="U261" s="1221"/>
      <c r="V261" s="1221"/>
      <c r="W261" s="1221"/>
      <c r="X261" s="1221"/>
      <c r="Y261" s="1221"/>
      <c r="Z261" s="1221"/>
    </row>
    <row r="262" ht="15.75" customHeight="1">
      <c r="A262" s="1221"/>
      <c r="B262" s="1221"/>
      <c r="C262" s="1221"/>
      <c r="D262" s="1221"/>
      <c r="E262" s="1221"/>
      <c r="F262" s="1221"/>
      <c r="G262" s="1221"/>
      <c r="H262" s="1221"/>
      <c r="I262" s="1221"/>
      <c r="J262" s="1221"/>
      <c r="K262" s="1221"/>
      <c r="L262" s="1221"/>
      <c r="M262" s="1221"/>
      <c r="N262" s="1221"/>
      <c r="O262" s="1221"/>
      <c r="P262" s="1221"/>
      <c r="Q262" s="1221"/>
      <c r="R262" s="1221"/>
      <c r="S262" s="1221"/>
      <c r="T262" s="1221"/>
      <c r="U262" s="1221"/>
      <c r="V262" s="1221"/>
      <c r="W262" s="1221"/>
      <c r="X262" s="1221"/>
      <c r="Y262" s="1221"/>
      <c r="Z262" s="1221"/>
    </row>
    <row r="263" ht="15.75" customHeight="1">
      <c r="A263" s="1221"/>
      <c r="B263" s="1221"/>
      <c r="C263" s="1221"/>
      <c r="D263" s="1221"/>
      <c r="E263" s="1221"/>
      <c r="F263" s="1221"/>
      <c r="G263" s="1221"/>
      <c r="H263" s="1221"/>
      <c r="I263" s="1221"/>
      <c r="J263" s="1221"/>
      <c r="K263" s="1221"/>
      <c r="L263" s="1221"/>
      <c r="M263" s="1221"/>
      <c r="N263" s="1221"/>
      <c r="O263" s="1221"/>
      <c r="P263" s="1221"/>
      <c r="Q263" s="1221"/>
      <c r="R263" s="1221"/>
      <c r="S263" s="1221"/>
      <c r="T263" s="1221"/>
      <c r="U263" s="1221"/>
      <c r="V263" s="1221"/>
      <c r="W263" s="1221"/>
      <c r="X263" s="1221"/>
      <c r="Y263" s="1221"/>
      <c r="Z263" s="1221"/>
    </row>
    <row r="264" ht="15.75" customHeight="1">
      <c r="A264" s="1221"/>
      <c r="B264" s="1221"/>
      <c r="C264" s="1221"/>
      <c r="D264" s="1221"/>
      <c r="E264" s="1221"/>
      <c r="F264" s="1221"/>
      <c r="G264" s="1221"/>
      <c r="H264" s="1221"/>
      <c r="I264" s="1221"/>
      <c r="J264" s="1221"/>
      <c r="K264" s="1221"/>
      <c r="L264" s="1221"/>
      <c r="M264" s="1221"/>
      <c r="N264" s="1221"/>
      <c r="O264" s="1221"/>
      <c r="P264" s="1221"/>
      <c r="Q264" s="1221"/>
      <c r="R264" s="1221"/>
      <c r="S264" s="1221"/>
      <c r="T264" s="1221"/>
      <c r="U264" s="1221"/>
      <c r="V264" s="1221"/>
      <c r="W264" s="1221"/>
      <c r="X264" s="1221"/>
      <c r="Y264" s="1221"/>
      <c r="Z264" s="1221"/>
    </row>
    <row r="265" ht="15.75" customHeight="1">
      <c r="A265" s="1221"/>
      <c r="B265" s="1221"/>
      <c r="C265" s="1221"/>
      <c r="D265" s="1221"/>
      <c r="E265" s="1221"/>
      <c r="F265" s="1221"/>
      <c r="G265" s="1221"/>
      <c r="H265" s="1221"/>
      <c r="I265" s="1221"/>
      <c r="J265" s="1221"/>
      <c r="K265" s="1221"/>
      <c r="L265" s="1221"/>
      <c r="M265" s="1221"/>
      <c r="N265" s="1221"/>
      <c r="O265" s="1221"/>
      <c r="P265" s="1221"/>
      <c r="Q265" s="1221"/>
      <c r="R265" s="1221"/>
      <c r="S265" s="1221"/>
      <c r="T265" s="1221"/>
      <c r="U265" s="1221"/>
      <c r="V265" s="1221"/>
      <c r="W265" s="1221"/>
      <c r="X265" s="1221"/>
      <c r="Y265" s="1221"/>
      <c r="Z265" s="1221"/>
    </row>
    <row r="266" ht="15.75" customHeight="1">
      <c r="A266" s="1221"/>
      <c r="B266" s="1221"/>
      <c r="C266" s="1221"/>
      <c r="D266" s="1221"/>
      <c r="E266" s="1221"/>
      <c r="F266" s="1221"/>
      <c r="G266" s="1221"/>
      <c r="H266" s="1221"/>
      <c r="I266" s="1221"/>
      <c r="J266" s="1221"/>
      <c r="K266" s="1221"/>
      <c r="L266" s="1221"/>
      <c r="M266" s="1221"/>
      <c r="N266" s="1221"/>
      <c r="O266" s="1221"/>
      <c r="P266" s="1221"/>
      <c r="Q266" s="1221"/>
      <c r="R266" s="1221"/>
      <c r="S266" s="1221"/>
      <c r="T266" s="1221"/>
      <c r="U266" s="1221"/>
      <c r="V266" s="1221"/>
      <c r="W266" s="1221"/>
      <c r="X266" s="1221"/>
      <c r="Y266" s="1221"/>
      <c r="Z266" s="1221"/>
    </row>
    <row r="267" ht="15.75" customHeight="1">
      <c r="A267" s="1221"/>
      <c r="B267" s="1221"/>
      <c r="C267" s="1221"/>
      <c r="D267" s="1221"/>
      <c r="E267" s="1221"/>
      <c r="F267" s="1221"/>
      <c r="G267" s="1221"/>
      <c r="H267" s="1221"/>
      <c r="I267" s="1221"/>
      <c r="J267" s="1221"/>
      <c r="K267" s="1221"/>
      <c r="L267" s="1221"/>
      <c r="M267" s="1221"/>
      <c r="N267" s="1221"/>
      <c r="O267" s="1221"/>
      <c r="P267" s="1221"/>
      <c r="Q267" s="1221"/>
      <c r="R267" s="1221"/>
      <c r="S267" s="1221"/>
      <c r="T267" s="1221"/>
      <c r="U267" s="1221"/>
      <c r="V267" s="1221"/>
      <c r="W267" s="1221"/>
      <c r="X267" s="1221"/>
      <c r="Y267" s="1221"/>
      <c r="Z267" s="1221"/>
    </row>
    <row r="268" ht="15.75" customHeight="1">
      <c r="A268" s="1221"/>
      <c r="B268" s="1221"/>
      <c r="C268" s="1221"/>
      <c r="D268" s="1221"/>
      <c r="E268" s="1221"/>
      <c r="F268" s="1221"/>
      <c r="G268" s="1221"/>
      <c r="H268" s="1221"/>
      <c r="I268" s="1221"/>
      <c r="J268" s="1221"/>
      <c r="K268" s="1221"/>
      <c r="L268" s="1221"/>
      <c r="M268" s="1221"/>
      <c r="N268" s="1221"/>
      <c r="O268" s="1221"/>
      <c r="P268" s="1221"/>
      <c r="Q268" s="1221"/>
      <c r="R268" s="1221"/>
      <c r="S268" s="1221"/>
      <c r="T268" s="1221"/>
      <c r="U268" s="1221"/>
      <c r="V268" s="1221"/>
      <c r="W268" s="1221"/>
      <c r="X268" s="1221"/>
      <c r="Y268" s="1221"/>
      <c r="Z268" s="1221"/>
    </row>
    <row r="269" ht="15.75" customHeight="1">
      <c r="A269" s="1221"/>
      <c r="B269" s="1221"/>
      <c r="C269" s="1221"/>
      <c r="D269" s="1221"/>
      <c r="E269" s="1221"/>
      <c r="F269" s="1221"/>
      <c r="G269" s="1221"/>
      <c r="H269" s="1221"/>
      <c r="I269" s="1221"/>
      <c r="J269" s="1221"/>
      <c r="K269" s="1221"/>
      <c r="L269" s="1221"/>
      <c r="M269" s="1221"/>
      <c r="N269" s="1221"/>
      <c r="O269" s="1221"/>
      <c r="P269" s="1221"/>
      <c r="Q269" s="1221"/>
      <c r="R269" s="1221"/>
      <c r="S269" s="1221"/>
      <c r="T269" s="1221"/>
      <c r="U269" s="1221"/>
      <c r="V269" s="1221"/>
      <c r="W269" s="1221"/>
      <c r="X269" s="1221"/>
      <c r="Y269" s="1221"/>
      <c r="Z269" s="1221"/>
    </row>
    <row r="270" ht="15.75" customHeight="1">
      <c r="A270" s="1221"/>
      <c r="B270" s="1221"/>
      <c r="C270" s="1221"/>
      <c r="D270" s="1221"/>
      <c r="E270" s="1221"/>
      <c r="F270" s="1221"/>
      <c r="G270" s="1221"/>
      <c r="H270" s="1221"/>
      <c r="I270" s="1221"/>
      <c r="J270" s="1221"/>
      <c r="K270" s="1221"/>
      <c r="L270" s="1221"/>
      <c r="M270" s="1221"/>
      <c r="N270" s="1221"/>
      <c r="O270" s="1221"/>
      <c r="P270" s="1221"/>
      <c r="Q270" s="1221"/>
      <c r="R270" s="1221"/>
      <c r="S270" s="1221"/>
      <c r="T270" s="1221"/>
      <c r="U270" s="1221"/>
      <c r="V270" s="1221"/>
      <c r="W270" s="1221"/>
      <c r="X270" s="1221"/>
      <c r="Y270" s="1221"/>
      <c r="Z270" s="1221"/>
    </row>
    <row r="271" ht="15.75" customHeight="1">
      <c r="A271" s="1221"/>
      <c r="B271" s="1221"/>
      <c r="C271" s="1221"/>
      <c r="D271" s="1221"/>
      <c r="E271" s="1221"/>
      <c r="F271" s="1221"/>
      <c r="G271" s="1221"/>
      <c r="H271" s="1221"/>
      <c r="I271" s="1221"/>
      <c r="J271" s="1221"/>
      <c r="K271" s="1221"/>
      <c r="L271" s="1221"/>
      <c r="M271" s="1221"/>
      <c r="N271" s="1221"/>
      <c r="O271" s="1221"/>
      <c r="P271" s="1221"/>
      <c r="Q271" s="1221"/>
      <c r="R271" s="1221"/>
      <c r="S271" s="1221"/>
      <c r="T271" s="1221"/>
      <c r="U271" s="1221"/>
      <c r="V271" s="1221"/>
      <c r="W271" s="1221"/>
      <c r="X271" s="1221"/>
      <c r="Y271" s="1221"/>
      <c r="Z271" s="1221"/>
    </row>
    <row r="272" ht="15.75" customHeight="1">
      <c r="A272" s="1221"/>
      <c r="B272" s="1221"/>
      <c r="C272" s="1221"/>
      <c r="D272" s="1221"/>
      <c r="E272" s="1221"/>
      <c r="F272" s="1221"/>
      <c r="G272" s="1221"/>
      <c r="H272" s="1221"/>
      <c r="I272" s="1221"/>
      <c r="J272" s="1221"/>
      <c r="K272" s="1221"/>
      <c r="L272" s="1221"/>
      <c r="M272" s="1221"/>
      <c r="N272" s="1221"/>
      <c r="O272" s="1221"/>
      <c r="P272" s="1221"/>
      <c r="Q272" s="1221"/>
      <c r="R272" s="1221"/>
      <c r="S272" s="1221"/>
      <c r="T272" s="1221"/>
      <c r="U272" s="1221"/>
      <c r="V272" s="1221"/>
      <c r="W272" s="1221"/>
      <c r="X272" s="1221"/>
      <c r="Y272" s="1221"/>
      <c r="Z272" s="1221"/>
    </row>
    <row r="273" ht="15.75" customHeight="1">
      <c r="A273" s="1221"/>
      <c r="B273" s="1221"/>
      <c r="C273" s="1221"/>
      <c r="D273" s="1221"/>
      <c r="E273" s="1221"/>
      <c r="F273" s="1221"/>
      <c r="G273" s="1221"/>
      <c r="H273" s="1221"/>
      <c r="I273" s="1221"/>
      <c r="J273" s="1221"/>
      <c r="K273" s="1221"/>
      <c r="L273" s="1221"/>
      <c r="M273" s="1221"/>
      <c r="N273" s="1221"/>
      <c r="O273" s="1221"/>
      <c r="P273" s="1221"/>
      <c r="Q273" s="1221"/>
      <c r="R273" s="1221"/>
      <c r="S273" s="1221"/>
      <c r="T273" s="1221"/>
      <c r="U273" s="1221"/>
      <c r="V273" s="1221"/>
      <c r="W273" s="1221"/>
      <c r="X273" s="1221"/>
      <c r="Y273" s="1221"/>
      <c r="Z273" s="1221"/>
    </row>
    <row r="274" ht="15.75" customHeight="1">
      <c r="A274" s="1221"/>
      <c r="B274" s="1221"/>
      <c r="C274" s="1221"/>
      <c r="D274" s="1221"/>
      <c r="E274" s="1221"/>
      <c r="F274" s="1221"/>
      <c r="G274" s="1221"/>
      <c r="H274" s="1221"/>
      <c r="I274" s="1221"/>
      <c r="J274" s="1221"/>
      <c r="K274" s="1221"/>
      <c r="L274" s="1221"/>
      <c r="M274" s="1221"/>
      <c r="N274" s="1221"/>
      <c r="O274" s="1221"/>
      <c r="P274" s="1221"/>
      <c r="Q274" s="1221"/>
      <c r="R274" s="1221"/>
      <c r="S274" s="1221"/>
      <c r="T274" s="1221"/>
      <c r="U274" s="1221"/>
      <c r="V274" s="1221"/>
      <c r="W274" s="1221"/>
      <c r="X274" s="1221"/>
      <c r="Y274" s="1221"/>
      <c r="Z274" s="1221"/>
    </row>
    <row r="275" ht="15.75" customHeight="1">
      <c r="A275" s="1221"/>
      <c r="B275" s="1221"/>
      <c r="C275" s="1221"/>
      <c r="D275" s="1221"/>
      <c r="E275" s="1221"/>
      <c r="F275" s="1221"/>
      <c r="G275" s="1221"/>
      <c r="H275" s="1221"/>
      <c r="I275" s="1221"/>
      <c r="J275" s="1221"/>
      <c r="K275" s="1221"/>
      <c r="L275" s="1221"/>
      <c r="M275" s="1221"/>
      <c r="N275" s="1221"/>
      <c r="O275" s="1221"/>
      <c r="P275" s="1221"/>
      <c r="Q275" s="1221"/>
      <c r="R275" s="1221"/>
      <c r="S275" s="1221"/>
      <c r="T275" s="1221"/>
      <c r="U275" s="1221"/>
      <c r="V275" s="1221"/>
      <c r="W275" s="1221"/>
      <c r="X275" s="1221"/>
      <c r="Y275" s="1221"/>
      <c r="Z275" s="1221"/>
    </row>
    <row r="276" ht="15.75" customHeight="1">
      <c r="A276" s="1221"/>
      <c r="B276" s="1221"/>
      <c r="C276" s="1221"/>
      <c r="D276" s="1221"/>
      <c r="E276" s="1221"/>
      <c r="F276" s="1221"/>
      <c r="G276" s="1221"/>
      <c r="H276" s="1221"/>
      <c r="I276" s="1221"/>
      <c r="J276" s="1221"/>
      <c r="K276" s="1221"/>
      <c r="L276" s="1221"/>
      <c r="M276" s="1221"/>
      <c r="N276" s="1221"/>
      <c r="O276" s="1221"/>
      <c r="P276" s="1221"/>
      <c r="Q276" s="1221"/>
      <c r="R276" s="1221"/>
      <c r="S276" s="1221"/>
      <c r="T276" s="1221"/>
      <c r="U276" s="1221"/>
      <c r="V276" s="1221"/>
      <c r="W276" s="1221"/>
      <c r="X276" s="1221"/>
      <c r="Y276" s="1221"/>
      <c r="Z276" s="1221"/>
    </row>
    <row r="277" ht="15.75" customHeight="1">
      <c r="A277" s="1221"/>
      <c r="B277" s="1221"/>
      <c r="C277" s="1221"/>
      <c r="D277" s="1221"/>
      <c r="E277" s="1221"/>
      <c r="F277" s="1221"/>
      <c r="G277" s="1221"/>
      <c r="H277" s="1221"/>
      <c r="I277" s="1221"/>
      <c r="J277" s="1221"/>
      <c r="K277" s="1221"/>
      <c r="L277" s="1221"/>
      <c r="M277" s="1221"/>
      <c r="N277" s="1221"/>
      <c r="O277" s="1221"/>
      <c r="P277" s="1221"/>
      <c r="Q277" s="1221"/>
      <c r="R277" s="1221"/>
      <c r="S277" s="1221"/>
      <c r="T277" s="1221"/>
      <c r="U277" s="1221"/>
      <c r="V277" s="1221"/>
      <c r="W277" s="1221"/>
      <c r="X277" s="1221"/>
      <c r="Y277" s="1221"/>
      <c r="Z277" s="1221"/>
    </row>
    <row r="278" ht="15.75" customHeight="1">
      <c r="A278" s="1221"/>
      <c r="B278" s="1221"/>
      <c r="C278" s="1221"/>
      <c r="D278" s="1221"/>
      <c r="E278" s="1221"/>
      <c r="F278" s="1221"/>
      <c r="G278" s="1221"/>
      <c r="H278" s="1221"/>
      <c r="I278" s="1221"/>
      <c r="J278" s="1221"/>
      <c r="K278" s="1221"/>
      <c r="L278" s="1221"/>
      <c r="M278" s="1221"/>
      <c r="N278" s="1221"/>
      <c r="O278" s="1221"/>
      <c r="P278" s="1221"/>
      <c r="Q278" s="1221"/>
      <c r="R278" s="1221"/>
      <c r="S278" s="1221"/>
      <c r="T278" s="1221"/>
      <c r="U278" s="1221"/>
      <c r="V278" s="1221"/>
      <c r="W278" s="1221"/>
      <c r="X278" s="1221"/>
      <c r="Y278" s="1221"/>
      <c r="Z278" s="1221"/>
    </row>
    <row r="279" ht="15.75" customHeight="1">
      <c r="A279" s="1221"/>
      <c r="B279" s="1221"/>
      <c r="C279" s="1221"/>
      <c r="D279" s="1221"/>
      <c r="E279" s="1221"/>
      <c r="F279" s="1221"/>
      <c r="G279" s="1221"/>
      <c r="H279" s="1221"/>
      <c r="I279" s="1221"/>
      <c r="J279" s="1221"/>
      <c r="K279" s="1221"/>
      <c r="L279" s="1221"/>
      <c r="M279" s="1221"/>
      <c r="N279" s="1221"/>
      <c r="O279" s="1221"/>
      <c r="P279" s="1221"/>
      <c r="Q279" s="1221"/>
      <c r="R279" s="1221"/>
      <c r="S279" s="1221"/>
      <c r="T279" s="1221"/>
      <c r="U279" s="1221"/>
      <c r="V279" s="1221"/>
      <c r="W279" s="1221"/>
      <c r="X279" s="1221"/>
      <c r="Y279" s="1221"/>
      <c r="Z279" s="1221"/>
    </row>
    <row r="280" ht="15.75" customHeight="1">
      <c r="A280" s="1221"/>
      <c r="B280" s="1221"/>
      <c r="C280" s="1221"/>
      <c r="D280" s="1221"/>
      <c r="E280" s="1221"/>
      <c r="F280" s="1221"/>
      <c r="G280" s="1221"/>
      <c r="H280" s="1221"/>
      <c r="I280" s="1221"/>
      <c r="J280" s="1221"/>
      <c r="K280" s="1221"/>
      <c r="L280" s="1221"/>
      <c r="M280" s="1221"/>
      <c r="N280" s="1221"/>
      <c r="O280" s="1221"/>
      <c r="P280" s="1221"/>
      <c r="Q280" s="1221"/>
      <c r="R280" s="1221"/>
      <c r="S280" s="1221"/>
      <c r="T280" s="1221"/>
      <c r="U280" s="1221"/>
      <c r="V280" s="1221"/>
      <c r="W280" s="1221"/>
      <c r="X280" s="1221"/>
      <c r="Y280" s="1221"/>
      <c r="Z280" s="1221"/>
    </row>
    <row r="281" ht="15.75" customHeight="1">
      <c r="A281" s="1221"/>
      <c r="B281" s="1221"/>
      <c r="C281" s="1221"/>
      <c r="D281" s="1221"/>
      <c r="E281" s="1221"/>
      <c r="F281" s="1221"/>
      <c r="G281" s="1221"/>
      <c r="H281" s="1221"/>
      <c r="I281" s="1221"/>
      <c r="J281" s="1221"/>
      <c r="K281" s="1221"/>
      <c r="L281" s="1221"/>
      <c r="M281" s="1221"/>
      <c r="N281" s="1221"/>
      <c r="O281" s="1221"/>
      <c r="P281" s="1221"/>
      <c r="Q281" s="1221"/>
      <c r="R281" s="1221"/>
      <c r="S281" s="1221"/>
      <c r="T281" s="1221"/>
      <c r="U281" s="1221"/>
      <c r="V281" s="1221"/>
      <c r="W281" s="1221"/>
      <c r="X281" s="1221"/>
      <c r="Y281" s="1221"/>
      <c r="Z281" s="1221"/>
    </row>
    <row r="282" ht="15.75" customHeight="1">
      <c r="A282" s="1221"/>
      <c r="B282" s="1221"/>
      <c r="C282" s="1221"/>
      <c r="D282" s="1221"/>
      <c r="E282" s="1221"/>
      <c r="F282" s="1221"/>
      <c r="G282" s="1221"/>
      <c r="H282" s="1221"/>
      <c r="I282" s="1221"/>
      <c r="J282" s="1221"/>
      <c r="K282" s="1221"/>
      <c r="L282" s="1221"/>
      <c r="M282" s="1221"/>
      <c r="N282" s="1221"/>
      <c r="O282" s="1221"/>
      <c r="P282" s="1221"/>
      <c r="Q282" s="1221"/>
      <c r="R282" s="1221"/>
      <c r="S282" s="1221"/>
      <c r="T282" s="1221"/>
      <c r="U282" s="1221"/>
      <c r="V282" s="1221"/>
      <c r="W282" s="1221"/>
      <c r="X282" s="1221"/>
      <c r="Y282" s="1221"/>
      <c r="Z282" s="1221"/>
    </row>
    <row r="283" ht="15.75" customHeight="1">
      <c r="A283" s="1221"/>
      <c r="B283" s="1221"/>
      <c r="C283" s="1221"/>
      <c r="D283" s="1221"/>
      <c r="E283" s="1221"/>
      <c r="F283" s="1221"/>
      <c r="G283" s="1221"/>
      <c r="H283" s="1221"/>
      <c r="I283" s="1221"/>
      <c r="J283" s="1221"/>
      <c r="K283" s="1221"/>
      <c r="L283" s="1221"/>
      <c r="M283" s="1221"/>
      <c r="N283" s="1221"/>
      <c r="O283" s="1221"/>
      <c r="P283" s="1221"/>
      <c r="Q283" s="1221"/>
      <c r="R283" s="1221"/>
      <c r="S283" s="1221"/>
      <c r="T283" s="1221"/>
      <c r="U283" s="1221"/>
      <c r="V283" s="1221"/>
      <c r="W283" s="1221"/>
      <c r="X283" s="1221"/>
      <c r="Y283" s="1221"/>
      <c r="Z283" s="1221"/>
    </row>
    <row r="284" ht="15.75" customHeight="1">
      <c r="A284" s="1221"/>
      <c r="B284" s="1221"/>
      <c r="C284" s="1221"/>
      <c r="D284" s="1221"/>
      <c r="E284" s="1221"/>
      <c r="F284" s="1221"/>
      <c r="G284" s="1221"/>
      <c r="H284" s="1221"/>
      <c r="I284" s="1221"/>
      <c r="J284" s="1221"/>
      <c r="K284" s="1221"/>
      <c r="L284" s="1221"/>
      <c r="M284" s="1221"/>
      <c r="N284" s="1221"/>
      <c r="O284" s="1221"/>
      <c r="P284" s="1221"/>
      <c r="Q284" s="1221"/>
      <c r="R284" s="1221"/>
      <c r="S284" s="1221"/>
      <c r="T284" s="1221"/>
      <c r="U284" s="1221"/>
      <c r="V284" s="1221"/>
      <c r="W284" s="1221"/>
      <c r="X284" s="1221"/>
      <c r="Y284" s="1221"/>
      <c r="Z284" s="1221"/>
    </row>
    <row r="285" ht="15.75" customHeight="1">
      <c r="A285" s="1221"/>
      <c r="B285" s="1221"/>
      <c r="C285" s="1221"/>
      <c r="D285" s="1221"/>
      <c r="E285" s="1221"/>
      <c r="F285" s="1221"/>
      <c r="G285" s="1221"/>
      <c r="H285" s="1221"/>
      <c r="I285" s="1221"/>
      <c r="J285" s="1221"/>
      <c r="K285" s="1221"/>
      <c r="L285" s="1221"/>
      <c r="M285" s="1221"/>
      <c r="N285" s="1221"/>
      <c r="O285" s="1221"/>
      <c r="P285" s="1221"/>
      <c r="Q285" s="1221"/>
      <c r="R285" s="1221"/>
      <c r="S285" s="1221"/>
      <c r="T285" s="1221"/>
      <c r="U285" s="1221"/>
      <c r="V285" s="1221"/>
      <c r="W285" s="1221"/>
      <c r="X285" s="1221"/>
      <c r="Y285" s="1221"/>
      <c r="Z285" s="1221"/>
    </row>
    <row r="286" ht="15.75" customHeight="1">
      <c r="A286" s="1221"/>
      <c r="B286" s="1221"/>
      <c r="C286" s="1221"/>
      <c r="D286" s="1221"/>
      <c r="E286" s="1221"/>
      <c r="F286" s="1221"/>
      <c r="G286" s="1221"/>
      <c r="H286" s="1221"/>
      <c r="I286" s="1221"/>
      <c r="J286" s="1221"/>
      <c r="K286" s="1221"/>
      <c r="L286" s="1221"/>
      <c r="M286" s="1221"/>
      <c r="N286" s="1221"/>
      <c r="O286" s="1221"/>
      <c r="P286" s="1221"/>
      <c r="Q286" s="1221"/>
      <c r="R286" s="1221"/>
      <c r="S286" s="1221"/>
      <c r="T286" s="1221"/>
      <c r="U286" s="1221"/>
      <c r="V286" s="1221"/>
      <c r="W286" s="1221"/>
      <c r="X286" s="1221"/>
      <c r="Y286" s="1221"/>
      <c r="Z286" s="1221"/>
    </row>
    <row r="287" ht="15.75" customHeight="1">
      <c r="A287" s="1221"/>
      <c r="B287" s="1221"/>
      <c r="C287" s="1221"/>
      <c r="D287" s="1221"/>
      <c r="E287" s="1221"/>
      <c r="F287" s="1221"/>
      <c r="G287" s="1221"/>
      <c r="H287" s="1221"/>
      <c r="I287" s="1221"/>
      <c r="J287" s="1221"/>
      <c r="K287" s="1221"/>
      <c r="L287" s="1221"/>
      <c r="M287" s="1221"/>
      <c r="N287" s="1221"/>
      <c r="O287" s="1221"/>
      <c r="P287" s="1221"/>
      <c r="Q287" s="1221"/>
      <c r="R287" s="1221"/>
      <c r="S287" s="1221"/>
      <c r="T287" s="1221"/>
      <c r="U287" s="1221"/>
      <c r="V287" s="1221"/>
      <c r="W287" s="1221"/>
      <c r="X287" s="1221"/>
      <c r="Y287" s="1221"/>
      <c r="Z287" s="1221"/>
    </row>
    <row r="288" ht="15.75" customHeight="1">
      <c r="A288" s="1221"/>
      <c r="B288" s="1221"/>
      <c r="C288" s="1221"/>
      <c r="D288" s="1221"/>
      <c r="E288" s="1221"/>
      <c r="F288" s="1221"/>
      <c r="G288" s="1221"/>
      <c r="H288" s="1221"/>
      <c r="I288" s="1221"/>
      <c r="J288" s="1221"/>
      <c r="K288" s="1221"/>
      <c r="L288" s="1221"/>
      <c r="M288" s="1221"/>
      <c r="N288" s="1221"/>
      <c r="O288" s="1221"/>
      <c r="P288" s="1221"/>
      <c r="Q288" s="1221"/>
      <c r="R288" s="1221"/>
      <c r="S288" s="1221"/>
      <c r="T288" s="1221"/>
      <c r="U288" s="1221"/>
      <c r="V288" s="1221"/>
      <c r="W288" s="1221"/>
      <c r="X288" s="1221"/>
      <c r="Y288" s="1221"/>
      <c r="Z288" s="1221"/>
    </row>
    <row r="289" ht="15.75" customHeight="1">
      <c r="A289" s="1221"/>
      <c r="B289" s="1221"/>
      <c r="C289" s="1221"/>
      <c r="D289" s="1221"/>
      <c r="E289" s="1221"/>
      <c r="F289" s="1221"/>
      <c r="G289" s="1221"/>
      <c r="H289" s="1221"/>
      <c r="I289" s="1221"/>
      <c r="J289" s="1221"/>
      <c r="K289" s="1221"/>
      <c r="L289" s="1221"/>
      <c r="M289" s="1221"/>
      <c r="N289" s="1221"/>
      <c r="O289" s="1221"/>
      <c r="P289" s="1221"/>
      <c r="Q289" s="1221"/>
      <c r="R289" s="1221"/>
      <c r="S289" s="1221"/>
      <c r="T289" s="1221"/>
      <c r="U289" s="1221"/>
      <c r="V289" s="1221"/>
      <c r="W289" s="1221"/>
      <c r="X289" s="1221"/>
      <c r="Y289" s="1221"/>
      <c r="Z289" s="1221"/>
    </row>
    <row r="290" ht="15.75" customHeight="1">
      <c r="A290" s="1221"/>
      <c r="B290" s="1221"/>
      <c r="C290" s="1221"/>
      <c r="D290" s="1221"/>
      <c r="E290" s="1221"/>
      <c r="F290" s="1221"/>
      <c r="G290" s="1221"/>
      <c r="H290" s="1221"/>
      <c r="I290" s="1221"/>
      <c r="J290" s="1221"/>
      <c r="K290" s="1221"/>
      <c r="L290" s="1221"/>
      <c r="M290" s="1221"/>
      <c r="N290" s="1221"/>
      <c r="O290" s="1221"/>
      <c r="P290" s="1221"/>
      <c r="Q290" s="1221"/>
      <c r="R290" s="1221"/>
      <c r="S290" s="1221"/>
      <c r="T290" s="1221"/>
      <c r="U290" s="1221"/>
      <c r="V290" s="1221"/>
      <c r="W290" s="1221"/>
      <c r="X290" s="1221"/>
      <c r="Y290" s="1221"/>
      <c r="Z290" s="1221"/>
    </row>
    <row r="291" ht="15.75" customHeight="1">
      <c r="A291" s="1221"/>
      <c r="B291" s="1221"/>
      <c r="C291" s="1221"/>
      <c r="D291" s="1221"/>
      <c r="E291" s="1221"/>
      <c r="F291" s="1221"/>
      <c r="G291" s="1221"/>
      <c r="H291" s="1221"/>
      <c r="I291" s="1221"/>
      <c r="J291" s="1221"/>
      <c r="K291" s="1221"/>
      <c r="L291" s="1221"/>
      <c r="M291" s="1221"/>
      <c r="N291" s="1221"/>
      <c r="O291" s="1221"/>
      <c r="P291" s="1221"/>
      <c r="Q291" s="1221"/>
      <c r="R291" s="1221"/>
      <c r="S291" s="1221"/>
      <c r="T291" s="1221"/>
      <c r="U291" s="1221"/>
      <c r="V291" s="1221"/>
      <c r="W291" s="1221"/>
      <c r="X291" s="1221"/>
      <c r="Y291" s="1221"/>
      <c r="Z291" s="1221"/>
    </row>
    <row r="292" ht="15.75" customHeight="1">
      <c r="A292" s="1221"/>
      <c r="B292" s="1221"/>
      <c r="C292" s="1221"/>
      <c r="D292" s="1221"/>
      <c r="E292" s="1221"/>
      <c r="F292" s="1221"/>
      <c r="G292" s="1221"/>
      <c r="H292" s="1221"/>
      <c r="I292" s="1221"/>
      <c r="J292" s="1221"/>
      <c r="K292" s="1221"/>
      <c r="L292" s="1221"/>
      <c r="M292" s="1221"/>
      <c r="N292" s="1221"/>
      <c r="O292" s="1221"/>
      <c r="P292" s="1221"/>
      <c r="Q292" s="1221"/>
      <c r="R292" s="1221"/>
      <c r="S292" s="1221"/>
      <c r="T292" s="1221"/>
      <c r="U292" s="1221"/>
      <c r="V292" s="1221"/>
      <c r="W292" s="1221"/>
      <c r="X292" s="1221"/>
      <c r="Y292" s="1221"/>
      <c r="Z292" s="1221"/>
    </row>
    <row r="293" ht="15.75" customHeight="1">
      <c r="A293" s="1221"/>
      <c r="B293" s="1221"/>
      <c r="C293" s="1221"/>
      <c r="D293" s="1221"/>
      <c r="E293" s="1221"/>
      <c r="F293" s="1221"/>
      <c r="G293" s="1221"/>
      <c r="H293" s="1221"/>
      <c r="I293" s="1221"/>
      <c r="J293" s="1221"/>
      <c r="K293" s="1221"/>
      <c r="L293" s="1221"/>
      <c r="M293" s="1221"/>
      <c r="N293" s="1221"/>
      <c r="O293" s="1221"/>
      <c r="P293" s="1221"/>
      <c r="Q293" s="1221"/>
      <c r="R293" s="1221"/>
      <c r="S293" s="1221"/>
      <c r="T293" s="1221"/>
      <c r="U293" s="1221"/>
      <c r="V293" s="1221"/>
      <c r="W293" s="1221"/>
      <c r="X293" s="1221"/>
      <c r="Y293" s="1221"/>
      <c r="Z293" s="1221"/>
    </row>
    <row r="294" ht="15.75" customHeight="1">
      <c r="A294" s="1221"/>
      <c r="B294" s="1221"/>
      <c r="C294" s="1221"/>
      <c r="D294" s="1221"/>
      <c r="E294" s="1221"/>
      <c r="F294" s="1221"/>
      <c r="G294" s="1221"/>
      <c r="H294" s="1221"/>
      <c r="I294" s="1221"/>
      <c r="J294" s="1221"/>
      <c r="K294" s="1221"/>
      <c r="L294" s="1221"/>
      <c r="M294" s="1221"/>
      <c r="N294" s="1221"/>
      <c r="O294" s="1221"/>
      <c r="P294" s="1221"/>
      <c r="Q294" s="1221"/>
      <c r="R294" s="1221"/>
      <c r="S294" s="1221"/>
      <c r="T294" s="1221"/>
      <c r="U294" s="1221"/>
      <c r="V294" s="1221"/>
      <c r="W294" s="1221"/>
      <c r="X294" s="1221"/>
      <c r="Y294" s="1221"/>
      <c r="Z294" s="1221"/>
    </row>
    <row r="295" ht="15.75" customHeight="1">
      <c r="A295" s="1221"/>
      <c r="B295" s="1221"/>
      <c r="C295" s="1221"/>
      <c r="D295" s="1221"/>
      <c r="E295" s="1221"/>
      <c r="F295" s="1221"/>
      <c r="G295" s="1221"/>
      <c r="H295" s="1221"/>
      <c r="I295" s="1221"/>
      <c r="J295" s="1221"/>
      <c r="K295" s="1221"/>
      <c r="L295" s="1221"/>
      <c r="M295" s="1221"/>
      <c r="N295" s="1221"/>
      <c r="O295" s="1221"/>
      <c r="P295" s="1221"/>
      <c r="Q295" s="1221"/>
      <c r="R295" s="1221"/>
      <c r="S295" s="1221"/>
      <c r="T295" s="1221"/>
      <c r="U295" s="1221"/>
      <c r="V295" s="1221"/>
      <c r="W295" s="1221"/>
      <c r="X295" s="1221"/>
      <c r="Y295" s="1221"/>
      <c r="Z295" s="1221"/>
    </row>
    <row r="296" ht="15.75" customHeight="1">
      <c r="A296" s="1221"/>
      <c r="B296" s="1221"/>
      <c r="C296" s="1221"/>
      <c r="D296" s="1221"/>
      <c r="E296" s="1221"/>
      <c r="F296" s="1221"/>
      <c r="G296" s="1221"/>
      <c r="H296" s="1221"/>
      <c r="I296" s="1221"/>
      <c r="J296" s="1221"/>
      <c r="K296" s="1221"/>
      <c r="L296" s="1221"/>
      <c r="M296" s="1221"/>
      <c r="N296" s="1221"/>
      <c r="O296" s="1221"/>
      <c r="P296" s="1221"/>
      <c r="Q296" s="1221"/>
      <c r="R296" s="1221"/>
      <c r="S296" s="1221"/>
      <c r="T296" s="1221"/>
      <c r="U296" s="1221"/>
      <c r="V296" s="1221"/>
      <c r="W296" s="1221"/>
      <c r="X296" s="1221"/>
      <c r="Y296" s="1221"/>
      <c r="Z296" s="1221"/>
    </row>
    <row r="297" ht="15.75" customHeight="1">
      <c r="A297" s="1221"/>
      <c r="B297" s="1221"/>
      <c r="C297" s="1221"/>
      <c r="D297" s="1221"/>
      <c r="E297" s="1221"/>
      <c r="F297" s="1221"/>
      <c r="G297" s="1221"/>
      <c r="H297" s="1221"/>
      <c r="I297" s="1221"/>
      <c r="J297" s="1221"/>
      <c r="K297" s="1221"/>
      <c r="L297" s="1221"/>
      <c r="M297" s="1221"/>
      <c r="N297" s="1221"/>
      <c r="O297" s="1221"/>
      <c r="P297" s="1221"/>
      <c r="Q297" s="1221"/>
      <c r="R297" s="1221"/>
      <c r="S297" s="1221"/>
      <c r="T297" s="1221"/>
      <c r="U297" s="1221"/>
      <c r="V297" s="1221"/>
      <c r="W297" s="1221"/>
      <c r="X297" s="1221"/>
      <c r="Y297" s="1221"/>
      <c r="Z297" s="1221"/>
    </row>
    <row r="298" ht="15.75" customHeight="1">
      <c r="A298" s="1221"/>
      <c r="B298" s="1221"/>
      <c r="C298" s="1221"/>
      <c r="D298" s="1221"/>
      <c r="E298" s="1221"/>
      <c r="F298" s="1221"/>
      <c r="G298" s="1221"/>
      <c r="H298" s="1221"/>
      <c r="I298" s="1221"/>
      <c r="J298" s="1221"/>
      <c r="K298" s="1221"/>
      <c r="L298" s="1221"/>
      <c r="M298" s="1221"/>
      <c r="N298" s="1221"/>
      <c r="O298" s="1221"/>
      <c r="P298" s="1221"/>
      <c r="Q298" s="1221"/>
      <c r="R298" s="1221"/>
      <c r="S298" s="1221"/>
      <c r="T298" s="1221"/>
      <c r="U298" s="1221"/>
      <c r="V298" s="1221"/>
      <c r="W298" s="1221"/>
      <c r="X298" s="1221"/>
      <c r="Y298" s="1221"/>
      <c r="Z298" s="1221"/>
    </row>
    <row r="299" ht="15.75" customHeight="1">
      <c r="A299" s="1221"/>
      <c r="B299" s="1221"/>
      <c r="C299" s="1221"/>
      <c r="D299" s="1221"/>
      <c r="E299" s="1221"/>
      <c r="F299" s="1221"/>
      <c r="G299" s="1221"/>
      <c r="H299" s="1221"/>
      <c r="I299" s="1221"/>
      <c r="J299" s="1221"/>
      <c r="K299" s="1221"/>
      <c r="L299" s="1221"/>
      <c r="M299" s="1221"/>
      <c r="N299" s="1221"/>
      <c r="O299" s="1221"/>
      <c r="P299" s="1221"/>
      <c r="Q299" s="1221"/>
      <c r="R299" s="1221"/>
      <c r="S299" s="1221"/>
      <c r="T299" s="1221"/>
      <c r="U299" s="1221"/>
      <c r="V299" s="1221"/>
      <c r="W299" s="1221"/>
      <c r="X299" s="1221"/>
      <c r="Y299" s="1221"/>
      <c r="Z299" s="1221"/>
    </row>
    <row r="300" ht="15.75" customHeight="1">
      <c r="A300" s="1221"/>
      <c r="B300" s="1221"/>
      <c r="C300" s="1221"/>
      <c r="D300" s="1221"/>
      <c r="E300" s="1221"/>
      <c r="F300" s="1221"/>
      <c r="G300" s="1221"/>
      <c r="H300" s="1221"/>
      <c r="I300" s="1221"/>
      <c r="J300" s="1221"/>
      <c r="K300" s="1221"/>
      <c r="L300" s="1221"/>
      <c r="M300" s="1221"/>
      <c r="N300" s="1221"/>
      <c r="O300" s="1221"/>
      <c r="P300" s="1221"/>
      <c r="Q300" s="1221"/>
      <c r="R300" s="1221"/>
      <c r="S300" s="1221"/>
      <c r="T300" s="1221"/>
      <c r="U300" s="1221"/>
      <c r="V300" s="1221"/>
      <c r="W300" s="1221"/>
      <c r="X300" s="1221"/>
      <c r="Y300" s="1221"/>
      <c r="Z300" s="1221"/>
    </row>
    <row r="301" ht="15.75" customHeight="1">
      <c r="A301" s="1221"/>
      <c r="B301" s="1221"/>
      <c r="C301" s="1221"/>
      <c r="D301" s="1221"/>
      <c r="E301" s="1221"/>
      <c r="F301" s="1221"/>
      <c r="G301" s="1221"/>
      <c r="H301" s="1221"/>
      <c r="I301" s="1221"/>
      <c r="J301" s="1221"/>
      <c r="K301" s="1221"/>
      <c r="L301" s="1221"/>
      <c r="M301" s="1221"/>
      <c r="N301" s="1221"/>
      <c r="O301" s="1221"/>
      <c r="P301" s="1221"/>
      <c r="Q301" s="1221"/>
      <c r="R301" s="1221"/>
      <c r="S301" s="1221"/>
      <c r="T301" s="1221"/>
      <c r="U301" s="1221"/>
      <c r="V301" s="1221"/>
      <c r="W301" s="1221"/>
      <c r="X301" s="1221"/>
      <c r="Y301" s="1221"/>
      <c r="Z301" s="1221"/>
    </row>
    <row r="302" ht="15.75" customHeight="1">
      <c r="A302" s="1221"/>
      <c r="B302" s="1221"/>
      <c r="C302" s="1221"/>
      <c r="D302" s="1221"/>
      <c r="E302" s="1221"/>
      <c r="F302" s="1221"/>
      <c r="G302" s="1221"/>
      <c r="H302" s="1221"/>
      <c r="I302" s="1221"/>
      <c r="J302" s="1221"/>
      <c r="K302" s="1221"/>
      <c r="L302" s="1221"/>
      <c r="M302" s="1221"/>
      <c r="N302" s="1221"/>
      <c r="O302" s="1221"/>
      <c r="P302" s="1221"/>
      <c r="Q302" s="1221"/>
      <c r="R302" s="1221"/>
      <c r="S302" s="1221"/>
      <c r="T302" s="1221"/>
      <c r="U302" s="1221"/>
      <c r="V302" s="1221"/>
      <c r="W302" s="1221"/>
      <c r="X302" s="1221"/>
      <c r="Y302" s="1221"/>
      <c r="Z302" s="1221"/>
    </row>
    <row r="303" ht="15.75" customHeight="1">
      <c r="A303" s="1221"/>
      <c r="B303" s="1221"/>
      <c r="C303" s="1221"/>
      <c r="D303" s="1221"/>
      <c r="E303" s="1221"/>
      <c r="F303" s="1221"/>
      <c r="G303" s="1221"/>
      <c r="H303" s="1221"/>
      <c r="I303" s="1221"/>
      <c r="J303" s="1221"/>
      <c r="K303" s="1221"/>
      <c r="L303" s="1221"/>
      <c r="M303" s="1221"/>
      <c r="N303" s="1221"/>
      <c r="O303" s="1221"/>
      <c r="P303" s="1221"/>
      <c r="Q303" s="1221"/>
      <c r="R303" s="1221"/>
      <c r="S303" s="1221"/>
      <c r="T303" s="1221"/>
      <c r="U303" s="1221"/>
      <c r="V303" s="1221"/>
      <c r="W303" s="1221"/>
      <c r="X303" s="1221"/>
      <c r="Y303" s="1221"/>
      <c r="Z303" s="1221"/>
    </row>
    <row r="304" ht="15.75" customHeight="1">
      <c r="A304" s="1221"/>
      <c r="B304" s="1221"/>
      <c r="C304" s="1221"/>
      <c r="D304" s="1221"/>
      <c r="E304" s="1221"/>
      <c r="F304" s="1221"/>
      <c r="G304" s="1221"/>
      <c r="H304" s="1221"/>
      <c r="I304" s="1221"/>
      <c r="J304" s="1221"/>
      <c r="K304" s="1221"/>
      <c r="L304" s="1221"/>
      <c r="M304" s="1221"/>
      <c r="N304" s="1221"/>
      <c r="O304" s="1221"/>
      <c r="P304" s="1221"/>
      <c r="Q304" s="1221"/>
      <c r="R304" s="1221"/>
      <c r="S304" s="1221"/>
      <c r="T304" s="1221"/>
      <c r="U304" s="1221"/>
      <c r="V304" s="1221"/>
      <c r="W304" s="1221"/>
      <c r="X304" s="1221"/>
      <c r="Y304" s="1221"/>
      <c r="Z304" s="1221"/>
    </row>
    <row r="305" ht="15.75" customHeight="1">
      <c r="A305" s="1221"/>
      <c r="B305" s="1221"/>
      <c r="C305" s="1221"/>
      <c r="D305" s="1221"/>
      <c r="E305" s="1221"/>
      <c r="F305" s="1221"/>
      <c r="G305" s="1221"/>
      <c r="H305" s="1221"/>
      <c r="I305" s="1221"/>
      <c r="J305" s="1221"/>
      <c r="K305" s="1221"/>
      <c r="L305" s="1221"/>
      <c r="M305" s="1221"/>
      <c r="N305" s="1221"/>
      <c r="O305" s="1221"/>
      <c r="P305" s="1221"/>
      <c r="Q305" s="1221"/>
      <c r="R305" s="1221"/>
      <c r="S305" s="1221"/>
      <c r="T305" s="1221"/>
      <c r="U305" s="1221"/>
      <c r="V305" s="1221"/>
      <c r="W305" s="1221"/>
      <c r="X305" s="1221"/>
      <c r="Y305" s="1221"/>
      <c r="Z305" s="1221"/>
    </row>
    <row r="306" ht="15.75" customHeight="1">
      <c r="A306" s="1221"/>
      <c r="B306" s="1221"/>
      <c r="C306" s="1221"/>
      <c r="D306" s="1221"/>
      <c r="E306" s="1221"/>
      <c r="F306" s="1221"/>
      <c r="G306" s="1221"/>
      <c r="H306" s="1221"/>
      <c r="I306" s="1221"/>
      <c r="J306" s="1221"/>
      <c r="K306" s="1221"/>
      <c r="L306" s="1221"/>
      <c r="M306" s="1221"/>
      <c r="N306" s="1221"/>
      <c r="O306" s="1221"/>
      <c r="P306" s="1221"/>
      <c r="Q306" s="1221"/>
      <c r="R306" s="1221"/>
      <c r="S306" s="1221"/>
      <c r="T306" s="1221"/>
      <c r="U306" s="1221"/>
      <c r="V306" s="1221"/>
      <c r="W306" s="1221"/>
      <c r="X306" s="1221"/>
      <c r="Y306" s="1221"/>
      <c r="Z306" s="1221"/>
    </row>
    <row r="307" ht="15.75" customHeight="1">
      <c r="A307" s="1221"/>
      <c r="B307" s="1221"/>
      <c r="C307" s="1221"/>
      <c r="D307" s="1221"/>
      <c r="E307" s="1221"/>
      <c r="F307" s="1221"/>
      <c r="G307" s="1221"/>
      <c r="H307" s="1221"/>
      <c r="I307" s="1221"/>
      <c r="J307" s="1221"/>
      <c r="K307" s="1221"/>
      <c r="L307" s="1221"/>
      <c r="M307" s="1221"/>
      <c r="N307" s="1221"/>
      <c r="O307" s="1221"/>
      <c r="P307" s="1221"/>
      <c r="Q307" s="1221"/>
      <c r="R307" s="1221"/>
      <c r="S307" s="1221"/>
      <c r="T307" s="1221"/>
      <c r="U307" s="1221"/>
      <c r="V307" s="1221"/>
      <c r="W307" s="1221"/>
      <c r="X307" s="1221"/>
      <c r="Y307" s="1221"/>
      <c r="Z307" s="1221"/>
    </row>
    <row r="308" ht="15.75" customHeight="1">
      <c r="A308" s="1221"/>
      <c r="B308" s="1221"/>
      <c r="C308" s="1221"/>
      <c r="D308" s="1221"/>
      <c r="E308" s="1221"/>
      <c r="F308" s="1221"/>
      <c r="G308" s="1221"/>
      <c r="H308" s="1221"/>
      <c r="I308" s="1221"/>
      <c r="J308" s="1221"/>
      <c r="K308" s="1221"/>
      <c r="L308" s="1221"/>
      <c r="M308" s="1221"/>
      <c r="N308" s="1221"/>
      <c r="O308" s="1221"/>
      <c r="P308" s="1221"/>
      <c r="Q308" s="1221"/>
      <c r="R308" s="1221"/>
      <c r="S308" s="1221"/>
      <c r="T308" s="1221"/>
      <c r="U308" s="1221"/>
      <c r="V308" s="1221"/>
      <c r="W308" s="1221"/>
      <c r="X308" s="1221"/>
      <c r="Y308" s="1221"/>
      <c r="Z308" s="1221"/>
    </row>
    <row r="309" ht="15.75" customHeight="1">
      <c r="A309" s="1221"/>
      <c r="B309" s="1221"/>
      <c r="C309" s="1221"/>
      <c r="D309" s="1221"/>
      <c r="E309" s="1221"/>
      <c r="F309" s="1221"/>
      <c r="G309" s="1221"/>
      <c r="H309" s="1221"/>
      <c r="I309" s="1221"/>
      <c r="J309" s="1221"/>
      <c r="K309" s="1221"/>
      <c r="L309" s="1221"/>
      <c r="M309" s="1221"/>
      <c r="N309" s="1221"/>
      <c r="O309" s="1221"/>
      <c r="P309" s="1221"/>
      <c r="Q309" s="1221"/>
      <c r="R309" s="1221"/>
      <c r="S309" s="1221"/>
      <c r="T309" s="1221"/>
      <c r="U309" s="1221"/>
      <c r="V309" s="1221"/>
      <c r="W309" s="1221"/>
      <c r="X309" s="1221"/>
      <c r="Y309" s="1221"/>
      <c r="Z309" s="1221"/>
    </row>
    <row r="310" ht="15.75" customHeight="1">
      <c r="A310" s="1221"/>
      <c r="B310" s="1221"/>
      <c r="C310" s="1221"/>
      <c r="D310" s="1221"/>
      <c r="E310" s="1221"/>
      <c r="F310" s="1221"/>
      <c r="G310" s="1221"/>
      <c r="H310" s="1221"/>
      <c r="I310" s="1221"/>
      <c r="J310" s="1221"/>
      <c r="K310" s="1221"/>
      <c r="L310" s="1221"/>
      <c r="M310" s="1221"/>
      <c r="N310" s="1221"/>
      <c r="O310" s="1221"/>
      <c r="P310" s="1221"/>
      <c r="Q310" s="1221"/>
      <c r="R310" s="1221"/>
      <c r="S310" s="1221"/>
      <c r="T310" s="1221"/>
      <c r="U310" s="1221"/>
      <c r="V310" s="1221"/>
      <c r="W310" s="1221"/>
      <c r="X310" s="1221"/>
      <c r="Y310" s="1221"/>
      <c r="Z310" s="1221"/>
    </row>
    <row r="311" ht="15.75" customHeight="1">
      <c r="A311" s="1221"/>
      <c r="B311" s="1221"/>
      <c r="C311" s="1221"/>
      <c r="D311" s="1221"/>
      <c r="E311" s="1221"/>
      <c r="F311" s="1221"/>
      <c r="G311" s="1221"/>
      <c r="H311" s="1221"/>
      <c r="I311" s="1221"/>
      <c r="J311" s="1221"/>
      <c r="K311" s="1221"/>
      <c r="L311" s="1221"/>
      <c r="M311" s="1221"/>
      <c r="N311" s="1221"/>
      <c r="O311" s="1221"/>
      <c r="P311" s="1221"/>
      <c r="Q311" s="1221"/>
      <c r="R311" s="1221"/>
      <c r="S311" s="1221"/>
      <c r="T311" s="1221"/>
      <c r="U311" s="1221"/>
      <c r="V311" s="1221"/>
      <c r="W311" s="1221"/>
      <c r="X311" s="1221"/>
      <c r="Y311" s="1221"/>
      <c r="Z311" s="1221"/>
    </row>
    <row r="312" ht="15.75" customHeight="1">
      <c r="A312" s="1221"/>
      <c r="B312" s="1221"/>
      <c r="C312" s="1221"/>
      <c r="D312" s="1221"/>
      <c r="E312" s="1221"/>
      <c r="F312" s="1221"/>
      <c r="G312" s="1221"/>
      <c r="H312" s="1221"/>
      <c r="I312" s="1221"/>
      <c r="J312" s="1221"/>
      <c r="K312" s="1221"/>
      <c r="L312" s="1221"/>
      <c r="M312" s="1221"/>
      <c r="N312" s="1221"/>
      <c r="O312" s="1221"/>
      <c r="P312" s="1221"/>
      <c r="Q312" s="1221"/>
      <c r="R312" s="1221"/>
      <c r="S312" s="1221"/>
      <c r="T312" s="1221"/>
      <c r="U312" s="1221"/>
      <c r="V312" s="1221"/>
      <c r="W312" s="1221"/>
      <c r="X312" s="1221"/>
      <c r="Y312" s="1221"/>
      <c r="Z312" s="1221"/>
    </row>
    <row r="313" ht="15.75" customHeight="1">
      <c r="A313" s="1221"/>
      <c r="B313" s="1221"/>
      <c r="C313" s="1221"/>
      <c r="D313" s="1221"/>
      <c r="E313" s="1221"/>
      <c r="F313" s="1221"/>
      <c r="G313" s="1221"/>
      <c r="H313" s="1221"/>
      <c r="I313" s="1221"/>
      <c r="J313" s="1221"/>
      <c r="K313" s="1221"/>
      <c r="L313" s="1221"/>
      <c r="M313" s="1221"/>
      <c r="N313" s="1221"/>
      <c r="O313" s="1221"/>
      <c r="P313" s="1221"/>
      <c r="Q313" s="1221"/>
      <c r="R313" s="1221"/>
      <c r="S313" s="1221"/>
      <c r="T313" s="1221"/>
      <c r="U313" s="1221"/>
      <c r="V313" s="1221"/>
      <c r="W313" s="1221"/>
      <c r="X313" s="1221"/>
      <c r="Y313" s="1221"/>
      <c r="Z313" s="1221"/>
    </row>
    <row r="314" ht="15.75" customHeight="1">
      <c r="A314" s="1221"/>
      <c r="B314" s="1221"/>
      <c r="C314" s="1221"/>
      <c r="D314" s="1221"/>
      <c r="E314" s="1221"/>
      <c r="F314" s="1221"/>
      <c r="G314" s="1221"/>
      <c r="H314" s="1221"/>
      <c r="I314" s="1221"/>
      <c r="J314" s="1221"/>
      <c r="K314" s="1221"/>
      <c r="L314" s="1221"/>
      <c r="M314" s="1221"/>
      <c r="N314" s="1221"/>
      <c r="O314" s="1221"/>
      <c r="P314" s="1221"/>
      <c r="Q314" s="1221"/>
      <c r="R314" s="1221"/>
      <c r="S314" s="1221"/>
      <c r="T314" s="1221"/>
      <c r="U314" s="1221"/>
      <c r="V314" s="1221"/>
      <c r="W314" s="1221"/>
      <c r="X314" s="1221"/>
      <c r="Y314" s="1221"/>
      <c r="Z314" s="1221"/>
    </row>
    <row r="315" ht="15.75" customHeight="1">
      <c r="A315" s="1221"/>
      <c r="B315" s="1221"/>
      <c r="C315" s="1221"/>
      <c r="D315" s="1221"/>
      <c r="E315" s="1221"/>
      <c r="F315" s="1221"/>
      <c r="G315" s="1221"/>
      <c r="H315" s="1221"/>
      <c r="I315" s="1221"/>
      <c r="J315" s="1221"/>
      <c r="K315" s="1221"/>
      <c r="L315" s="1221"/>
      <c r="M315" s="1221"/>
      <c r="N315" s="1221"/>
      <c r="O315" s="1221"/>
      <c r="P315" s="1221"/>
      <c r="Q315" s="1221"/>
      <c r="R315" s="1221"/>
      <c r="S315" s="1221"/>
      <c r="T315" s="1221"/>
      <c r="U315" s="1221"/>
      <c r="V315" s="1221"/>
      <c r="W315" s="1221"/>
      <c r="X315" s="1221"/>
      <c r="Y315" s="1221"/>
      <c r="Z315" s="1221"/>
    </row>
    <row r="316" ht="15.75" customHeight="1">
      <c r="A316" s="1221"/>
      <c r="B316" s="1221"/>
      <c r="C316" s="1221"/>
      <c r="D316" s="1221"/>
      <c r="E316" s="1221"/>
      <c r="F316" s="1221"/>
      <c r="G316" s="1221"/>
      <c r="H316" s="1221"/>
      <c r="I316" s="1221"/>
      <c r="J316" s="1221"/>
      <c r="K316" s="1221"/>
      <c r="L316" s="1221"/>
      <c r="M316" s="1221"/>
      <c r="N316" s="1221"/>
      <c r="O316" s="1221"/>
      <c r="P316" s="1221"/>
      <c r="Q316" s="1221"/>
      <c r="R316" s="1221"/>
      <c r="S316" s="1221"/>
      <c r="T316" s="1221"/>
      <c r="U316" s="1221"/>
      <c r="V316" s="1221"/>
      <c r="W316" s="1221"/>
      <c r="X316" s="1221"/>
      <c r="Y316" s="1221"/>
      <c r="Z316" s="1221"/>
    </row>
    <row r="317" ht="15.75" customHeight="1">
      <c r="A317" s="1221"/>
      <c r="B317" s="1221"/>
      <c r="C317" s="1221"/>
      <c r="D317" s="1221"/>
      <c r="E317" s="1221"/>
      <c r="F317" s="1221"/>
      <c r="G317" s="1221"/>
      <c r="H317" s="1221"/>
      <c r="I317" s="1221"/>
      <c r="J317" s="1221"/>
      <c r="K317" s="1221"/>
      <c r="L317" s="1221"/>
      <c r="M317" s="1221"/>
      <c r="N317" s="1221"/>
      <c r="O317" s="1221"/>
      <c r="P317" s="1221"/>
      <c r="Q317" s="1221"/>
      <c r="R317" s="1221"/>
      <c r="S317" s="1221"/>
      <c r="T317" s="1221"/>
      <c r="U317" s="1221"/>
      <c r="V317" s="1221"/>
      <c r="W317" s="1221"/>
      <c r="X317" s="1221"/>
      <c r="Y317" s="1221"/>
      <c r="Z317" s="1221"/>
    </row>
    <row r="318" ht="15.75" customHeight="1">
      <c r="A318" s="1221"/>
      <c r="B318" s="1221"/>
      <c r="C318" s="1221"/>
      <c r="D318" s="1221"/>
      <c r="E318" s="1221"/>
      <c r="F318" s="1221"/>
      <c r="G318" s="1221"/>
      <c r="H318" s="1221"/>
      <c r="I318" s="1221"/>
      <c r="J318" s="1221"/>
      <c r="K318" s="1221"/>
      <c r="L318" s="1221"/>
      <c r="M318" s="1221"/>
      <c r="N318" s="1221"/>
      <c r="O318" s="1221"/>
      <c r="P318" s="1221"/>
      <c r="Q318" s="1221"/>
      <c r="R318" s="1221"/>
      <c r="S318" s="1221"/>
      <c r="T318" s="1221"/>
      <c r="U318" s="1221"/>
      <c r="V318" s="1221"/>
      <c r="W318" s="1221"/>
      <c r="X318" s="1221"/>
      <c r="Y318" s="1221"/>
      <c r="Z318" s="1221"/>
    </row>
    <row r="319" ht="15.75" customHeight="1">
      <c r="A319" s="1221"/>
      <c r="B319" s="1221"/>
      <c r="C319" s="1221"/>
      <c r="D319" s="1221"/>
      <c r="E319" s="1221"/>
      <c r="F319" s="1221"/>
      <c r="G319" s="1221"/>
      <c r="H319" s="1221"/>
      <c r="I319" s="1221"/>
      <c r="J319" s="1221"/>
      <c r="K319" s="1221"/>
      <c r="L319" s="1221"/>
      <c r="M319" s="1221"/>
      <c r="N319" s="1221"/>
      <c r="O319" s="1221"/>
      <c r="P319" s="1221"/>
      <c r="Q319" s="1221"/>
      <c r="R319" s="1221"/>
      <c r="S319" s="1221"/>
      <c r="T319" s="1221"/>
      <c r="U319" s="1221"/>
      <c r="V319" s="1221"/>
      <c r="W319" s="1221"/>
      <c r="X319" s="1221"/>
      <c r="Y319" s="1221"/>
      <c r="Z319" s="1221"/>
    </row>
    <row r="320" ht="15.75" customHeight="1">
      <c r="A320" s="1221"/>
      <c r="B320" s="1221"/>
      <c r="C320" s="1221"/>
      <c r="D320" s="1221"/>
      <c r="E320" s="1221"/>
      <c r="F320" s="1221"/>
      <c r="G320" s="1221"/>
      <c r="H320" s="1221"/>
      <c r="I320" s="1221"/>
      <c r="J320" s="1221"/>
      <c r="K320" s="1221"/>
      <c r="L320" s="1221"/>
      <c r="M320" s="1221"/>
      <c r="N320" s="1221"/>
      <c r="O320" s="1221"/>
      <c r="P320" s="1221"/>
      <c r="Q320" s="1221"/>
      <c r="R320" s="1221"/>
      <c r="S320" s="1221"/>
      <c r="T320" s="1221"/>
      <c r="U320" s="1221"/>
      <c r="V320" s="1221"/>
      <c r="W320" s="1221"/>
      <c r="X320" s="1221"/>
      <c r="Y320" s="1221"/>
      <c r="Z320" s="1221"/>
    </row>
    <row r="321" ht="15.75" customHeight="1">
      <c r="A321" s="1221"/>
      <c r="B321" s="1221"/>
      <c r="C321" s="1221"/>
      <c r="D321" s="1221"/>
      <c r="E321" s="1221"/>
      <c r="F321" s="1221"/>
      <c r="G321" s="1221"/>
      <c r="H321" s="1221"/>
      <c r="I321" s="1221"/>
      <c r="J321" s="1221"/>
      <c r="K321" s="1221"/>
      <c r="L321" s="1221"/>
      <c r="M321" s="1221"/>
      <c r="N321" s="1221"/>
      <c r="O321" s="1221"/>
      <c r="P321" s="1221"/>
      <c r="Q321" s="1221"/>
      <c r="R321" s="1221"/>
      <c r="S321" s="1221"/>
      <c r="T321" s="1221"/>
      <c r="U321" s="1221"/>
      <c r="V321" s="1221"/>
      <c r="W321" s="1221"/>
      <c r="X321" s="1221"/>
      <c r="Y321" s="1221"/>
      <c r="Z321" s="1221"/>
    </row>
    <row r="322" ht="15.75" customHeight="1">
      <c r="A322" s="1221"/>
      <c r="B322" s="1221"/>
      <c r="C322" s="1221"/>
      <c r="D322" s="1221"/>
      <c r="E322" s="1221"/>
      <c r="F322" s="1221"/>
      <c r="G322" s="1221"/>
      <c r="H322" s="1221"/>
      <c r="I322" s="1221"/>
      <c r="J322" s="1221"/>
      <c r="K322" s="1221"/>
      <c r="L322" s="1221"/>
      <c r="M322" s="1221"/>
      <c r="N322" s="1221"/>
      <c r="O322" s="1221"/>
      <c r="P322" s="1221"/>
      <c r="Q322" s="1221"/>
      <c r="R322" s="1221"/>
      <c r="S322" s="1221"/>
      <c r="T322" s="1221"/>
      <c r="U322" s="1221"/>
      <c r="V322" s="1221"/>
      <c r="W322" s="1221"/>
      <c r="X322" s="1221"/>
      <c r="Y322" s="1221"/>
      <c r="Z322" s="1221"/>
    </row>
    <row r="323" ht="15.75" customHeight="1">
      <c r="A323" s="1221"/>
      <c r="B323" s="1221"/>
      <c r="C323" s="1221"/>
      <c r="D323" s="1221"/>
      <c r="E323" s="1221"/>
      <c r="F323" s="1221"/>
      <c r="G323" s="1221"/>
      <c r="H323" s="1221"/>
      <c r="I323" s="1221"/>
      <c r="J323" s="1221"/>
      <c r="K323" s="1221"/>
      <c r="L323" s="1221"/>
      <c r="M323" s="1221"/>
      <c r="N323" s="1221"/>
      <c r="O323" s="1221"/>
      <c r="P323" s="1221"/>
      <c r="Q323" s="1221"/>
      <c r="R323" s="1221"/>
      <c r="S323" s="1221"/>
      <c r="T323" s="1221"/>
      <c r="U323" s="1221"/>
      <c r="V323" s="1221"/>
      <c r="W323" s="1221"/>
      <c r="X323" s="1221"/>
      <c r="Y323" s="1221"/>
      <c r="Z323" s="1221"/>
    </row>
    <row r="324" ht="15.75" customHeight="1">
      <c r="A324" s="1221"/>
      <c r="B324" s="1221"/>
      <c r="C324" s="1221"/>
      <c r="D324" s="1221"/>
      <c r="E324" s="1221"/>
      <c r="F324" s="1221"/>
      <c r="G324" s="1221"/>
      <c r="H324" s="1221"/>
      <c r="I324" s="1221"/>
      <c r="J324" s="1221"/>
      <c r="K324" s="1221"/>
      <c r="L324" s="1221"/>
      <c r="M324" s="1221"/>
      <c r="N324" s="1221"/>
      <c r="O324" s="1221"/>
      <c r="P324" s="1221"/>
      <c r="Q324" s="1221"/>
      <c r="R324" s="1221"/>
      <c r="S324" s="1221"/>
      <c r="T324" s="1221"/>
      <c r="U324" s="1221"/>
      <c r="V324" s="1221"/>
      <c r="W324" s="1221"/>
      <c r="X324" s="1221"/>
      <c r="Y324" s="1221"/>
      <c r="Z324" s="1221"/>
    </row>
    <row r="325" ht="15.75" customHeight="1">
      <c r="A325" s="1221"/>
      <c r="B325" s="1221"/>
      <c r="C325" s="1221"/>
      <c r="D325" s="1221"/>
      <c r="E325" s="1221"/>
      <c r="F325" s="1221"/>
      <c r="G325" s="1221"/>
      <c r="H325" s="1221"/>
      <c r="I325" s="1221"/>
      <c r="J325" s="1221"/>
      <c r="K325" s="1221"/>
      <c r="L325" s="1221"/>
      <c r="M325" s="1221"/>
      <c r="N325" s="1221"/>
      <c r="O325" s="1221"/>
      <c r="P325" s="1221"/>
      <c r="Q325" s="1221"/>
      <c r="R325" s="1221"/>
      <c r="S325" s="1221"/>
      <c r="T325" s="1221"/>
      <c r="U325" s="1221"/>
      <c r="V325" s="1221"/>
      <c r="W325" s="1221"/>
      <c r="X325" s="1221"/>
      <c r="Y325" s="1221"/>
      <c r="Z325" s="1221"/>
    </row>
    <row r="326" ht="15.75" customHeight="1">
      <c r="A326" s="1221"/>
      <c r="B326" s="1221"/>
      <c r="C326" s="1221"/>
      <c r="D326" s="1221"/>
      <c r="E326" s="1221"/>
      <c r="F326" s="1221"/>
      <c r="G326" s="1221"/>
      <c r="H326" s="1221"/>
      <c r="I326" s="1221"/>
      <c r="J326" s="1221"/>
      <c r="K326" s="1221"/>
      <c r="L326" s="1221"/>
      <c r="M326" s="1221"/>
      <c r="N326" s="1221"/>
      <c r="O326" s="1221"/>
      <c r="P326" s="1221"/>
      <c r="Q326" s="1221"/>
      <c r="R326" s="1221"/>
      <c r="S326" s="1221"/>
      <c r="T326" s="1221"/>
      <c r="U326" s="1221"/>
      <c r="V326" s="1221"/>
      <c r="W326" s="1221"/>
      <c r="X326" s="1221"/>
      <c r="Y326" s="1221"/>
      <c r="Z326" s="1221"/>
    </row>
    <row r="327" ht="15.75" customHeight="1">
      <c r="A327" s="1221"/>
      <c r="B327" s="1221"/>
      <c r="C327" s="1221"/>
      <c r="D327" s="1221"/>
      <c r="E327" s="1221"/>
      <c r="F327" s="1221"/>
      <c r="G327" s="1221"/>
      <c r="H327" s="1221"/>
      <c r="I327" s="1221"/>
      <c r="J327" s="1221"/>
      <c r="K327" s="1221"/>
      <c r="L327" s="1221"/>
      <c r="M327" s="1221"/>
      <c r="N327" s="1221"/>
      <c r="O327" s="1221"/>
      <c r="P327" s="1221"/>
      <c r="Q327" s="1221"/>
      <c r="R327" s="1221"/>
      <c r="S327" s="1221"/>
      <c r="T327" s="1221"/>
      <c r="U327" s="1221"/>
      <c r="V327" s="1221"/>
      <c r="W327" s="1221"/>
      <c r="X327" s="1221"/>
      <c r="Y327" s="1221"/>
      <c r="Z327" s="1221"/>
    </row>
    <row r="328" ht="15.75" customHeight="1">
      <c r="A328" s="1221"/>
      <c r="B328" s="1221"/>
      <c r="C328" s="1221"/>
      <c r="D328" s="1221"/>
      <c r="E328" s="1221"/>
      <c r="F328" s="1221"/>
      <c r="G328" s="1221"/>
      <c r="H328" s="1221"/>
      <c r="I328" s="1221"/>
      <c r="J328" s="1221"/>
      <c r="K328" s="1221"/>
      <c r="L328" s="1221"/>
      <c r="M328" s="1221"/>
      <c r="N328" s="1221"/>
      <c r="O328" s="1221"/>
      <c r="P328" s="1221"/>
      <c r="Q328" s="1221"/>
      <c r="R328" s="1221"/>
      <c r="S328" s="1221"/>
      <c r="T328" s="1221"/>
      <c r="U328" s="1221"/>
      <c r="V328" s="1221"/>
      <c r="W328" s="1221"/>
      <c r="X328" s="1221"/>
      <c r="Y328" s="1221"/>
      <c r="Z328" s="1221"/>
    </row>
    <row r="329" ht="15.75" customHeight="1">
      <c r="A329" s="1221"/>
      <c r="B329" s="1221"/>
      <c r="C329" s="1221"/>
      <c r="D329" s="1221"/>
      <c r="E329" s="1221"/>
      <c r="F329" s="1221"/>
      <c r="G329" s="1221"/>
      <c r="H329" s="1221"/>
      <c r="I329" s="1221"/>
      <c r="J329" s="1221"/>
      <c r="K329" s="1221"/>
      <c r="L329" s="1221"/>
      <c r="M329" s="1221"/>
      <c r="N329" s="1221"/>
      <c r="O329" s="1221"/>
      <c r="P329" s="1221"/>
      <c r="Q329" s="1221"/>
      <c r="R329" s="1221"/>
      <c r="S329" s="1221"/>
      <c r="T329" s="1221"/>
      <c r="U329" s="1221"/>
      <c r="V329" s="1221"/>
      <c r="W329" s="1221"/>
      <c r="X329" s="1221"/>
      <c r="Y329" s="1221"/>
      <c r="Z329" s="1221"/>
    </row>
    <row r="330" ht="15.75" customHeight="1">
      <c r="A330" s="1221"/>
      <c r="B330" s="1221"/>
      <c r="C330" s="1221"/>
      <c r="D330" s="1221"/>
      <c r="E330" s="1221"/>
      <c r="F330" s="1221"/>
      <c r="G330" s="1221"/>
      <c r="H330" s="1221"/>
      <c r="I330" s="1221"/>
      <c r="J330" s="1221"/>
      <c r="K330" s="1221"/>
      <c r="L330" s="1221"/>
      <c r="M330" s="1221"/>
      <c r="N330" s="1221"/>
      <c r="O330" s="1221"/>
      <c r="P330" s="1221"/>
      <c r="Q330" s="1221"/>
      <c r="R330" s="1221"/>
      <c r="S330" s="1221"/>
      <c r="T330" s="1221"/>
      <c r="U330" s="1221"/>
      <c r="V330" s="1221"/>
      <c r="W330" s="1221"/>
      <c r="X330" s="1221"/>
      <c r="Y330" s="1221"/>
      <c r="Z330" s="1221"/>
    </row>
    <row r="331" ht="15.75" customHeight="1">
      <c r="A331" s="1221"/>
      <c r="B331" s="1221"/>
      <c r="C331" s="1221"/>
      <c r="D331" s="1221"/>
      <c r="E331" s="1221"/>
      <c r="F331" s="1221"/>
      <c r="G331" s="1221"/>
      <c r="H331" s="1221"/>
      <c r="I331" s="1221"/>
      <c r="J331" s="1221"/>
      <c r="K331" s="1221"/>
      <c r="L331" s="1221"/>
      <c r="M331" s="1221"/>
      <c r="N331" s="1221"/>
      <c r="O331" s="1221"/>
      <c r="P331" s="1221"/>
      <c r="Q331" s="1221"/>
      <c r="R331" s="1221"/>
      <c r="S331" s="1221"/>
      <c r="T331" s="1221"/>
      <c r="U331" s="1221"/>
      <c r="V331" s="1221"/>
      <c r="W331" s="1221"/>
      <c r="X331" s="1221"/>
      <c r="Y331" s="1221"/>
      <c r="Z331" s="1221"/>
    </row>
    <row r="332" ht="15.75" customHeight="1">
      <c r="A332" s="1221"/>
      <c r="B332" s="1221"/>
      <c r="C332" s="1221"/>
      <c r="D332" s="1221"/>
      <c r="E332" s="1221"/>
      <c r="F332" s="1221"/>
      <c r="G332" s="1221"/>
      <c r="H332" s="1221"/>
      <c r="I332" s="1221"/>
      <c r="J332" s="1221"/>
      <c r="K332" s="1221"/>
      <c r="L332" s="1221"/>
      <c r="M332" s="1221"/>
      <c r="N332" s="1221"/>
      <c r="O332" s="1221"/>
      <c r="P332" s="1221"/>
      <c r="Q332" s="1221"/>
      <c r="R332" s="1221"/>
      <c r="S332" s="1221"/>
      <c r="T332" s="1221"/>
      <c r="U332" s="1221"/>
      <c r="V332" s="1221"/>
      <c r="W332" s="1221"/>
      <c r="X332" s="1221"/>
      <c r="Y332" s="1221"/>
      <c r="Z332" s="1221"/>
    </row>
    <row r="333" ht="15.75" customHeight="1">
      <c r="A333" s="1221"/>
      <c r="B333" s="1221"/>
      <c r="C333" s="1221"/>
      <c r="D333" s="1221"/>
      <c r="E333" s="1221"/>
      <c r="F333" s="1221"/>
      <c r="G333" s="1221"/>
      <c r="H333" s="1221"/>
      <c r="I333" s="1221"/>
      <c r="J333" s="1221"/>
      <c r="K333" s="1221"/>
      <c r="L333" s="1221"/>
      <c r="M333" s="1221"/>
      <c r="N333" s="1221"/>
      <c r="O333" s="1221"/>
      <c r="P333" s="1221"/>
      <c r="Q333" s="1221"/>
      <c r="R333" s="1221"/>
      <c r="S333" s="1221"/>
      <c r="T333" s="1221"/>
      <c r="U333" s="1221"/>
      <c r="V333" s="1221"/>
      <c r="W333" s="1221"/>
      <c r="X333" s="1221"/>
      <c r="Y333" s="1221"/>
      <c r="Z333" s="1221"/>
    </row>
    <row r="334" ht="15.75" customHeight="1">
      <c r="A334" s="1221"/>
      <c r="B334" s="1221"/>
      <c r="C334" s="1221"/>
      <c r="D334" s="1221"/>
      <c r="E334" s="1221"/>
      <c r="F334" s="1221"/>
      <c r="G334" s="1221"/>
      <c r="H334" s="1221"/>
      <c r="I334" s="1221"/>
      <c r="J334" s="1221"/>
      <c r="K334" s="1221"/>
      <c r="L334" s="1221"/>
      <c r="M334" s="1221"/>
      <c r="N334" s="1221"/>
      <c r="O334" s="1221"/>
      <c r="P334" s="1221"/>
      <c r="Q334" s="1221"/>
      <c r="R334" s="1221"/>
      <c r="S334" s="1221"/>
      <c r="T334" s="1221"/>
      <c r="U334" s="1221"/>
      <c r="V334" s="1221"/>
      <c r="W334" s="1221"/>
      <c r="X334" s="1221"/>
      <c r="Y334" s="1221"/>
      <c r="Z334" s="1221"/>
    </row>
    <row r="335" ht="15.75" customHeight="1">
      <c r="A335" s="1221"/>
      <c r="B335" s="1221"/>
      <c r="C335" s="1221"/>
      <c r="D335" s="1221"/>
      <c r="E335" s="1221"/>
      <c r="F335" s="1221"/>
      <c r="G335" s="1221"/>
      <c r="H335" s="1221"/>
      <c r="I335" s="1221"/>
      <c r="J335" s="1221"/>
      <c r="K335" s="1221"/>
      <c r="L335" s="1221"/>
      <c r="M335" s="1221"/>
      <c r="N335" s="1221"/>
      <c r="O335" s="1221"/>
      <c r="P335" s="1221"/>
      <c r="Q335" s="1221"/>
      <c r="R335" s="1221"/>
      <c r="S335" s="1221"/>
      <c r="T335" s="1221"/>
      <c r="U335" s="1221"/>
      <c r="V335" s="1221"/>
      <c r="W335" s="1221"/>
      <c r="X335" s="1221"/>
      <c r="Y335" s="1221"/>
      <c r="Z335" s="1221"/>
    </row>
    <row r="336" ht="15.75" customHeight="1">
      <c r="A336" s="1221"/>
      <c r="B336" s="1221"/>
      <c r="C336" s="1221"/>
      <c r="D336" s="1221"/>
      <c r="E336" s="1221"/>
      <c r="F336" s="1221"/>
      <c r="G336" s="1221"/>
      <c r="H336" s="1221"/>
      <c r="I336" s="1221"/>
      <c r="J336" s="1221"/>
      <c r="K336" s="1221"/>
      <c r="L336" s="1221"/>
      <c r="M336" s="1221"/>
      <c r="N336" s="1221"/>
      <c r="O336" s="1221"/>
      <c r="P336" s="1221"/>
      <c r="Q336" s="1221"/>
      <c r="R336" s="1221"/>
      <c r="S336" s="1221"/>
      <c r="T336" s="1221"/>
      <c r="U336" s="1221"/>
      <c r="V336" s="1221"/>
      <c r="W336" s="1221"/>
      <c r="X336" s="1221"/>
      <c r="Y336" s="1221"/>
      <c r="Z336" s="1221"/>
    </row>
    <row r="337" ht="15.75" customHeight="1">
      <c r="A337" s="1221"/>
      <c r="B337" s="1221"/>
      <c r="C337" s="1221"/>
      <c r="D337" s="1221"/>
      <c r="E337" s="1221"/>
      <c r="F337" s="1221"/>
      <c r="G337" s="1221"/>
      <c r="H337" s="1221"/>
      <c r="I337" s="1221"/>
      <c r="J337" s="1221"/>
      <c r="K337" s="1221"/>
      <c r="L337" s="1221"/>
      <c r="M337" s="1221"/>
      <c r="N337" s="1221"/>
      <c r="O337" s="1221"/>
      <c r="P337" s="1221"/>
      <c r="Q337" s="1221"/>
      <c r="R337" s="1221"/>
      <c r="S337" s="1221"/>
      <c r="T337" s="1221"/>
      <c r="U337" s="1221"/>
      <c r="V337" s="1221"/>
      <c r="W337" s="1221"/>
      <c r="X337" s="1221"/>
      <c r="Y337" s="1221"/>
      <c r="Z337" s="1221"/>
    </row>
    <row r="338" ht="15.75" customHeight="1">
      <c r="A338" s="1221"/>
      <c r="B338" s="1221"/>
      <c r="C338" s="1221"/>
      <c r="D338" s="1221"/>
      <c r="E338" s="1221"/>
      <c r="F338" s="1221"/>
      <c r="G338" s="1221"/>
      <c r="H338" s="1221"/>
      <c r="I338" s="1221"/>
      <c r="J338" s="1221"/>
      <c r="K338" s="1221"/>
      <c r="L338" s="1221"/>
      <c r="M338" s="1221"/>
      <c r="N338" s="1221"/>
      <c r="O338" s="1221"/>
      <c r="P338" s="1221"/>
      <c r="Q338" s="1221"/>
      <c r="R338" s="1221"/>
      <c r="S338" s="1221"/>
      <c r="T338" s="1221"/>
      <c r="U338" s="1221"/>
      <c r="V338" s="1221"/>
      <c r="W338" s="1221"/>
      <c r="X338" s="1221"/>
      <c r="Y338" s="1221"/>
      <c r="Z338" s="1221"/>
    </row>
    <row r="339" ht="15.75" customHeight="1">
      <c r="A339" s="1221"/>
      <c r="B339" s="1221"/>
      <c r="C339" s="1221"/>
      <c r="D339" s="1221"/>
      <c r="E339" s="1221"/>
      <c r="F339" s="1221"/>
      <c r="G339" s="1221"/>
      <c r="H339" s="1221"/>
      <c r="I339" s="1221"/>
      <c r="J339" s="1221"/>
      <c r="K339" s="1221"/>
      <c r="L339" s="1221"/>
      <c r="M339" s="1221"/>
      <c r="N339" s="1221"/>
      <c r="O339" s="1221"/>
      <c r="P339" s="1221"/>
      <c r="Q339" s="1221"/>
      <c r="R339" s="1221"/>
      <c r="S339" s="1221"/>
      <c r="T339" s="1221"/>
      <c r="U339" s="1221"/>
      <c r="V339" s="1221"/>
      <c r="W339" s="1221"/>
      <c r="X339" s="1221"/>
      <c r="Y339" s="1221"/>
      <c r="Z339" s="1221"/>
    </row>
    <row r="340" ht="15.75" customHeight="1">
      <c r="A340" s="1221"/>
      <c r="B340" s="1221"/>
      <c r="C340" s="1221"/>
      <c r="D340" s="1221"/>
      <c r="E340" s="1221"/>
      <c r="F340" s="1221"/>
      <c r="G340" s="1221"/>
      <c r="H340" s="1221"/>
      <c r="I340" s="1221"/>
      <c r="J340" s="1221"/>
      <c r="K340" s="1221"/>
      <c r="L340" s="1221"/>
      <c r="M340" s="1221"/>
      <c r="N340" s="1221"/>
      <c r="O340" s="1221"/>
      <c r="P340" s="1221"/>
      <c r="Q340" s="1221"/>
      <c r="R340" s="1221"/>
      <c r="S340" s="1221"/>
      <c r="T340" s="1221"/>
      <c r="U340" s="1221"/>
      <c r="V340" s="1221"/>
      <c r="W340" s="1221"/>
      <c r="X340" s="1221"/>
      <c r="Y340" s="1221"/>
      <c r="Z340" s="1221"/>
    </row>
    <row r="341" ht="15.75" customHeight="1">
      <c r="A341" s="1221"/>
      <c r="B341" s="1221"/>
      <c r="C341" s="1221"/>
      <c r="D341" s="1221"/>
      <c r="E341" s="1221"/>
      <c r="F341" s="1221"/>
      <c r="G341" s="1221"/>
      <c r="H341" s="1221"/>
      <c r="I341" s="1221"/>
      <c r="J341" s="1221"/>
      <c r="K341" s="1221"/>
      <c r="L341" s="1221"/>
      <c r="M341" s="1221"/>
      <c r="N341" s="1221"/>
      <c r="O341" s="1221"/>
      <c r="P341" s="1221"/>
      <c r="Q341" s="1221"/>
      <c r="R341" s="1221"/>
      <c r="S341" s="1221"/>
      <c r="T341" s="1221"/>
      <c r="U341" s="1221"/>
      <c r="V341" s="1221"/>
      <c r="W341" s="1221"/>
      <c r="X341" s="1221"/>
      <c r="Y341" s="1221"/>
      <c r="Z341" s="1221"/>
    </row>
    <row r="342" ht="15.75" customHeight="1">
      <c r="A342" s="1221"/>
      <c r="B342" s="1221"/>
      <c r="C342" s="1221"/>
      <c r="D342" s="1221"/>
      <c r="E342" s="1221"/>
      <c r="F342" s="1221"/>
      <c r="G342" s="1221"/>
      <c r="H342" s="1221"/>
      <c r="I342" s="1221"/>
      <c r="J342" s="1221"/>
      <c r="K342" s="1221"/>
      <c r="L342" s="1221"/>
      <c r="M342" s="1221"/>
      <c r="N342" s="1221"/>
      <c r="O342" s="1221"/>
      <c r="P342" s="1221"/>
      <c r="Q342" s="1221"/>
      <c r="R342" s="1221"/>
      <c r="S342" s="1221"/>
      <c r="T342" s="1221"/>
      <c r="U342" s="1221"/>
      <c r="V342" s="1221"/>
      <c r="W342" s="1221"/>
      <c r="X342" s="1221"/>
      <c r="Y342" s="1221"/>
      <c r="Z342" s="1221"/>
    </row>
    <row r="343" ht="15.75" customHeight="1">
      <c r="A343" s="1221"/>
      <c r="B343" s="1221"/>
      <c r="C343" s="1221"/>
      <c r="D343" s="1221"/>
      <c r="E343" s="1221"/>
      <c r="F343" s="1221"/>
      <c r="G343" s="1221"/>
      <c r="H343" s="1221"/>
      <c r="I343" s="1221"/>
      <c r="J343" s="1221"/>
      <c r="K343" s="1221"/>
      <c r="L343" s="1221"/>
      <c r="M343" s="1221"/>
      <c r="N343" s="1221"/>
      <c r="O343" s="1221"/>
      <c r="P343" s="1221"/>
      <c r="Q343" s="1221"/>
      <c r="R343" s="1221"/>
      <c r="S343" s="1221"/>
      <c r="T343" s="1221"/>
      <c r="U343" s="1221"/>
      <c r="V343" s="1221"/>
      <c r="W343" s="1221"/>
      <c r="X343" s="1221"/>
      <c r="Y343" s="1221"/>
      <c r="Z343" s="1221"/>
    </row>
    <row r="344" ht="15.75" customHeight="1">
      <c r="A344" s="1221"/>
      <c r="B344" s="1221"/>
      <c r="C344" s="1221"/>
      <c r="D344" s="1221"/>
      <c r="E344" s="1221"/>
      <c r="F344" s="1221"/>
      <c r="G344" s="1221"/>
      <c r="H344" s="1221"/>
      <c r="I344" s="1221"/>
      <c r="J344" s="1221"/>
      <c r="K344" s="1221"/>
      <c r="L344" s="1221"/>
      <c r="M344" s="1221"/>
      <c r="N344" s="1221"/>
      <c r="O344" s="1221"/>
      <c r="P344" s="1221"/>
      <c r="Q344" s="1221"/>
      <c r="R344" s="1221"/>
      <c r="S344" s="1221"/>
      <c r="T344" s="1221"/>
      <c r="U344" s="1221"/>
      <c r="V344" s="1221"/>
      <c r="W344" s="1221"/>
      <c r="X344" s="1221"/>
      <c r="Y344" s="1221"/>
      <c r="Z344" s="1221"/>
    </row>
    <row r="345" ht="15.75" customHeight="1">
      <c r="A345" s="1221"/>
      <c r="B345" s="1221"/>
      <c r="C345" s="1221"/>
      <c r="D345" s="1221"/>
      <c r="E345" s="1221"/>
      <c r="F345" s="1221"/>
      <c r="G345" s="1221"/>
      <c r="H345" s="1221"/>
      <c r="I345" s="1221"/>
      <c r="J345" s="1221"/>
      <c r="K345" s="1221"/>
      <c r="L345" s="1221"/>
      <c r="M345" s="1221"/>
      <c r="N345" s="1221"/>
      <c r="O345" s="1221"/>
      <c r="P345" s="1221"/>
      <c r="Q345" s="1221"/>
      <c r="R345" s="1221"/>
      <c r="S345" s="1221"/>
      <c r="T345" s="1221"/>
      <c r="U345" s="1221"/>
      <c r="V345" s="1221"/>
      <c r="W345" s="1221"/>
      <c r="X345" s="1221"/>
      <c r="Y345" s="1221"/>
      <c r="Z345" s="1221"/>
    </row>
    <row r="346" ht="15.75" customHeight="1">
      <c r="A346" s="1221"/>
      <c r="B346" s="1221"/>
      <c r="C346" s="1221"/>
      <c r="D346" s="1221"/>
      <c r="E346" s="1221"/>
      <c r="F346" s="1221"/>
      <c r="G346" s="1221"/>
      <c r="H346" s="1221"/>
      <c r="I346" s="1221"/>
      <c r="J346" s="1221"/>
      <c r="K346" s="1221"/>
      <c r="L346" s="1221"/>
      <c r="M346" s="1221"/>
      <c r="N346" s="1221"/>
      <c r="O346" s="1221"/>
      <c r="P346" s="1221"/>
      <c r="Q346" s="1221"/>
      <c r="R346" s="1221"/>
      <c r="S346" s="1221"/>
      <c r="T346" s="1221"/>
      <c r="U346" s="1221"/>
      <c r="V346" s="1221"/>
      <c r="W346" s="1221"/>
      <c r="X346" s="1221"/>
      <c r="Y346" s="1221"/>
      <c r="Z346" s="1221"/>
    </row>
    <row r="347" ht="15.75" customHeight="1">
      <c r="A347" s="1221"/>
      <c r="B347" s="1221"/>
      <c r="C347" s="1221"/>
      <c r="D347" s="1221"/>
      <c r="E347" s="1221"/>
      <c r="F347" s="1221"/>
      <c r="G347" s="1221"/>
      <c r="H347" s="1221"/>
      <c r="I347" s="1221"/>
      <c r="J347" s="1221"/>
      <c r="K347" s="1221"/>
      <c r="L347" s="1221"/>
      <c r="M347" s="1221"/>
      <c r="N347" s="1221"/>
      <c r="O347" s="1221"/>
      <c r="P347" s="1221"/>
      <c r="Q347" s="1221"/>
      <c r="R347" s="1221"/>
      <c r="S347" s="1221"/>
      <c r="T347" s="1221"/>
      <c r="U347" s="1221"/>
      <c r="V347" s="1221"/>
      <c r="W347" s="1221"/>
      <c r="X347" s="1221"/>
      <c r="Y347" s="1221"/>
      <c r="Z347" s="1221"/>
    </row>
    <row r="348" ht="15.75" customHeight="1">
      <c r="A348" s="1221"/>
      <c r="B348" s="1221"/>
      <c r="C348" s="1221"/>
      <c r="D348" s="1221"/>
      <c r="E348" s="1221"/>
      <c r="F348" s="1221"/>
      <c r="G348" s="1221"/>
      <c r="H348" s="1221"/>
      <c r="I348" s="1221"/>
      <c r="J348" s="1221"/>
      <c r="K348" s="1221"/>
      <c r="L348" s="1221"/>
      <c r="M348" s="1221"/>
      <c r="N348" s="1221"/>
      <c r="O348" s="1221"/>
      <c r="P348" s="1221"/>
      <c r="Q348" s="1221"/>
      <c r="R348" s="1221"/>
      <c r="S348" s="1221"/>
      <c r="T348" s="1221"/>
      <c r="U348" s="1221"/>
      <c r="V348" s="1221"/>
      <c r="W348" s="1221"/>
      <c r="X348" s="1221"/>
      <c r="Y348" s="1221"/>
      <c r="Z348" s="1221"/>
    </row>
    <row r="349" ht="15.75" customHeight="1">
      <c r="A349" s="1221"/>
      <c r="B349" s="1221"/>
      <c r="C349" s="1221"/>
      <c r="D349" s="1221"/>
      <c r="E349" s="1221"/>
      <c r="F349" s="1221"/>
      <c r="G349" s="1221"/>
      <c r="H349" s="1221"/>
      <c r="I349" s="1221"/>
      <c r="J349" s="1221"/>
      <c r="K349" s="1221"/>
      <c r="L349" s="1221"/>
      <c r="M349" s="1221"/>
      <c r="N349" s="1221"/>
      <c r="O349" s="1221"/>
      <c r="P349" s="1221"/>
      <c r="Q349" s="1221"/>
      <c r="R349" s="1221"/>
      <c r="S349" s="1221"/>
      <c r="T349" s="1221"/>
      <c r="U349" s="1221"/>
      <c r="V349" s="1221"/>
      <c r="W349" s="1221"/>
      <c r="X349" s="1221"/>
      <c r="Y349" s="1221"/>
      <c r="Z349" s="1221"/>
    </row>
    <row r="350" ht="15.75" customHeight="1">
      <c r="A350" s="1221"/>
      <c r="B350" s="1221"/>
      <c r="C350" s="1221"/>
      <c r="D350" s="1221"/>
      <c r="E350" s="1221"/>
      <c r="F350" s="1221"/>
      <c r="G350" s="1221"/>
      <c r="H350" s="1221"/>
      <c r="I350" s="1221"/>
      <c r="J350" s="1221"/>
      <c r="K350" s="1221"/>
      <c r="L350" s="1221"/>
      <c r="M350" s="1221"/>
      <c r="N350" s="1221"/>
      <c r="O350" s="1221"/>
      <c r="P350" s="1221"/>
      <c r="Q350" s="1221"/>
      <c r="R350" s="1221"/>
      <c r="S350" s="1221"/>
      <c r="T350" s="1221"/>
      <c r="U350" s="1221"/>
      <c r="V350" s="1221"/>
      <c r="W350" s="1221"/>
      <c r="X350" s="1221"/>
      <c r="Y350" s="1221"/>
      <c r="Z350" s="1221"/>
    </row>
    <row r="351" ht="15.75" customHeight="1">
      <c r="A351" s="1221"/>
      <c r="B351" s="1221"/>
      <c r="C351" s="1221"/>
      <c r="D351" s="1221"/>
      <c r="E351" s="1221"/>
      <c r="F351" s="1221"/>
      <c r="G351" s="1221"/>
      <c r="H351" s="1221"/>
      <c r="I351" s="1221"/>
      <c r="J351" s="1221"/>
      <c r="K351" s="1221"/>
      <c r="L351" s="1221"/>
      <c r="M351" s="1221"/>
      <c r="N351" s="1221"/>
      <c r="O351" s="1221"/>
      <c r="P351" s="1221"/>
      <c r="Q351" s="1221"/>
      <c r="R351" s="1221"/>
      <c r="S351" s="1221"/>
      <c r="T351" s="1221"/>
      <c r="U351" s="1221"/>
      <c r="V351" s="1221"/>
      <c r="W351" s="1221"/>
      <c r="X351" s="1221"/>
      <c r="Y351" s="1221"/>
      <c r="Z351" s="1221"/>
    </row>
    <row r="352" ht="15.75" customHeight="1">
      <c r="A352" s="1221"/>
      <c r="B352" s="1221"/>
      <c r="C352" s="1221"/>
      <c r="D352" s="1221"/>
      <c r="E352" s="1221"/>
      <c r="F352" s="1221"/>
      <c r="G352" s="1221"/>
      <c r="H352" s="1221"/>
      <c r="I352" s="1221"/>
      <c r="J352" s="1221"/>
      <c r="K352" s="1221"/>
      <c r="L352" s="1221"/>
      <c r="M352" s="1221"/>
      <c r="N352" s="1221"/>
      <c r="O352" s="1221"/>
      <c r="P352" s="1221"/>
      <c r="Q352" s="1221"/>
      <c r="R352" s="1221"/>
      <c r="S352" s="1221"/>
      <c r="T352" s="1221"/>
      <c r="U352" s="1221"/>
      <c r="V352" s="1221"/>
      <c r="W352" s="1221"/>
      <c r="X352" s="1221"/>
      <c r="Y352" s="1221"/>
      <c r="Z352" s="1221"/>
    </row>
    <row r="353" ht="15.75" customHeight="1">
      <c r="A353" s="1221"/>
      <c r="B353" s="1221"/>
      <c r="C353" s="1221"/>
      <c r="D353" s="1221"/>
      <c r="E353" s="1221"/>
      <c r="F353" s="1221"/>
      <c r="G353" s="1221"/>
      <c r="H353" s="1221"/>
      <c r="I353" s="1221"/>
      <c r="J353" s="1221"/>
      <c r="K353" s="1221"/>
      <c r="L353" s="1221"/>
      <c r="M353" s="1221"/>
      <c r="N353" s="1221"/>
      <c r="O353" s="1221"/>
      <c r="P353" s="1221"/>
      <c r="Q353" s="1221"/>
      <c r="R353" s="1221"/>
      <c r="S353" s="1221"/>
      <c r="T353" s="1221"/>
      <c r="U353" s="1221"/>
      <c r="V353" s="1221"/>
      <c r="W353" s="1221"/>
      <c r="X353" s="1221"/>
      <c r="Y353" s="1221"/>
      <c r="Z353" s="1221"/>
    </row>
    <row r="354" ht="15.75" customHeight="1">
      <c r="A354" s="1221"/>
      <c r="B354" s="1221"/>
      <c r="C354" s="1221"/>
      <c r="D354" s="1221"/>
      <c r="E354" s="1221"/>
      <c r="F354" s="1221"/>
      <c r="G354" s="1221"/>
      <c r="H354" s="1221"/>
      <c r="I354" s="1221"/>
      <c r="J354" s="1221"/>
      <c r="K354" s="1221"/>
      <c r="L354" s="1221"/>
      <c r="M354" s="1221"/>
      <c r="N354" s="1221"/>
      <c r="O354" s="1221"/>
      <c r="P354" s="1221"/>
      <c r="Q354" s="1221"/>
      <c r="R354" s="1221"/>
      <c r="S354" s="1221"/>
      <c r="T354" s="1221"/>
      <c r="U354" s="1221"/>
      <c r="V354" s="1221"/>
      <c r="W354" s="1221"/>
      <c r="X354" s="1221"/>
      <c r="Y354" s="1221"/>
      <c r="Z354" s="1221"/>
    </row>
    <row r="355" ht="15.75" customHeight="1">
      <c r="A355" s="1221"/>
      <c r="B355" s="1221"/>
      <c r="C355" s="1221"/>
      <c r="D355" s="1221"/>
      <c r="E355" s="1221"/>
      <c r="F355" s="1221"/>
      <c r="G355" s="1221"/>
      <c r="H355" s="1221"/>
      <c r="I355" s="1221"/>
      <c r="J355" s="1221"/>
      <c r="K355" s="1221"/>
      <c r="L355" s="1221"/>
      <c r="M355" s="1221"/>
      <c r="N355" s="1221"/>
      <c r="O355" s="1221"/>
      <c r="P355" s="1221"/>
      <c r="Q355" s="1221"/>
      <c r="R355" s="1221"/>
      <c r="S355" s="1221"/>
      <c r="T355" s="1221"/>
      <c r="U355" s="1221"/>
      <c r="V355" s="1221"/>
      <c r="W355" s="1221"/>
      <c r="X355" s="1221"/>
      <c r="Y355" s="1221"/>
      <c r="Z355" s="1221"/>
    </row>
    <row r="356" ht="15.75" customHeight="1">
      <c r="A356" s="1221"/>
      <c r="B356" s="1221"/>
      <c r="C356" s="1221"/>
      <c r="D356" s="1221"/>
      <c r="E356" s="1221"/>
      <c r="F356" s="1221"/>
      <c r="G356" s="1221"/>
      <c r="H356" s="1221"/>
      <c r="I356" s="1221"/>
      <c r="J356" s="1221"/>
      <c r="K356" s="1221"/>
      <c r="L356" s="1221"/>
      <c r="M356" s="1221"/>
      <c r="N356" s="1221"/>
      <c r="O356" s="1221"/>
      <c r="P356" s="1221"/>
      <c r="Q356" s="1221"/>
      <c r="R356" s="1221"/>
      <c r="S356" s="1221"/>
      <c r="T356" s="1221"/>
      <c r="U356" s="1221"/>
      <c r="V356" s="1221"/>
      <c r="W356" s="1221"/>
      <c r="X356" s="1221"/>
      <c r="Y356" s="1221"/>
      <c r="Z356" s="1221"/>
    </row>
    <row r="357" ht="15.75" customHeight="1">
      <c r="A357" s="1221"/>
      <c r="B357" s="1221"/>
      <c r="C357" s="1221"/>
      <c r="D357" s="1221"/>
      <c r="E357" s="1221"/>
      <c r="F357" s="1221"/>
      <c r="G357" s="1221"/>
      <c r="H357" s="1221"/>
      <c r="I357" s="1221"/>
      <c r="J357" s="1221"/>
      <c r="K357" s="1221"/>
      <c r="L357" s="1221"/>
      <c r="M357" s="1221"/>
      <c r="N357" s="1221"/>
      <c r="O357" s="1221"/>
      <c r="P357" s="1221"/>
      <c r="Q357" s="1221"/>
      <c r="R357" s="1221"/>
      <c r="S357" s="1221"/>
      <c r="T357" s="1221"/>
      <c r="U357" s="1221"/>
      <c r="V357" s="1221"/>
      <c r="W357" s="1221"/>
      <c r="X357" s="1221"/>
      <c r="Y357" s="1221"/>
      <c r="Z357" s="1221"/>
    </row>
    <row r="358" ht="15.75" customHeight="1">
      <c r="A358" s="1221"/>
      <c r="B358" s="1221"/>
      <c r="C358" s="1221"/>
      <c r="D358" s="1221"/>
      <c r="E358" s="1221"/>
      <c r="F358" s="1221"/>
      <c r="G358" s="1221"/>
      <c r="H358" s="1221"/>
      <c r="I358" s="1221"/>
      <c r="J358" s="1221"/>
      <c r="K358" s="1221"/>
      <c r="L358" s="1221"/>
      <c r="M358" s="1221"/>
      <c r="N358" s="1221"/>
      <c r="O358" s="1221"/>
      <c r="P358" s="1221"/>
      <c r="Q358" s="1221"/>
      <c r="R358" s="1221"/>
      <c r="S358" s="1221"/>
      <c r="T358" s="1221"/>
      <c r="U358" s="1221"/>
      <c r="V358" s="1221"/>
      <c r="W358" s="1221"/>
      <c r="X358" s="1221"/>
      <c r="Y358" s="1221"/>
      <c r="Z358" s="1221"/>
    </row>
    <row r="359" ht="15.75" customHeight="1">
      <c r="A359" s="1221"/>
      <c r="B359" s="1221"/>
      <c r="C359" s="1221"/>
      <c r="D359" s="1221"/>
      <c r="E359" s="1221"/>
      <c r="F359" s="1221"/>
      <c r="G359" s="1221"/>
      <c r="H359" s="1221"/>
      <c r="I359" s="1221"/>
      <c r="J359" s="1221"/>
      <c r="K359" s="1221"/>
      <c r="L359" s="1221"/>
      <c r="M359" s="1221"/>
      <c r="N359" s="1221"/>
      <c r="O359" s="1221"/>
      <c r="P359" s="1221"/>
      <c r="Q359" s="1221"/>
      <c r="R359" s="1221"/>
      <c r="S359" s="1221"/>
      <c r="T359" s="1221"/>
      <c r="U359" s="1221"/>
      <c r="V359" s="1221"/>
      <c r="W359" s="1221"/>
      <c r="X359" s="1221"/>
      <c r="Y359" s="1221"/>
      <c r="Z359" s="1221"/>
    </row>
    <row r="360" ht="15.75" customHeight="1">
      <c r="A360" s="1221"/>
      <c r="B360" s="1221"/>
      <c r="C360" s="1221"/>
      <c r="D360" s="1221"/>
      <c r="E360" s="1221"/>
      <c r="F360" s="1221"/>
      <c r="G360" s="1221"/>
      <c r="H360" s="1221"/>
      <c r="I360" s="1221"/>
      <c r="J360" s="1221"/>
      <c r="K360" s="1221"/>
      <c r="L360" s="1221"/>
      <c r="M360" s="1221"/>
      <c r="N360" s="1221"/>
      <c r="O360" s="1221"/>
      <c r="P360" s="1221"/>
      <c r="Q360" s="1221"/>
      <c r="R360" s="1221"/>
      <c r="S360" s="1221"/>
      <c r="T360" s="1221"/>
      <c r="U360" s="1221"/>
      <c r="V360" s="1221"/>
      <c r="W360" s="1221"/>
      <c r="X360" s="1221"/>
      <c r="Y360" s="1221"/>
      <c r="Z360" s="1221"/>
    </row>
    <row r="361" ht="15.75" customHeight="1">
      <c r="A361" s="1221"/>
      <c r="B361" s="1221"/>
      <c r="C361" s="1221"/>
      <c r="D361" s="1221"/>
      <c r="E361" s="1221"/>
      <c r="F361" s="1221"/>
      <c r="G361" s="1221"/>
      <c r="H361" s="1221"/>
      <c r="I361" s="1221"/>
      <c r="J361" s="1221"/>
      <c r="K361" s="1221"/>
      <c r="L361" s="1221"/>
      <c r="M361" s="1221"/>
      <c r="N361" s="1221"/>
      <c r="O361" s="1221"/>
      <c r="P361" s="1221"/>
      <c r="Q361" s="1221"/>
      <c r="R361" s="1221"/>
      <c r="S361" s="1221"/>
      <c r="T361" s="1221"/>
      <c r="U361" s="1221"/>
      <c r="V361" s="1221"/>
      <c r="W361" s="1221"/>
      <c r="X361" s="1221"/>
      <c r="Y361" s="1221"/>
      <c r="Z361" s="1221"/>
    </row>
    <row r="362" ht="15.75" customHeight="1">
      <c r="A362" s="1221"/>
      <c r="B362" s="1221"/>
      <c r="C362" s="1221"/>
      <c r="D362" s="1221"/>
      <c r="E362" s="1221"/>
      <c r="F362" s="1221"/>
      <c r="G362" s="1221"/>
      <c r="H362" s="1221"/>
      <c r="I362" s="1221"/>
      <c r="J362" s="1221"/>
      <c r="K362" s="1221"/>
      <c r="L362" s="1221"/>
      <c r="M362" s="1221"/>
      <c r="N362" s="1221"/>
      <c r="O362" s="1221"/>
      <c r="P362" s="1221"/>
      <c r="Q362" s="1221"/>
      <c r="R362" s="1221"/>
      <c r="S362" s="1221"/>
      <c r="T362" s="1221"/>
      <c r="U362" s="1221"/>
      <c r="V362" s="1221"/>
      <c r="W362" s="1221"/>
      <c r="X362" s="1221"/>
      <c r="Y362" s="1221"/>
      <c r="Z362" s="1221"/>
    </row>
    <row r="363" ht="15.75" customHeight="1">
      <c r="A363" s="1221"/>
      <c r="B363" s="1221"/>
      <c r="C363" s="1221"/>
      <c r="D363" s="1221"/>
      <c r="E363" s="1221"/>
      <c r="F363" s="1221"/>
      <c r="G363" s="1221"/>
      <c r="H363" s="1221"/>
      <c r="I363" s="1221"/>
      <c r="J363" s="1221"/>
      <c r="K363" s="1221"/>
      <c r="L363" s="1221"/>
      <c r="M363" s="1221"/>
      <c r="N363" s="1221"/>
      <c r="O363" s="1221"/>
      <c r="P363" s="1221"/>
      <c r="Q363" s="1221"/>
      <c r="R363" s="1221"/>
      <c r="S363" s="1221"/>
      <c r="T363" s="1221"/>
      <c r="U363" s="1221"/>
      <c r="V363" s="1221"/>
      <c r="W363" s="1221"/>
      <c r="X363" s="1221"/>
      <c r="Y363" s="1221"/>
      <c r="Z363" s="1221"/>
    </row>
    <row r="364" ht="15.75" customHeight="1">
      <c r="A364" s="1221"/>
      <c r="B364" s="1221"/>
      <c r="C364" s="1221"/>
      <c r="D364" s="1221"/>
      <c r="E364" s="1221"/>
      <c r="F364" s="1221"/>
      <c r="G364" s="1221"/>
      <c r="H364" s="1221"/>
      <c r="I364" s="1221"/>
      <c r="J364" s="1221"/>
      <c r="K364" s="1221"/>
      <c r="L364" s="1221"/>
      <c r="M364" s="1221"/>
      <c r="N364" s="1221"/>
      <c r="O364" s="1221"/>
      <c r="P364" s="1221"/>
      <c r="Q364" s="1221"/>
      <c r="R364" s="1221"/>
      <c r="S364" s="1221"/>
      <c r="T364" s="1221"/>
      <c r="U364" s="1221"/>
      <c r="V364" s="1221"/>
      <c r="W364" s="1221"/>
      <c r="X364" s="1221"/>
      <c r="Y364" s="1221"/>
      <c r="Z364" s="1221"/>
    </row>
    <row r="365" ht="15.75" customHeight="1">
      <c r="A365" s="1221"/>
      <c r="B365" s="1221"/>
      <c r="C365" s="1221"/>
      <c r="D365" s="1221"/>
      <c r="E365" s="1221"/>
      <c r="F365" s="1221"/>
      <c r="G365" s="1221"/>
      <c r="H365" s="1221"/>
      <c r="I365" s="1221"/>
      <c r="J365" s="1221"/>
      <c r="K365" s="1221"/>
      <c r="L365" s="1221"/>
      <c r="M365" s="1221"/>
      <c r="N365" s="1221"/>
      <c r="O365" s="1221"/>
      <c r="P365" s="1221"/>
      <c r="Q365" s="1221"/>
      <c r="R365" s="1221"/>
      <c r="S365" s="1221"/>
      <c r="T365" s="1221"/>
      <c r="U365" s="1221"/>
      <c r="V365" s="1221"/>
      <c r="W365" s="1221"/>
      <c r="X365" s="1221"/>
      <c r="Y365" s="1221"/>
      <c r="Z365" s="1221"/>
    </row>
    <row r="366" ht="15.75" customHeight="1">
      <c r="A366" s="1221"/>
      <c r="B366" s="1221"/>
      <c r="C366" s="1221"/>
      <c r="D366" s="1221"/>
      <c r="E366" s="1221"/>
      <c r="F366" s="1221"/>
      <c r="G366" s="1221"/>
      <c r="H366" s="1221"/>
      <c r="I366" s="1221"/>
      <c r="J366" s="1221"/>
      <c r="K366" s="1221"/>
      <c r="L366" s="1221"/>
      <c r="M366" s="1221"/>
      <c r="N366" s="1221"/>
      <c r="O366" s="1221"/>
      <c r="P366" s="1221"/>
      <c r="Q366" s="1221"/>
      <c r="R366" s="1221"/>
      <c r="S366" s="1221"/>
      <c r="T366" s="1221"/>
      <c r="U366" s="1221"/>
      <c r="V366" s="1221"/>
      <c r="W366" s="1221"/>
      <c r="X366" s="1221"/>
      <c r="Y366" s="1221"/>
      <c r="Z366" s="1221"/>
    </row>
    <row r="367" ht="15.75" customHeight="1">
      <c r="A367" s="1221"/>
      <c r="B367" s="1221"/>
      <c r="C367" s="1221"/>
      <c r="D367" s="1221"/>
      <c r="E367" s="1221"/>
      <c r="F367" s="1221"/>
      <c r="G367" s="1221"/>
      <c r="H367" s="1221"/>
      <c r="I367" s="1221"/>
      <c r="J367" s="1221"/>
      <c r="K367" s="1221"/>
      <c r="L367" s="1221"/>
      <c r="M367" s="1221"/>
      <c r="N367" s="1221"/>
      <c r="O367" s="1221"/>
      <c r="P367" s="1221"/>
      <c r="Q367" s="1221"/>
      <c r="R367" s="1221"/>
      <c r="S367" s="1221"/>
      <c r="T367" s="1221"/>
      <c r="U367" s="1221"/>
      <c r="V367" s="1221"/>
      <c r="W367" s="1221"/>
      <c r="X367" s="1221"/>
      <c r="Y367" s="1221"/>
      <c r="Z367" s="1221"/>
    </row>
    <row r="368" ht="15.75" customHeight="1">
      <c r="A368" s="1221"/>
      <c r="B368" s="1221"/>
      <c r="C368" s="1221"/>
      <c r="D368" s="1221"/>
      <c r="E368" s="1221"/>
      <c r="F368" s="1221"/>
      <c r="G368" s="1221"/>
      <c r="H368" s="1221"/>
      <c r="I368" s="1221"/>
      <c r="J368" s="1221"/>
      <c r="K368" s="1221"/>
      <c r="L368" s="1221"/>
      <c r="M368" s="1221"/>
      <c r="N368" s="1221"/>
      <c r="O368" s="1221"/>
      <c r="P368" s="1221"/>
      <c r="Q368" s="1221"/>
      <c r="R368" s="1221"/>
      <c r="S368" s="1221"/>
      <c r="T368" s="1221"/>
      <c r="U368" s="1221"/>
      <c r="V368" s="1221"/>
      <c r="W368" s="1221"/>
      <c r="X368" s="1221"/>
      <c r="Y368" s="1221"/>
      <c r="Z368" s="1221"/>
    </row>
    <row r="369" ht="15.75" customHeight="1">
      <c r="A369" s="1221"/>
      <c r="B369" s="1221"/>
      <c r="C369" s="1221"/>
      <c r="D369" s="1221"/>
      <c r="E369" s="1221"/>
      <c r="F369" s="1221"/>
      <c r="G369" s="1221"/>
      <c r="H369" s="1221"/>
      <c r="I369" s="1221"/>
      <c r="J369" s="1221"/>
      <c r="K369" s="1221"/>
      <c r="L369" s="1221"/>
      <c r="M369" s="1221"/>
      <c r="N369" s="1221"/>
      <c r="O369" s="1221"/>
      <c r="P369" s="1221"/>
      <c r="Q369" s="1221"/>
      <c r="R369" s="1221"/>
      <c r="S369" s="1221"/>
      <c r="T369" s="1221"/>
      <c r="U369" s="1221"/>
      <c r="V369" s="1221"/>
      <c r="W369" s="1221"/>
      <c r="X369" s="1221"/>
      <c r="Y369" s="1221"/>
      <c r="Z369" s="1221"/>
    </row>
    <row r="370" ht="15.75" customHeight="1">
      <c r="A370" s="1221"/>
      <c r="B370" s="1221"/>
      <c r="C370" s="1221"/>
      <c r="D370" s="1221"/>
      <c r="E370" s="1221"/>
      <c r="F370" s="1221"/>
      <c r="G370" s="1221"/>
      <c r="H370" s="1221"/>
      <c r="I370" s="1221"/>
      <c r="J370" s="1221"/>
      <c r="K370" s="1221"/>
      <c r="L370" s="1221"/>
      <c r="M370" s="1221"/>
      <c r="N370" s="1221"/>
      <c r="O370" s="1221"/>
      <c r="P370" s="1221"/>
      <c r="Q370" s="1221"/>
      <c r="R370" s="1221"/>
      <c r="S370" s="1221"/>
      <c r="T370" s="1221"/>
      <c r="U370" s="1221"/>
      <c r="V370" s="1221"/>
      <c r="W370" s="1221"/>
      <c r="X370" s="1221"/>
      <c r="Y370" s="1221"/>
      <c r="Z370" s="1221"/>
    </row>
    <row r="371" ht="15.75" customHeight="1">
      <c r="A371" s="1221"/>
      <c r="B371" s="1221"/>
      <c r="C371" s="1221"/>
      <c r="D371" s="1221"/>
      <c r="E371" s="1221"/>
      <c r="F371" s="1221"/>
      <c r="G371" s="1221"/>
      <c r="H371" s="1221"/>
      <c r="I371" s="1221"/>
      <c r="J371" s="1221"/>
      <c r="K371" s="1221"/>
      <c r="L371" s="1221"/>
      <c r="M371" s="1221"/>
      <c r="N371" s="1221"/>
      <c r="O371" s="1221"/>
      <c r="P371" s="1221"/>
      <c r="Q371" s="1221"/>
      <c r="R371" s="1221"/>
      <c r="S371" s="1221"/>
      <c r="T371" s="1221"/>
      <c r="U371" s="1221"/>
      <c r="V371" s="1221"/>
      <c r="W371" s="1221"/>
      <c r="X371" s="1221"/>
      <c r="Y371" s="1221"/>
      <c r="Z371" s="1221"/>
    </row>
    <row r="372" ht="15.75" customHeight="1">
      <c r="A372" s="1221"/>
      <c r="B372" s="1221"/>
      <c r="C372" s="1221"/>
      <c r="D372" s="1221"/>
      <c r="E372" s="1221"/>
      <c r="F372" s="1221"/>
      <c r="G372" s="1221"/>
      <c r="H372" s="1221"/>
      <c r="I372" s="1221"/>
      <c r="J372" s="1221"/>
      <c r="K372" s="1221"/>
      <c r="L372" s="1221"/>
      <c r="M372" s="1221"/>
      <c r="N372" s="1221"/>
      <c r="O372" s="1221"/>
      <c r="P372" s="1221"/>
      <c r="Q372" s="1221"/>
      <c r="R372" s="1221"/>
      <c r="S372" s="1221"/>
      <c r="T372" s="1221"/>
      <c r="U372" s="1221"/>
      <c r="V372" s="1221"/>
      <c r="W372" s="1221"/>
      <c r="X372" s="1221"/>
      <c r="Y372" s="1221"/>
      <c r="Z372" s="1221"/>
    </row>
    <row r="373" ht="15.75" customHeight="1">
      <c r="A373" s="1221"/>
      <c r="B373" s="1221"/>
      <c r="C373" s="1221"/>
      <c r="D373" s="1221"/>
      <c r="E373" s="1221"/>
      <c r="F373" s="1221"/>
      <c r="G373" s="1221"/>
      <c r="H373" s="1221"/>
      <c r="I373" s="1221"/>
      <c r="J373" s="1221"/>
      <c r="K373" s="1221"/>
      <c r="L373" s="1221"/>
      <c r="M373" s="1221"/>
      <c r="N373" s="1221"/>
      <c r="O373" s="1221"/>
      <c r="P373" s="1221"/>
      <c r="Q373" s="1221"/>
      <c r="R373" s="1221"/>
      <c r="S373" s="1221"/>
      <c r="T373" s="1221"/>
      <c r="U373" s="1221"/>
      <c r="V373" s="1221"/>
      <c r="W373" s="1221"/>
      <c r="X373" s="1221"/>
      <c r="Y373" s="1221"/>
      <c r="Z373" s="1221"/>
    </row>
    <row r="374" ht="15.75" customHeight="1">
      <c r="A374" s="1221"/>
      <c r="B374" s="1221"/>
      <c r="C374" s="1221"/>
      <c r="D374" s="1221"/>
      <c r="E374" s="1221"/>
      <c r="F374" s="1221"/>
      <c r="G374" s="1221"/>
      <c r="H374" s="1221"/>
      <c r="I374" s="1221"/>
      <c r="J374" s="1221"/>
      <c r="K374" s="1221"/>
      <c r="L374" s="1221"/>
      <c r="M374" s="1221"/>
      <c r="N374" s="1221"/>
      <c r="O374" s="1221"/>
      <c r="P374" s="1221"/>
      <c r="Q374" s="1221"/>
      <c r="R374" s="1221"/>
      <c r="S374" s="1221"/>
      <c r="T374" s="1221"/>
      <c r="U374" s="1221"/>
      <c r="V374" s="1221"/>
      <c r="W374" s="1221"/>
      <c r="X374" s="1221"/>
      <c r="Y374" s="1221"/>
      <c r="Z374" s="1221"/>
    </row>
    <row r="375" ht="15.75" customHeight="1">
      <c r="A375" s="1221"/>
      <c r="B375" s="1221"/>
      <c r="C375" s="1221"/>
      <c r="D375" s="1221"/>
      <c r="E375" s="1221"/>
      <c r="F375" s="1221"/>
      <c r="G375" s="1221"/>
      <c r="H375" s="1221"/>
      <c r="I375" s="1221"/>
      <c r="J375" s="1221"/>
      <c r="K375" s="1221"/>
      <c r="L375" s="1221"/>
      <c r="M375" s="1221"/>
      <c r="N375" s="1221"/>
      <c r="O375" s="1221"/>
      <c r="P375" s="1221"/>
      <c r="Q375" s="1221"/>
      <c r="R375" s="1221"/>
      <c r="S375" s="1221"/>
      <c r="T375" s="1221"/>
      <c r="U375" s="1221"/>
      <c r="V375" s="1221"/>
      <c r="W375" s="1221"/>
      <c r="X375" s="1221"/>
      <c r="Y375" s="1221"/>
      <c r="Z375" s="1221"/>
    </row>
    <row r="376" ht="15.75" customHeight="1">
      <c r="A376" s="1221"/>
      <c r="B376" s="1221"/>
      <c r="C376" s="1221"/>
      <c r="D376" s="1221"/>
      <c r="E376" s="1221"/>
      <c r="F376" s="1221"/>
      <c r="G376" s="1221"/>
      <c r="H376" s="1221"/>
      <c r="I376" s="1221"/>
      <c r="J376" s="1221"/>
      <c r="K376" s="1221"/>
      <c r="L376" s="1221"/>
      <c r="M376" s="1221"/>
      <c r="N376" s="1221"/>
      <c r="O376" s="1221"/>
      <c r="P376" s="1221"/>
      <c r="Q376" s="1221"/>
      <c r="R376" s="1221"/>
      <c r="S376" s="1221"/>
      <c r="T376" s="1221"/>
      <c r="U376" s="1221"/>
      <c r="V376" s="1221"/>
      <c r="W376" s="1221"/>
      <c r="X376" s="1221"/>
      <c r="Y376" s="1221"/>
      <c r="Z376" s="1221"/>
    </row>
    <row r="377" ht="15.75" customHeight="1">
      <c r="A377" s="1221"/>
      <c r="B377" s="1221"/>
      <c r="C377" s="1221"/>
      <c r="D377" s="1221"/>
      <c r="E377" s="1221"/>
      <c r="F377" s="1221"/>
      <c r="G377" s="1221"/>
      <c r="H377" s="1221"/>
      <c r="I377" s="1221"/>
      <c r="J377" s="1221"/>
      <c r="K377" s="1221"/>
      <c r="L377" s="1221"/>
      <c r="M377" s="1221"/>
      <c r="N377" s="1221"/>
      <c r="O377" s="1221"/>
      <c r="P377" s="1221"/>
      <c r="Q377" s="1221"/>
      <c r="R377" s="1221"/>
      <c r="S377" s="1221"/>
      <c r="T377" s="1221"/>
      <c r="U377" s="1221"/>
      <c r="V377" s="1221"/>
      <c r="W377" s="1221"/>
      <c r="X377" s="1221"/>
      <c r="Y377" s="1221"/>
      <c r="Z377" s="1221"/>
    </row>
    <row r="378" ht="15.75" customHeight="1">
      <c r="A378" s="1221"/>
      <c r="B378" s="1221"/>
      <c r="C378" s="1221"/>
      <c r="D378" s="1221"/>
      <c r="E378" s="1221"/>
      <c r="F378" s="1221"/>
      <c r="G378" s="1221"/>
      <c r="H378" s="1221"/>
      <c r="I378" s="1221"/>
      <c r="J378" s="1221"/>
      <c r="K378" s="1221"/>
      <c r="L378" s="1221"/>
      <c r="M378" s="1221"/>
      <c r="N378" s="1221"/>
      <c r="O378" s="1221"/>
      <c r="P378" s="1221"/>
      <c r="Q378" s="1221"/>
      <c r="R378" s="1221"/>
      <c r="S378" s="1221"/>
      <c r="T378" s="1221"/>
      <c r="U378" s="1221"/>
      <c r="V378" s="1221"/>
      <c r="W378" s="1221"/>
      <c r="X378" s="1221"/>
      <c r="Y378" s="1221"/>
      <c r="Z378" s="1221"/>
    </row>
    <row r="379" ht="15.75" customHeight="1">
      <c r="A379" s="1221"/>
      <c r="B379" s="1221"/>
      <c r="C379" s="1221"/>
      <c r="D379" s="1221"/>
      <c r="E379" s="1221"/>
      <c r="F379" s="1221"/>
      <c r="G379" s="1221"/>
      <c r="H379" s="1221"/>
      <c r="I379" s="1221"/>
      <c r="J379" s="1221"/>
      <c r="K379" s="1221"/>
      <c r="L379" s="1221"/>
      <c r="M379" s="1221"/>
      <c r="N379" s="1221"/>
      <c r="O379" s="1221"/>
      <c r="P379" s="1221"/>
      <c r="Q379" s="1221"/>
      <c r="R379" s="1221"/>
      <c r="S379" s="1221"/>
      <c r="T379" s="1221"/>
      <c r="U379" s="1221"/>
      <c r="V379" s="1221"/>
      <c r="W379" s="1221"/>
      <c r="X379" s="1221"/>
      <c r="Y379" s="1221"/>
      <c r="Z379" s="1221"/>
    </row>
    <row r="380" ht="15.75" customHeight="1">
      <c r="A380" s="1221"/>
      <c r="B380" s="1221"/>
      <c r="C380" s="1221"/>
      <c r="D380" s="1221"/>
      <c r="E380" s="1221"/>
      <c r="F380" s="1221"/>
      <c r="G380" s="1221"/>
      <c r="H380" s="1221"/>
      <c r="I380" s="1221"/>
      <c r="J380" s="1221"/>
      <c r="K380" s="1221"/>
      <c r="L380" s="1221"/>
      <c r="M380" s="1221"/>
      <c r="N380" s="1221"/>
      <c r="O380" s="1221"/>
      <c r="P380" s="1221"/>
      <c r="Q380" s="1221"/>
      <c r="R380" s="1221"/>
      <c r="S380" s="1221"/>
      <c r="T380" s="1221"/>
      <c r="U380" s="1221"/>
      <c r="V380" s="1221"/>
      <c r="W380" s="1221"/>
      <c r="X380" s="1221"/>
      <c r="Y380" s="1221"/>
      <c r="Z380" s="1221"/>
    </row>
    <row r="381" ht="15.75" customHeight="1">
      <c r="A381" s="1221"/>
      <c r="B381" s="1221"/>
      <c r="C381" s="1221"/>
      <c r="D381" s="1221"/>
      <c r="E381" s="1221"/>
      <c r="F381" s="1221"/>
      <c r="G381" s="1221"/>
      <c r="H381" s="1221"/>
      <c r="I381" s="1221"/>
      <c r="J381" s="1221"/>
      <c r="K381" s="1221"/>
      <c r="L381" s="1221"/>
      <c r="M381" s="1221"/>
      <c r="N381" s="1221"/>
      <c r="O381" s="1221"/>
      <c r="P381" s="1221"/>
      <c r="Q381" s="1221"/>
      <c r="R381" s="1221"/>
      <c r="S381" s="1221"/>
      <c r="T381" s="1221"/>
      <c r="U381" s="1221"/>
      <c r="V381" s="1221"/>
      <c r="W381" s="1221"/>
      <c r="X381" s="1221"/>
      <c r="Y381" s="1221"/>
      <c r="Z381" s="1221"/>
    </row>
    <row r="382" ht="15.75" customHeight="1">
      <c r="A382" s="1221"/>
      <c r="B382" s="1221"/>
      <c r="C382" s="1221"/>
      <c r="D382" s="1221"/>
      <c r="E382" s="1221"/>
      <c r="F382" s="1221"/>
      <c r="G382" s="1221"/>
      <c r="H382" s="1221"/>
      <c r="I382" s="1221"/>
      <c r="J382" s="1221"/>
      <c r="K382" s="1221"/>
      <c r="L382" s="1221"/>
      <c r="M382" s="1221"/>
      <c r="N382" s="1221"/>
      <c r="O382" s="1221"/>
      <c r="P382" s="1221"/>
      <c r="Q382" s="1221"/>
      <c r="R382" s="1221"/>
      <c r="S382" s="1221"/>
      <c r="T382" s="1221"/>
      <c r="U382" s="1221"/>
      <c r="V382" s="1221"/>
      <c r="W382" s="1221"/>
      <c r="X382" s="1221"/>
      <c r="Y382" s="1221"/>
      <c r="Z382" s="1221"/>
    </row>
    <row r="383" ht="15.75" customHeight="1">
      <c r="A383" s="1221"/>
      <c r="B383" s="1221"/>
      <c r="C383" s="1221"/>
      <c r="D383" s="1221"/>
      <c r="E383" s="1221"/>
      <c r="F383" s="1221"/>
      <c r="G383" s="1221"/>
      <c r="H383" s="1221"/>
      <c r="I383" s="1221"/>
      <c r="J383" s="1221"/>
      <c r="K383" s="1221"/>
      <c r="L383" s="1221"/>
      <c r="M383" s="1221"/>
      <c r="N383" s="1221"/>
      <c r="O383" s="1221"/>
      <c r="P383" s="1221"/>
      <c r="Q383" s="1221"/>
      <c r="R383" s="1221"/>
      <c r="S383" s="1221"/>
      <c r="T383" s="1221"/>
      <c r="U383" s="1221"/>
      <c r="V383" s="1221"/>
      <c r="W383" s="1221"/>
      <c r="X383" s="1221"/>
      <c r="Y383" s="1221"/>
      <c r="Z383" s="1221"/>
    </row>
    <row r="384" ht="15.75" customHeight="1">
      <c r="A384" s="1221"/>
      <c r="B384" s="1221"/>
      <c r="C384" s="1221"/>
      <c r="D384" s="1221"/>
      <c r="E384" s="1221"/>
      <c r="F384" s="1221"/>
      <c r="G384" s="1221"/>
      <c r="H384" s="1221"/>
      <c r="I384" s="1221"/>
      <c r="J384" s="1221"/>
      <c r="K384" s="1221"/>
      <c r="L384" s="1221"/>
      <c r="M384" s="1221"/>
      <c r="N384" s="1221"/>
      <c r="O384" s="1221"/>
      <c r="P384" s="1221"/>
      <c r="Q384" s="1221"/>
      <c r="R384" s="1221"/>
      <c r="S384" s="1221"/>
      <c r="T384" s="1221"/>
      <c r="U384" s="1221"/>
      <c r="V384" s="1221"/>
      <c r="W384" s="1221"/>
      <c r="X384" s="1221"/>
      <c r="Y384" s="1221"/>
      <c r="Z384" s="1221"/>
    </row>
    <row r="385" ht="15.75" customHeight="1">
      <c r="A385" s="1221"/>
      <c r="B385" s="1221"/>
      <c r="C385" s="1221"/>
      <c r="D385" s="1221"/>
      <c r="E385" s="1221"/>
      <c r="F385" s="1221"/>
      <c r="G385" s="1221"/>
      <c r="H385" s="1221"/>
      <c r="I385" s="1221"/>
      <c r="J385" s="1221"/>
      <c r="K385" s="1221"/>
      <c r="L385" s="1221"/>
      <c r="M385" s="1221"/>
      <c r="N385" s="1221"/>
      <c r="O385" s="1221"/>
      <c r="P385" s="1221"/>
      <c r="Q385" s="1221"/>
      <c r="R385" s="1221"/>
      <c r="S385" s="1221"/>
      <c r="T385" s="1221"/>
      <c r="U385" s="1221"/>
      <c r="V385" s="1221"/>
      <c r="W385" s="1221"/>
      <c r="X385" s="1221"/>
      <c r="Y385" s="1221"/>
      <c r="Z385" s="1221"/>
    </row>
    <row r="386" ht="15.75" customHeight="1">
      <c r="A386" s="1221"/>
      <c r="B386" s="1221"/>
      <c r="C386" s="1221"/>
      <c r="D386" s="1221"/>
      <c r="E386" s="1221"/>
      <c r="F386" s="1221"/>
      <c r="G386" s="1221"/>
      <c r="H386" s="1221"/>
      <c r="I386" s="1221"/>
      <c r="J386" s="1221"/>
      <c r="K386" s="1221"/>
      <c r="L386" s="1221"/>
      <c r="M386" s="1221"/>
      <c r="N386" s="1221"/>
      <c r="O386" s="1221"/>
      <c r="P386" s="1221"/>
      <c r="Q386" s="1221"/>
      <c r="R386" s="1221"/>
      <c r="S386" s="1221"/>
      <c r="T386" s="1221"/>
      <c r="U386" s="1221"/>
      <c r="V386" s="1221"/>
      <c r="W386" s="1221"/>
      <c r="X386" s="1221"/>
      <c r="Y386" s="1221"/>
      <c r="Z386" s="1221"/>
    </row>
    <row r="387" ht="15.75" customHeight="1">
      <c r="A387" s="1221"/>
      <c r="B387" s="1221"/>
      <c r="C387" s="1221"/>
      <c r="D387" s="1221"/>
      <c r="E387" s="1221"/>
      <c r="F387" s="1221"/>
      <c r="G387" s="1221"/>
      <c r="H387" s="1221"/>
      <c r="I387" s="1221"/>
      <c r="J387" s="1221"/>
      <c r="K387" s="1221"/>
      <c r="L387" s="1221"/>
      <c r="M387" s="1221"/>
      <c r="N387" s="1221"/>
      <c r="O387" s="1221"/>
      <c r="P387" s="1221"/>
      <c r="Q387" s="1221"/>
      <c r="R387" s="1221"/>
      <c r="S387" s="1221"/>
      <c r="T387" s="1221"/>
      <c r="U387" s="1221"/>
      <c r="V387" s="1221"/>
      <c r="W387" s="1221"/>
      <c r="X387" s="1221"/>
      <c r="Y387" s="1221"/>
      <c r="Z387" s="1221"/>
    </row>
    <row r="388" ht="15.75" customHeight="1">
      <c r="A388" s="1221"/>
      <c r="B388" s="1221"/>
      <c r="C388" s="1221"/>
      <c r="D388" s="1221"/>
      <c r="E388" s="1221"/>
      <c r="F388" s="1221"/>
      <c r="G388" s="1221"/>
      <c r="H388" s="1221"/>
      <c r="I388" s="1221"/>
      <c r="J388" s="1221"/>
      <c r="K388" s="1221"/>
      <c r="L388" s="1221"/>
      <c r="M388" s="1221"/>
      <c r="N388" s="1221"/>
      <c r="O388" s="1221"/>
      <c r="P388" s="1221"/>
      <c r="Q388" s="1221"/>
      <c r="R388" s="1221"/>
      <c r="S388" s="1221"/>
      <c r="T388" s="1221"/>
      <c r="U388" s="1221"/>
      <c r="V388" s="1221"/>
      <c r="W388" s="1221"/>
      <c r="X388" s="1221"/>
      <c r="Y388" s="1221"/>
      <c r="Z388" s="1221"/>
    </row>
    <row r="389" ht="15.75" customHeight="1">
      <c r="A389" s="1221"/>
      <c r="B389" s="1221"/>
      <c r="C389" s="1221"/>
      <c r="D389" s="1221"/>
      <c r="E389" s="1221"/>
      <c r="F389" s="1221"/>
      <c r="G389" s="1221"/>
      <c r="H389" s="1221"/>
      <c r="I389" s="1221"/>
      <c r="J389" s="1221"/>
      <c r="K389" s="1221"/>
      <c r="L389" s="1221"/>
      <c r="M389" s="1221"/>
      <c r="N389" s="1221"/>
      <c r="O389" s="1221"/>
      <c r="P389" s="1221"/>
      <c r="Q389" s="1221"/>
      <c r="R389" s="1221"/>
      <c r="S389" s="1221"/>
      <c r="T389" s="1221"/>
      <c r="U389" s="1221"/>
      <c r="V389" s="1221"/>
      <c r="W389" s="1221"/>
      <c r="X389" s="1221"/>
      <c r="Y389" s="1221"/>
      <c r="Z389" s="1221"/>
    </row>
    <row r="390" ht="15.75" customHeight="1">
      <c r="A390" s="1221"/>
      <c r="B390" s="1221"/>
      <c r="C390" s="1221"/>
      <c r="D390" s="1221"/>
      <c r="E390" s="1221"/>
      <c r="F390" s="1221"/>
      <c r="G390" s="1221"/>
      <c r="H390" s="1221"/>
      <c r="I390" s="1221"/>
      <c r="J390" s="1221"/>
      <c r="K390" s="1221"/>
      <c r="L390" s="1221"/>
      <c r="M390" s="1221"/>
      <c r="N390" s="1221"/>
      <c r="O390" s="1221"/>
      <c r="P390" s="1221"/>
      <c r="Q390" s="1221"/>
      <c r="R390" s="1221"/>
      <c r="S390" s="1221"/>
      <c r="T390" s="1221"/>
      <c r="U390" s="1221"/>
      <c r="V390" s="1221"/>
      <c r="W390" s="1221"/>
      <c r="X390" s="1221"/>
      <c r="Y390" s="1221"/>
      <c r="Z390" s="1221"/>
    </row>
    <row r="391" ht="15.75" customHeight="1">
      <c r="A391" s="1221"/>
      <c r="B391" s="1221"/>
      <c r="C391" s="1221"/>
      <c r="D391" s="1221"/>
      <c r="E391" s="1221"/>
      <c r="F391" s="1221"/>
      <c r="G391" s="1221"/>
      <c r="H391" s="1221"/>
      <c r="I391" s="1221"/>
      <c r="J391" s="1221"/>
      <c r="K391" s="1221"/>
      <c r="L391" s="1221"/>
      <c r="M391" s="1221"/>
      <c r="N391" s="1221"/>
      <c r="O391" s="1221"/>
      <c r="P391" s="1221"/>
      <c r="Q391" s="1221"/>
      <c r="R391" s="1221"/>
      <c r="S391" s="1221"/>
      <c r="T391" s="1221"/>
      <c r="U391" s="1221"/>
      <c r="V391" s="1221"/>
      <c r="W391" s="1221"/>
      <c r="X391" s="1221"/>
      <c r="Y391" s="1221"/>
      <c r="Z391" s="1221"/>
    </row>
    <row r="392" ht="15.75" customHeight="1">
      <c r="A392" s="1221"/>
      <c r="B392" s="1221"/>
      <c r="C392" s="1221"/>
      <c r="D392" s="1221"/>
      <c r="E392" s="1221"/>
      <c r="F392" s="1221"/>
      <c r="G392" s="1221"/>
      <c r="H392" s="1221"/>
      <c r="I392" s="1221"/>
      <c r="J392" s="1221"/>
      <c r="K392" s="1221"/>
      <c r="L392" s="1221"/>
      <c r="M392" s="1221"/>
      <c r="N392" s="1221"/>
      <c r="O392" s="1221"/>
      <c r="P392" s="1221"/>
      <c r="Q392" s="1221"/>
      <c r="R392" s="1221"/>
      <c r="S392" s="1221"/>
      <c r="T392" s="1221"/>
      <c r="U392" s="1221"/>
      <c r="V392" s="1221"/>
      <c r="W392" s="1221"/>
      <c r="X392" s="1221"/>
      <c r="Y392" s="1221"/>
      <c r="Z392" s="1221"/>
    </row>
    <row r="393" ht="15.75" customHeight="1">
      <c r="A393" s="1221"/>
      <c r="B393" s="1221"/>
      <c r="C393" s="1221"/>
      <c r="D393" s="1221"/>
      <c r="E393" s="1221"/>
      <c r="F393" s="1221"/>
      <c r="G393" s="1221"/>
      <c r="H393" s="1221"/>
      <c r="I393" s="1221"/>
      <c r="J393" s="1221"/>
      <c r="K393" s="1221"/>
      <c r="L393" s="1221"/>
      <c r="M393" s="1221"/>
      <c r="N393" s="1221"/>
      <c r="O393" s="1221"/>
      <c r="P393" s="1221"/>
      <c r="Q393" s="1221"/>
      <c r="R393" s="1221"/>
      <c r="S393" s="1221"/>
      <c r="T393" s="1221"/>
      <c r="U393" s="1221"/>
      <c r="V393" s="1221"/>
      <c r="W393" s="1221"/>
      <c r="X393" s="1221"/>
      <c r="Y393" s="1221"/>
      <c r="Z393" s="1221"/>
    </row>
    <row r="394" ht="15.75" customHeight="1">
      <c r="A394" s="1221"/>
      <c r="B394" s="1221"/>
      <c r="C394" s="1221"/>
      <c r="D394" s="1221"/>
      <c r="E394" s="1221"/>
      <c r="F394" s="1221"/>
      <c r="G394" s="1221"/>
      <c r="H394" s="1221"/>
      <c r="I394" s="1221"/>
      <c r="J394" s="1221"/>
      <c r="K394" s="1221"/>
      <c r="L394" s="1221"/>
      <c r="M394" s="1221"/>
      <c r="N394" s="1221"/>
      <c r="O394" s="1221"/>
      <c r="P394" s="1221"/>
      <c r="Q394" s="1221"/>
      <c r="R394" s="1221"/>
      <c r="S394" s="1221"/>
      <c r="T394" s="1221"/>
      <c r="U394" s="1221"/>
      <c r="V394" s="1221"/>
      <c r="W394" s="1221"/>
      <c r="X394" s="1221"/>
      <c r="Y394" s="1221"/>
      <c r="Z394" s="1221"/>
    </row>
    <row r="395" ht="15.75" customHeight="1">
      <c r="A395" s="1221"/>
      <c r="B395" s="1221"/>
      <c r="C395" s="1221"/>
      <c r="D395" s="1221"/>
      <c r="E395" s="1221"/>
      <c r="F395" s="1221"/>
      <c r="G395" s="1221"/>
      <c r="H395" s="1221"/>
      <c r="I395" s="1221"/>
      <c r="J395" s="1221"/>
      <c r="K395" s="1221"/>
      <c r="L395" s="1221"/>
      <c r="M395" s="1221"/>
      <c r="N395" s="1221"/>
      <c r="O395" s="1221"/>
      <c r="P395" s="1221"/>
      <c r="Q395" s="1221"/>
      <c r="R395" s="1221"/>
      <c r="S395" s="1221"/>
      <c r="T395" s="1221"/>
      <c r="U395" s="1221"/>
      <c r="V395" s="1221"/>
      <c r="W395" s="1221"/>
      <c r="X395" s="1221"/>
      <c r="Y395" s="1221"/>
      <c r="Z395" s="1221"/>
    </row>
    <row r="396" ht="15.75" customHeight="1">
      <c r="A396" s="1221"/>
      <c r="B396" s="1221"/>
      <c r="C396" s="1221"/>
      <c r="D396" s="1221"/>
      <c r="E396" s="1221"/>
      <c r="F396" s="1221"/>
      <c r="G396" s="1221"/>
      <c r="H396" s="1221"/>
      <c r="I396" s="1221"/>
      <c r="J396" s="1221"/>
      <c r="K396" s="1221"/>
      <c r="L396" s="1221"/>
      <c r="M396" s="1221"/>
      <c r="N396" s="1221"/>
      <c r="O396" s="1221"/>
      <c r="P396" s="1221"/>
      <c r="Q396" s="1221"/>
      <c r="R396" s="1221"/>
      <c r="S396" s="1221"/>
      <c r="T396" s="1221"/>
      <c r="U396" s="1221"/>
      <c r="V396" s="1221"/>
      <c r="W396" s="1221"/>
      <c r="X396" s="1221"/>
      <c r="Y396" s="1221"/>
      <c r="Z396" s="1221"/>
    </row>
    <row r="397" ht="15.75" customHeight="1">
      <c r="A397" s="1221"/>
      <c r="B397" s="1221"/>
      <c r="C397" s="1221"/>
      <c r="D397" s="1221"/>
      <c r="E397" s="1221"/>
      <c r="F397" s="1221"/>
      <c r="G397" s="1221"/>
      <c r="H397" s="1221"/>
      <c r="I397" s="1221"/>
      <c r="J397" s="1221"/>
      <c r="K397" s="1221"/>
      <c r="L397" s="1221"/>
      <c r="M397" s="1221"/>
      <c r="N397" s="1221"/>
      <c r="O397" s="1221"/>
      <c r="P397" s="1221"/>
      <c r="Q397" s="1221"/>
      <c r="R397" s="1221"/>
      <c r="S397" s="1221"/>
      <c r="T397" s="1221"/>
      <c r="U397" s="1221"/>
      <c r="V397" s="1221"/>
      <c r="W397" s="1221"/>
      <c r="X397" s="1221"/>
      <c r="Y397" s="1221"/>
      <c r="Z397" s="1221"/>
    </row>
    <row r="398" ht="15.75" customHeight="1">
      <c r="A398" s="1221"/>
      <c r="B398" s="1221"/>
      <c r="C398" s="1221"/>
      <c r="D398" s="1221"/>
      <c r="E398" s="1221"/>
      <c r="F398" s="1221"/>
      <c r="G398" s="1221"/>
      <c r="H398" s="1221"/>
      <c r="I398" s="1221"/>
      <c r="J398" s="1221"/>
      <c r="K398" s="1221"/>
      <c r="L398" s="1221"/>
      <c r="M398" s="1221"/>
      <c r="N398" s="1221"/>
      <c r="O398" s="1221"/>
      <c r="P398" s="1221"/>
      <c r="Q398" s="1221"/>
      <c r="R398" s="1221"/>
      <c r="S398" s="1221"/>
      <c r="T398" s="1221"/>
      <c r="U398" s="1221"/>
      <c r="V398" s="1221"/>
      <c r="W398" s="1221"/>
      <c r="X398" s="1221"/>
      <c r="Y398" s="1221"/>
      <c r="Z398" s="1221"/>
    </row>
    <row r="399" ht="15.75" customHeight="1">
      <c r="A399" s="1221"/>
      <c r="B399" s="1221"/>
      <c r="C399" s="1221"/>
      <c r="D399" s="1221"/>
      <c r="E399" s="1221"/>
      <c r="F399" s="1221"/>
      <c r="G399" s="1221"/>
      <c r="H399" s="1221"/>
      <c r="I399" s="1221"/>
      <c r="J399" s="1221"/>
      <c r="K399" s="1221"/>
      <c r="L399" s="1221"/>
      <c r="M399" s="1221"/>
      <c r="N399" s="1221"/>
      <c r="O399" s="1221"/>
      <c r="P399" s="1221"/>
      <c r="Q399" s="1221"/>
      <c r="R399" s="1221"/>
      <c r="S399" s="1221"/>
      <c r="T399" s="1221"/>
      <c r="U399" s="1221"/>
      <c r="V399" s="1221"/>
      <c r="W399" s="1221"/>
      <c r="X399" s="1221"/>
      <c r="Y399" s="1221"/>
      <c r="Z399" s="1221"/>
    </row>
    <row r="400" ht="15.75" customHeight="1">
      <c r="A400" s="1221"/>
      <c r="B400" s="1221"/>
      <c r="C400" s="1221"/>
      <c r="D400" s="1221"/>
      <c r="E400" s="1221"/>
      <c r="F400" s="1221"/>
      <c r="G400" s="1221"/>
      <c r="H400" s="1221"/>
      <c r="I400" s="1221"/>
      <c r="J400" s="1221"/>
      <c r="K400" s="1221"/>
      <c r="L400" s="1221"/>
      <c r="M400" s="1221"/>
      <c r="N400" s="1221"/>
      <c r="O400" s="1221"/>
      <c r="P400" s="1221"/>
      <c r="Q400" s="1221"/>
      <c r="R400" s="1221"/>
      <c r="S400" s="1221"/>
      <c r="T400" s="1221"/>
      <c r="U400" s="1221"/>
      <c r="V400" s="1221"/>
      <c r="W400" s="1221"/>
      <c r="X400" s="1221"/>
      <c r="Y400" s="1221"/>
      <c r="Z400" s="1221"/>
    </row>
    <row r="401" ht="15.75" customHeight="1">
      <c r="A401" s="1221"/>
      <c r="B401" s="1221"/>
      <c r="C401" s="1221"/>
      <c r="D401" s="1221"/>
      <c r="E401" s="1221"/>
      <c r="F401" s="1221"/>
      <c r="G401" s="1221"/>
      <c r="H401" s="1221"/>
      <c r="I401" s="1221"/>
      <c r="J401" s="1221"/>
      <c r="K401" s="1221"/>
      <c r="L401" s="1221"/>
      <c r="M401" s="1221"/>
      <c r="N401" s="1221"/>
      <c r="O401" s="1221"/>
      <c r="P401" s="1221"/>
      <c r="Q401" s="1221"/>
      <c r="R401" s="1221"/>
      <c r="S401" s="1221"/>
      <c r="T401" s="1221"/>
      <c r="U401" s="1221"/>
      <c r="V401" s="1221"/>
      <c r="W401" s="1221"/>
      <c r="X401" s="1221"/>
      <c r="Y401" s="1221"/>
      <c r="Z401" s="1221"/>
    </row>
    <row r="402" ht="15.75" customHeight="1">
      <c r="A402" s="1221"/>
      <c r="B402" s="1221"/>
      <c r="C402" s="1221"/>
      <c r="D402" s="1221"/>
      <c r="E402" s="1221"/>
      <c r="F402" s="1221"/>
      <c r="G402" s="1221"/>
      <c r="H402" s="1221"/>
      <c r="I402" s="1221"/>
      <c r="J402" s="1221"/>
      <c r="K402" s="1221"/>
      <c r="L402" s="1221"/>
      <c r="M402" s="1221"/>
      <c r="N402" s="1221"/>
      <c r="O402" s="1221"/>
      <c r="P402" s="1221"/>
      <c r="Q402" s="1221"/>
      <c r="R402" s="1221"/>
      <c r="S402" s="1221"/>
      <c r="T402" s="1221"/>
      <c r="U402" s="1221"/>
      <c r="V402" s="1221"/>
      <c r="W402" s="1221"/>
      <c r="X402" s="1221"/>
      <c r="Y402" s="1221"/>
      <c r="Z402" s="1221"/>
    </row>
    <row r="403" ht="15.75" customHeight="1">
      <c r="A403" s="1221"/>
      <c r="B403" s="1221"/>
      <c r="C403" s="1221"/>
      <c r="D403" s="1221"/>
      <c r="E403" s="1221"/>
      <c r="F403" s="1221"/>
      <c r="G403" s="1221"/>
      <c r="H403" s="1221"/>
      <c r="I403" s="1221"/>
      <c r="J403" s="1221"/>
      <c r="K403" s="1221"/>
      <c r="L403" s="1221"/>
      <c r="M403" s="1221"/>
      <c r="N403" s="1221"/>
      <c r="O403" s="1221"/>
      <c r="P403" s="1221"/>
      <c r="Q403" s="1221"/>
      <c r="R403" s="1221"/>
      <c r="S403" s="1221"/>
      <c r="T403" s="1221"/>
      <c r="U403" s="1221"/>
      <c r="V403" s="1221"/>
      <c r="W403" s="1221"/>
      <c r="X403" s="1221"/>
      <c r="Y403" s="1221"/>
      <c r="Z403" s="1221"/>
    </row>
    <row r="404" ht="15.75" customHeight="1">
      <c r="A404" s="1221"/>
      <c r="B404" s="1221"/>
      <c r="C404" s="1221"/>
      <c r="D404" s="1221"/>
      <c r="E404" s="1221"/>
      <c r="F404" s="1221"/>
      <c r="G404" s="1221"/>
      <c r="H404" s="1221"/>
      <c r="I404" s="1221"/>
      <c r="J404" s="1221"/>
      <c r="K404" s="1221"/>
      <c r="L404" s="1221"/>
      <c r="M404" s="1221"/>
      <c r="N404" s="1221"/>
      <c r="O404" s="1221"/>
      <c r="P404" s="1221"/>
      <c r="Q404" s="1221"/>
      <c r="R404" s="1221"/>
      <c r="S404" s="1221"/>
      <c r="T404" s="1221"/>
      <c r="U404" s="1221"/>
      <c r="V404" s="1221"/>
      <c r="W404" s="1221"/>
      <c r="X404" s="1221"/>
      <c r="Y404" s="1221"/>
      <c r="Z404" s="1221"/>
    </row>
    <row r="405" ht="15.75" customHeight="1">
      <c r="A405" s="1221"/>
      <c r="B405" s="1221"/>
      <c r="C405" s="1221"/>
      <c r="D405" s="1221"/>
      <c r="E405" s="1221"/>
      <c r="F405" s="1221"/>
      <c r="G405" s="1221"/>
      <c r="H405" s="1221"/>
      <c r="I405" s="1221"/>
      <c r="J405" s="1221"/>
      <c r="K405" s="1221"/>
      <c r="L405" s="1221"/>
      <c r="M405" s="1221"/>
      <c r="N405" s="1221"/>
      <c r="O405" s="1221"/>
      <c r="P405" s="1221"/>
      <c r="Q405" s="1221"/>
      <c r="R405" s="1221"/>
      <c r="S405" s="1221"/>
      <c r="T405" s="1221"/>
      <c r="U405" s="1221"/>
      <c r="V405" s="1221"/>
      <c r="W405" s="1221"/>
      <c r="X405" s="1221"/>
      <c r="Y405" s="1221"/>
      <c r="Z405" s="1221"/>
    </row>
    <row r="406" ht="15.75" customHeight="1">
      <c r="A406" s="1221"/>
      <c r="B406" s="1221"/>
      <c r="C406" s="1221"/>
      <c r="D406" s="1221"/>
      <c r="E406" s="1221"/>
      <c r="F406" s="1221"/>
      <c r="G406" s="1221"/>
      <c r="H406" s="1221"/>
      <c r="I406" s="1221"/>
      <c r="J406" s="1221"/>
      <c r="K406" s="1221"/>
      <c r="L406" s="1221"/>
      <c r="M406" s="1221"/>
      <c r="N406" s="1221"/>
      <c r="O406" s="1221"/>
      <c r="P406" s="1221"/>
      <c r="Q406" s="1221"/>
      <c r="R406" s="1221"/>
      <c r="S406" s="1221"/>
      <c r="T406" s="1221"/>
      <c r="U406" s="1221"/>
      <c r="V406" s="1221"/>
      <c r="W406" s="1221"/>
      <c r="X406" s="1221"/>
      <c r="Y406" s="1221"/>
      <c r="Z406" s="1221"/>
    </row>
    <row r="407" ht="15.75" customHeight="1">
      <c r="A407" s="1221"/>
      <c r="B407" s="1221"/>
      <c r="C407" s="1221"/>
      <c r="D407" s="1221"/>
      <c r="E407" s="1221"/>
      <c r="F407" s="1221"/>
      <c r="G407" s="1221"/>
      <c r="H407" s="1221"/>
      <c r="I407" s="1221"/>
      <c r="J407" s="1221"/>
      <c r="K407" s="1221"/>
      <c r="L407" s="1221"/>
      <c r="M407" s="1221"/>
      <c r="N407" s="1221"/>
      <c r="O407" s="1221"/>
      <c r="P407" s="1221"/>
      <c r="Q407" s="1221"/>
      <c r="R407" s="1221"/>
      <c r="S407" s="1221"/>
      <c r="T407" s="1221"/>
      <c r="U407" s="1221"/>
      <c r="V407" s="1221"/>
      <c r="W407" s="1221"/>
      <c r="X407" s="1221"/>
      <c r="Y407" s="1221"/>
      <c r="Z407" s="1221"/>
    </row>
    <row r="408" ht="15.75" customHeight="1">
      <c r="A408" s="1221"/>
      <c r="B408" s="1221"/>
      <c r="C408" s="1221"/>
      <c r="D408" s="1221"/>
      <c r="E408" s="1221"/>
      <c r="F408" s="1221"/>
      <c r="G408" s="1221"/>
      <c r="H408" s="1221"/>
      <c r="I408" s="1221"/>
      <c r="J408" s="1221"/>
      <c r="K408" s="1221"/>
      <c r="L408" s="1221"/>
      <c r="M408" s="1221"/>
      <c r="N408" s="1221"/>
      <c r="O408" s="1221"/>
      <c r="P408" s="1221"/>
      <c r="Q408" s="1221"/>
      <c r="R408" s="1221"/>
      <c r="S408" s="1221"/>
      <c r="T408" s="1221"/>
      <c r="U408" s="1221"/>
      <c r="V408" s="1221"/>
      <c r="W408" s="1221"/>
      <c r="X408" s="1221"/>
      <c r="Y408" s="1221"/>
      <c r="Z408" s="1221"/>
    </row>
    <row r="409" ht="15.75" customHeight="1">
      <c r="A409" s="1221"/>
      <c r="B409" s="1221"/>
      <c r="C409" s="1221"/>
      <c r="D409" s="1221"/>
      <c r="E409" s="1221"/>
      <c r="F409" s="1221"/>
      <c r="G409" s="1221"/>
      <c r="H409" s="1221"/>
      <c r="I409" s="1221"/>
      <c r="J409" s="1221"/>
      <c r="K409" s="1221"/>
      <c r="L409" s="1221"/>
      <c r="M409" s="1221"/>
      <c r="N409" s="1221"/>
      <c r="O409" s="1221"/>
      <c r="P409" s="1221"/>
      <c r="Q409" s="1221"/>
      <c r="R409" s="1221"/>
      <c r="S409" s="1221"/>
      <c r="T409" s="1221"/>
      <c r="U409" s="1221"/>
      <c r="V409" s="1221"/>
      <c r="W409" s="1221"/>
      <c r="X409" s="1221"/>
      <c r="Y409" s="1221"/>
      <c r="Z409" s="1221"/>
    </row>
    <row r="410" ht="15.75" customHeight="1">
      <c r="A410" s="1221"/>
      <c r="B410" s="1221"/>
      <c r="C410" s="1221"/>
      <c r="D410" s="1221"/>
      <c r="E410" s="1221"/>
      <c r="F410" s="1221"/>
      <c r="G410" s="1221"/>
      <c r="H410" s="1221"/>
      <c r="I410" s="1221"/>
      <c r="J410" s="1221"/>
      <c r="K410" s="1221"/>
      <c r="L410" s="1221"/>
      <c r="M410" s="1221"/>
      <c r="N410" s="1221"/>
      <c r="O410" s="1221"/>
      <c r="P410" s="1221"/>
      <c r="Q410" s="1221"/>
      <c r="R410" s="1221"/>
      <c r="S410" s="1221"/>
      <c r="T410" s="1221"/>
      <c r="U410" s="1221"/>
      <c r="V410" s="1221"/>
      <c r="W410" s="1221"/>
      <c r="X410" s="1221"/>
      <c r="Y410" s="1221"/>
      <c r="Z410" s="1221"/>
    </row>
    <row r="411" ht="15.75" customHeight="1">
      <c r="A411" s="1221"/>
      <c r="B411" s="1221"/>
      <c r="C411" s="1221"/>
      <c r="D411" s="1221"/>
      <c r="E411" s="1221"/>
      <c r="F411" s="1221"/>
      <c r="G411" s="1221"/>
      <c r="H411" s="1221"/>
      <c r="I411" s="1221"/>
      <c r="J411" s="1221"/>
      <c r="K411" s="1221"/>
      <c r="L411" s="1221"/>
      <c r="M411" s="1221"/>
      <c r="N411" s="1221"/>
      <c r="O411" s="1221"/>
      <c r="P411" s="1221"/>
      <c r="Q411" s="1221"/>
      <c r="R411" s="1221"/>
      <c r="S411" s="1221"/>
      <c r="T411" s="1221"/>
      <c r="U411" s="1221"/>
      <c r="V411" s="1221"/>
      <c r="W411" s="1221"/>
      <c r="X411" s="1221"/>
      <c r="Y411" s="1221"/>
      <c r="Z411" s="1221"/>
    </row>
    <row r="412" ht="15.75" customHeight="1">
      <c r="A412" s="1221"/>
      <c r="B412" s="1221"/>
      <c r="C412" s="1221"/>
      <c r="D412" s="1221"/>
      <c r="E412" s="1221"/>
      <c r="F412" s="1221"/>
      <c r="G412" s="1221"/>
      <c r="H412" s="1221"/>
      <c r="I412" s="1221"/>
      <c r="J412" s="1221"/>
      <c r="K412" s="1221"/>
      <c r="L412" s="1221"/>
      <c r="M412" s="1221"/>
      <c r="N412" s="1221"/>
      <c r="O412" s="1221"/>
      <c r="P412" s="1221"/>
      <c r="Q412" s="1221"/>
      <c r="R412" s="1221"/>
      <c r="S412" s="1221"/>
      <c r="T412" s="1221"/>
      <c r="U412" s="1221"/>
      <c r="V412" s="1221"/>
      <c r="W412" s="1221"/>
      <c r="X412" s="1221"/>
      <c r="Y412" s="1221"/>
      <c r="Z412" s="1221"/>
    </row>
    <row r="413" ht="15.75" customHeight="1">
      <c r="A413" s="1221"/>
      <c r="B413" s="1221"/>
      <c r="C413" s="1221"/>
      <c r="D413" s="1221"/>
      <c r="E413" s="1221"/>
      <c r="F413" s="1221"/>
      <c r="G413" s="1221"/>
      <c r="H413" s="1221"/>
      <c r="I413" s="1221"/>
      <c r="J413" s="1221"/>
      <c r="K413" s="1221"/>
      <c r="L413" s="1221"/>
      <c r="M413" s="1221"/>
      <c r="N413" s="1221"/>
      <c r="O413" s="1221"/>
      <c r="P413" s="1221"/>
      <c r="Q413" s="1221"/>
      <c r="R413" s="1221"/>
      <c r="S413" s="1221"/>
      <c r="T413" s="1221"/>
      <c r="U413" s="1221"/>
      <c r="V413" s="1221"/>
      <c r="W413" s="1221"/>
      <c r="X413" s="1221"/>
      <c r="Y413" s="1221"/>
      <c r="Z413" s="1221"/>
    </row>
    <row r="414" ht="15.75" customHeight="1">
      <c r="A414" s="1221"/>
      <c r="B414" s="1221"/>
      <c r="C414" s="1221"/>
      <c r="D414" s="1221"/>
      <c r="E414" s="1221"/>
      <c r="F414" s="1221"/>
      <c r="G414" s="1221"/>
      <c r="H414" s="1221"/>
      <c r="I414" s="1221"/>
      <c r="J414" s="1221"/>
      <c r="K414" s="1221"/>
      <c r="L414" s="1221"/>
      <c r="M414" s="1221"/>
      <c r="N414" s="1221"/>
      <c r="O414" s="1221"/>
      <c r="P414" s="1221"/>
      <c r="Q414" s="1221"/>
      <c r="R414" s="1221"/>
      <c r="S414" s="1221"/>
      <c r="T414" s="1221"/>
      <c r="U414" s="1221"/>
      <c r="V414" s="1221"/>
      <c r="W414" s="1221"/>
      <c r="X414" s="1221"/>
      <c r="Y414" s="1221"/>
      <c r="Z414" s="1221"/>
    </row>
    <row r="415" ht="15.75" customHeight="1">
      <c r="A415" s="1221"/>
      <c r="B415" s="1221"/>
      <c r="C415" s="1221"/>
      <c r="D415" s="1221"/>
      <c r="E415" s="1221"/>
      <c r="F415" s="1221"/>
      <c r="G415" s="1221"/>
      <c r="H415" s="1221"/>
      <c r="I415" s="1221"/>
      <c r="J415" s="1221"/>
      <c r="K415" s="1221"/>
      <c r="L415" s="1221"/>
      <c r="M415" s="1221"/>
      <c r="N415" s="1221"/>
      <c r="O415" s="1221"/>
      <c r="P415" s="1221"/>
      <c r="Q415" s="1221"/>
      <c r="R415" s="1221"/>
      <c r="S415" s="1221"/>
      <c r="T415" s="1221"/>
      <c r="U415" s="1221"/>
      <c r="V415" s="1221"/>
      <c r="W415" s="1221"/>
      <c r="X415" s="1221"/>
      <c r="Y415" s="1221"/>
      <c r="Z415" s="1221"/>
    </row>
    <row r="416" ht="15.75" customHeight="1">
      <c r="A416" s="1221"/>
      <c r="B416" s="1221"/>
      <c r="C416" s="1221"/>
      <c r="D416" s="1221"/>
      <c r="E416" s="1221"/>
      <c r="F416" s="1221"/>
      <c r="G416" s="1221"/>
      <c r="H416" s="1221"/>
      <c r="I416" s="1221"/>
      <c r="J416" s="1221"/>
      <c r="K416" s="1221"/>
      <c r="L416" s="1221"/>
      <c r="M416" s="1221"/>
      <c r="N416" s="1221"/>
      <c r="O416" s="1221"/>
      <c r="P416" s="1221"/>
      <c r="Q416" s="1221"/>
      <c r="R416" s="1221"/>
      <c r="S416" s="1221"/>
      <c r="T416" s="1221"/>
      <c r="U416" s="1221"/>
      <c r="V416" s="1221"/>
      <c r="W416" s="1221"/>
      <c r="X416" s="1221"/>
      <c r="Y416" s="1221"/>
      <c r="Z416" s="1221"/>
    </row>
    <row r="417" ht="15.75" customHeight="1">
      <c r="A417" s="1221"/>
      <c r="B417" s="1221"/>
      <c r="C417" s="1221"/>
      <c r="D417" s="1221"/>
      <c r="E417" s="1221"/>
      <c r="F417" s="1221"/>
      <c r="G417" s="1221"/>
      <c r="H417" s="1221"/>
      <c r="I417" s="1221"/>
      <c r="J417" s="1221"/>
      <c r="K417" s="1221"/>
      <c r="L417" s="1221"/>
      <c r="M417" s="1221"/>
      <c r="N417" s="1221"/>
      <c r="O417" s="1221"/>
      <c r="P417" s="1221"/>
      <c r="Q417" s="1221"/>
      <c r="R417" s="1221"/>
      <c r="S417" s="1221"/>
      <c r="T417" s="1221"/>
      <c r="U417" s="1221"/>
      <c r="V417" s="1221"/>
      <c r="W417" s="1221"/>
      <c r="X417" s="1221"/>
      <c r="Y417" s="1221"/>
      <c r="Z417" s="1221"/>
    </row>
    <row r="418" ht="15.75" customHeight="1">
      <c r="A418" s="1221"/>
      <c r="B418" s="1221"/>
      <c r="C418" s="1221"/>
      <c r="D418" s="1221"/>
      <c r="E418" s="1221"/>
      <c r="F418" s="1221"/>
      <c r="G418" s="1221"/>
      <c r="H418" s="1221"/>
      <c r="I418" s="1221"/>
      <c r="J418" s="1221"/>
      <c r="K418" s="1221"/>
      <c r="L418" s="1221"/>
      <c r="M418" s="1221"/>
      <c r="N418" s="1221"/>
      <c r="O418" s="1221"/>
      <c r="P418" s="1221"/>
      <c r="Q418" s="1221"/>
      <c r="R418" s="1221"/>
      <c r="S418" s="1221"/>
      <c r="T418" s="1221"/>
      <c r="U418" s="1221"/>
      <c r="V418" s="1221"/>
      <c r="W418" s="1221"/>
      <c r="X418" s="1221"/>
      <c r="Y418" s="1221"/>
      <c r="Z418" s="1221"/>
    </row>
    <row r="419" ht="15.75" customHeight="1">
      <c r="A419" s="1221"/>
      <c r="B419" s="1221"/>
      <c r="C419" s="1221"/>
      <c r="D419" s="1221"/>
      <c r="E419" s="1221"/>
      <c r="F419" s="1221"/>
      <c r="G419" s="1221"/>
      <c r="H419" s="1221"/>
      <c r="I419" s="1221"/>
      <c r="J419" s="1221"/>
      <c r="K419" s="1221"/>
      <c r="L419" s="1221"/>
      <c r="M419" s="1221"/>
      <c r="N419" s="1221"/>
      <c r="O419" s="1221"/>
      <c r="P419" s="1221"/>
      <c r="Q419" s="1221"/>
      <c r="R419" s="1221"/>
      <c r="S419" s="1221"/>
      <c r="T419" s="1221"/>
      <c r="U419" s="1221"/>
      <c r="V419" s="1221"/>
      <c r="W419" s="1221"/>
      <c r="X419" s="1221"/>
      <c r="Y419" s="1221"/>
      <c r="Z419" s="1221"/>
    </row>
    <row r="420" ht="15.75" customHeight="1">
      <c r="A420" s="1221"/>
      <c r="B420" s="1221"/>
      <c r="C420" s="1221"/>
      <c r="D420" s="1221"/>
      <c r="E420" s="1221"/>
      <c r="F420" s="1221"/>
      <c r="G420" s="1221"/>
      <c r="H420" s="1221"/>
      <c r="I420" s="1221"/>
      <c r="J420" s="1221"/>
      <c r="K420" s="1221"/>
      <c r="L420" s="1221"/>
      <c r="M420" s="1221"/>
      <c r="N420" s="1221"/>
      <c r="O420" s="1221"/>
      <c r="P420" s="1221"/>
      <c r="Q420" s="1221"/>
      <c r="R420" s="1221"/>
      <c r="S420" s="1221"/>
      <c r="T420" s="1221"/>
      <c r="U420" s="1221"/>
      <c r="V420" s="1221"/>
      <c r="W420" s="1221"/>
      <c r="X420" s="1221"/>
      <c r="Y420" s="1221"/>
      <c r="Z420" s="1221"/>
    </row>
    <row r="421" ht="15.75" customHeight="1">
      <c r="A421" s="1221"/>
      <c r="B421" s="1221"/>
      <c r="C421" s="1221"/>
      <c r="D421" s="1221"/>
      <c r="E421" s="1221"/>
      <c r="F421" s="1221"/>
      <c r="G421" s="1221"/>
      <c r="H421" s="1221"/>
      <c r="I421" s="1221"/>
      <c r="J421" s="1221"/>
      <c r="K421" s="1221"/>
      <c r="L421" s="1221"/>
      <c r="M421" s="1221"/>
      <c r="N421" s="1221"/>
      <c r="O421" s="1221"/>
      <c r="P421" s="1221"/>
      <c r="Q421" s="1221"/>
      <c r="R421" s="1221"/>
      <c r="S421" s="1221"/>
      <c r="T421" s="1221"/>
      <c r="U421" s="1221"/>
      <c r="V421" s="1221"/>
      <c r="W421" s="1221"/>
      <c r="X421" s="1221"/>
      <c r="Y421" s="1221"/>
      <c r="Z421" s="1221"/>
    </row>
    <row r="422" ht="15.75" customHeight="1">
      <c r="A422" s="1221"/>
      <c r="B422" s="1221"/>
      <c r="C422" s="1221"/>
      <c r="D422" s="1221"/>
      <c r="E422" s="1221"/>
      <c r="F422" s="1221"/>
      <c r="G422" s="1221"/>
      <c r="H422" s="1221"/>
      <c r="I422" s="1221"/>
      <c r="J422" s="1221"/>
      <c r="K422" s="1221"/>
      <c r="L422" s="1221"/>
      <c r="M422" s="1221"/>
      <c r="N422" s="1221"/>
      <c r="O422" s="1221"/>
      <c r="P422" s="1221"/>
      <c r="Q422" s="1221"/>
      <c r="R422" s="1221"/>
      <c r="S422" s="1221"/>
      <c r="T422" s="1221"/>
      <c r="U422" s="1221"/>
      <c r="V422" s="1221"/>
      <c r="W422" s="1221"/>
      <c r="X422" s="1221"/>
      <c r="Y422" s="1221"/>
      <c r="Z422" s="1221"/>
    </row>
    <row r="423" ht="15.75" customHeight="1">
      <c r="A423" s="1221"/>
      <c r="B423" s="1221"/>
      <c r="C423" s="1221"/>
      <c r="D423" s="1221"/>
      <c r="E423" s="1221"/>
      <c r="F423" s="1221"/>
      <c r="G423" s="1221"/>
      <c r="H423" s="1221"/>
      <c r="I423" s="1221"/>
      <c r="J423" s="1221"/>
      <c r="K423" s="1221"/>
      <c r="L423" s="1221"/>
      <c r="M423" s="1221"/>
      <c r="N423" s="1221"/>
      <c r="O423" s="1221"/>
      <c r="P423" s="1221"/>
      <c r="Q423" s="1221"/>
      <c r="R423" s="1221"/>
      <c r="S423" s="1221"/>
      <c r="T423" s="1221"/>
      <c r="U423" s="1221"/>
      <c r="V423" s="1221"/>
      <c r="W423" s="1221"/>
      <c r="X423" s="1221"/>
      <c r="Y423" s="1221"/>
      <c r="Z423" s="1221"/>
    </row>
    <row r="424" ht="15.75" customHeight="1">
      <c r="A424" s="1221"/>
      <c r="B424" s="1221"/>
      <c r="C424" s="1221"/>
      <c r="D424" s="1221"/>
      <c r="E424" s="1221"/>
      <c r="F424" s="1221"/>
      <c r="G424" s="1221"/>
      <c r="H424" s="1221"/>
      <c r="I424" s="1221"/>
      <c r="J424" s="1221"/>
      <c r="K424" s="1221"/>
      <c r="L424" s="1221"/>
      <c r="M424" s="1221"/>
      <c r="N424" s="1221"/>
      <c r="O424" s="1221"/>
      <c r="P424" s="1221"/>
      <c r="Q424" s="1221"/>
      <c r="R424" s="1221"/>
      <c r="S424" s="1221"/>
      <c r="T424" s="1221"/>
      <c r="U424" s="1221"/>
      <c r="V424" s="1221"/>
      <c r="W424" s="1221"/>
      <c r="X424" s="1221"/>
      <c r="Y424" s="1221"/>
      <c r="Z424" s="1221"/>
    </row>
    <row r="425" ht="15.75" customHeight="1">
      <c r="A425" s="1221"/>
      <c r="B425" s="1221"/>
      <c r="C425" s="1221"/>
      <c r="D425" s="1221"/>
      <c r="E425" s="1221"/>
      <c r="F425" s="1221"/>
      <c r="G425" s="1221"/>
      <c r="H425" s="1221"/>
      <c r="I425" s="1221"/>
      <c r="J425" s="1221"/>
      <c r="K425" s="1221"/>
      <c r="L425" s="1221"/>
      <c r="M425" s="1221"/>
      <c r="N425" s="1221"/>
      <c r="O425" s="1221"/>
      <c r="P425" s="1221"/>
      <c r="Q425" s="1221"/>
      <c r="R425" s="1221"/>
      <c r="S425" s="1221"/>
      <c r="T425" s="1221"/>
      <c r="U425" s="1221"/>
      <c r="V425" s="1221"/>
      <c r="W425" s="1221"/>
      <c r="X425" s="1221"/>
      <c r="Y425" s="1221"/>
      <c r="Z425" s="1221"/>
    </row>
    <row r="426" ht="15.75" customHeight="1">
      <c r="A426" s="1221"/>
      <c r="B426" s="1221"/>
      <c r="C426" s="1221"/>
      <c r="D426" s="1221"/>
      <c r="E426" s="1221"/>
      <c r="F426" s="1221"/>
      <c r="G426" s="1221"/>
      <c r="H426" s="1221"/>
      <c r="I426" s="1221"/>
      <c r="J426" s="1221"/>
      <c r="K426" s="1221"/>
      <c r="L426" s="1221"/>
      <c r="M426" s="1221"/>
      <c r="N426" s="1221"/>
      <c r="O426" s="1221"/>
      <c r="P426" s="1221"/>
      <c r="Q426" s="1221"/>
      <c r="R426" s="1221"/>
      <c r="S426" s="1221"/>
      <c r="T426" s="1221"/>
      <c r="U426" s="1221"/>
      <c r="V426" s="1221"/>
      <c r="W426" s="1221"/>
      <c r="X426" s="1221"/>
      <c r="Y426" s="1221"/>
      <c r="Z426" s="1221"/>
    </row>
    <row r="427" ht="15.75" customHeight="1">
      <c r="A427" s="1221"/>
      <c r="B427" s="1221"/>
      <c r="C427" s="1221"/>
      <c r="D427" s="1221"/>
      <c r="E427" s="1221"/>
      <c r="F427" s="1221"/>
      <c r="G427" s="1221"/>
      <c r="H427" s="1221"/>
      <c r="I427" s="1221"/>
      <c r="J427" s="1221"/>
      <c r="K427" s="1221"/>
      <c r="L427" s="1221"/>
      <c r="M427" s="1221"/>
      <c r="N427" s="1221"/>
      <c r="O427" s="1221"/>
      <c r="P427" s="1221"/>
      <c r="Q427" s="1221"/>
      <c r="R427" s="1221"/>
      <c r="S427" s="1221"/>
      <c r="T427" s="1221"/>
      <c r="U427" s="1221"/>
      <c r="V427" s="1221"/>
      <c r="W427" s="1221"/>
      <c r="X427" s="1221"/>
      <c r="Y427" s="1221"/>
      <c r="Z427" s="1221"/>
    </row>
    <row r="428" ht="15.75" customHeight="1">
      <c r="A428" s="1221"/>
      <c r="B428" s="1221"/>
      <c r="C428" s="1221"/>
      <c r="D428" s="1221"/>
      <c r="E428" s="1221"/>
      <c r="F428" s="1221"/>
      <c r="G428" s="1221"/>
      <c r="H428" s="1221"/>
      <c r="I428" s="1221"/>
      <c r="J428" s="1221"/>
      <c r="K428" s="1221"/>
      <c r="L428" s="1221"/>
      <c r="M428" s="1221"/>
      <c r="N428" s="1221"/>
      <c r="O428" s="1221"/>
      <c r="P428" s="1221"/>
      <c r="Q428" s="1221"/>
      <c r="R428" s="1221"/>
      <c r="S428" s="1221"/>
      <c r="T428" s="1221"/>
      <c r="U428" s="1221"/>
      <c r="V428" s="1221"/>
      <c r="W428" s="1221"/>
      <c r="X428" s="1221"/>
      <c r="Y428" s="1221"/>
      <c r="Z428" s="1221"/>
    </row>
    <row r="429" ht="15.75" customHeight="1">
      <c r="A429" s="1221"/>
      <c r="B429" s="1221"/>
      <c r="C429" s="1221"/>
      <c r="D429" s="1221"/>
      <c r="E429" s="1221"/>
      <c r="F429" s="1221"/>
      <c r="G429" s="1221"/>
      <c r="H429" s="1221"/>
      <c r="I429" s="1221"/>
      <c r="J429" s="1221"/>
      <c r="K429" s="1221"/>
      <c r="L429" s="1221"/>
      <c r="M429" s="1221"/>
      <c r="N429" s="1221"/>
      <c r="O429" s="1221"/>
      <c r="P429" s="1221"/>
      <c r="Q429" s="1221"/>
      <c r="R429" s="1221"/>
      <c r="S429" s="1221"/>
      <c r="T429" s="1221"/>
      <c r="U429" s="1221"/>
      <c r="V429" s="1221"/>
      <c r="W429" s="1221"/>
      <c r="X429" s="1221"/>
      <c r="Y429" s="1221"/>
      <c r="Z429" s="1221"/>
    </row>
    <row r="430" ht="15.75" customHeight="1">
      <c r="A430" s="1221"/>
      <c r="B430" s="1221"/>
      <c r="C430" s="1221"/>
      <c r="D430" s="1221"/>
      <c r="E430" s="1221"/>
      <c r="F430" s="1221"/>
      <c r="G430" s="1221"/>
      <c r="H430" s="1221"/>
      <c r="I430" s="1221"/>
      <c r="J430" s="1221"/>
      <c r="K430" s="1221"/>
      <c r="L430" s="1221"/>
      <c r="M430" s="1221"/>
      <c r="N430" s="1221"/>
      <c r="O430" s="1221"/>
      <c r="P430" s="1221"/>
      <c r="Q430" s="1221"/>
      <c r="R430" s="1221"/>
      <c r="S430" s="1221"/>
      <c r="T430" s="1221"/>
      <c r="U430" s="1221"/>
      <c r="V430" s="1221"/>
      <c r="W430" s="1221"/>
      <c r="X430" s="1221"/>
      <c r="Y430" s="1221"/>
      <c r="Z430" s="1221"/>
    </row>
    <row r="431" ht="15.75" customHeight="1">
      <c r="A431" s="1221"/>
      <c r="B431" s="1221"/>
      <c r="C431" s="1221"/>
      <c r="D431" s="1221"/>
      <c r="E431" s="1221"/>
      <c r="F431" s="1221"/>
      <c r="G431" s="1221"/>
      <c r="H431" s="1221"/>
      <c r="I431" s="1221"/>
      <c r="J431" s="1221"/>
      <c r="K431" s="1221"/>
      <c r="L431" s="1221"/>
      <c r="M431" s="1221"/>
      <c r="N431" s="1221"/>
      <c r="O431" s="1221"/>
      <c r="P431" s="1221"/>
      <c r="Q431" s="1221"/>
      <c r="R431" s="1221"/>
      <c r="S431" s="1221"/>
      <c r="T431" s="1221"/>
      <c r="U431" s="1221"/>
      <c r="V431" s="1221"/>
      <c r="W431" s="1221"/>
      <c r="X431" s="1221"/>
      <c r="Y431" s="1221"/>
      <c r="Z431" s="1221"/>
    </row>
    <row r="432" ht="15.75" customHeight="1">
      <c r="A432" s="1221"/>
      <c r="B432" s="1221"/>
      <c r="C432" s="1221"/>
      <c r="D432" s="1221"/>
      <c r="E432" s="1221"/>
      <c r="F432" s="1221"/>
      <c r="G432" s="1221"/>
      <c r="H432" s="1221"/>
      <c r="I432" s="1221"/>
      <c r="J432" s="1221"/>
      <c r="K432" s="1221"/>
      <c r="L432" s="1221"/>
      <c r="M432" s="1221"/>
      <c r="N432" s="1221"/>
      <c r="O432" s="1221"/>
      <c r="P432" s="1221"/>
      <c r="Q432" s="1221"/>
      <c r="R432" s="1221"/>
      <c r="S432" s="1221"/>
      <c r="T432" s="1221"/>
      <c r="U432" s="1221"/>
      <c r="V432" s="1221"/>
      <c r="W432" s="1221"/>
      <c r="X432" s="1221"/>
      <c r="Y432" s="1221"/>
      <c r="Z432" s="1221"/>
    </row>
    <row r="433" ht="15.75" customHeight="1">
      <c r="A433" s="1221"/>
      <c r="B433" s="1221"/>
      <c r="C433" s="1221"/>
      <c r="D433" s="1221"/>
      <c r="E433" s="1221"/>
      <c r="F433" s="1221"/>
      <c r="G433" s="1221"/>
      <c r="H433" s="1221"/>
      <c r="I433" s="1221"/>
      <c r="J433" s="1221"/>
      <c r="K433" s="1221"/>
      <c r="L433" s="1221"/>
      <c r="M433" s="1221"/>
      <c r="N433" s="1221"/>
      <c r="O433" s="1221"/>
      <c r="P433" s="1221"/>
      <c r="Q433" s="1221"/>
      <c r="R433" s="1221"/>
      <c r="S433" s="1221"/>
      <c r="T433" s="1221"/>
      <c r="U433" s="1221"/>
      <c r="V433" s="1221"/>
      <c r="W433" s="1221"/>
      <c r="X433" s="1221"/>
      <c r="Y433" s="1221"/>
      <c r="Z433" s="1221"/>
    </row>
    <row r="434" ht="15.75" customHeight="1">
      <c r="A434" s="1221"/>
      <c r="B434" s="1221"/>
      <c r="C434" s="1221"/>
      <c r="D434" s="1221"/>
      <c r="E434" s="1221"/>
      <c r="F434" s="1221"/>
      <c r="G434" s="1221"/>
      <c r="H434" s="1221"/>
      <c r="I434" s="1221"/>
      <c r="J434" s="1221"/>
      <c r="K434" s="1221"/>
      <c r="L434" s="1221"/>
      <c r="M434" s="1221"/>
      <c r="N434" s="1221"/>
      <c r="O434" s="1221"/>
      <c r="P434" s="1221"/>
      <c r="Q434" s="1221"/>
      <c r="R434" s="1221"/>
      <c r="S434" s="1221"/>
      <c r="T434" s="1221"/>
      <c r="U434" s="1221"/>
      <c r="V434" s="1221"/>
      <c r="W434" s="1221"/>
      <c r="X434" s="1221"/>
      <c r="Y434" s="1221"/>
      <c r="Z434" s="1221"/>
    </row>
    <row r="435" ht="15.75" customHeight="1">
      <c r="A435" s="1221"/>
      <c r="B435" s="1221"/>
      <c r="C435" s="1221"/>
      <c r="D435" s="1221"/>
      <c r="E435" s="1221"/>
      <c r="F435" s="1221"/>
      <c r="G435" s="1221"/>
      <c r="H435" s="1221"/>
      <c r="I435" s="1221"/>
      <c r="J435" s="1221"/>
      <c r="K435" s="1221"/>
      <c r="L435" s="1221"/>
      <c r="M435" s="1221"/>
      <c r="N435" s="1221"/>
      <c r="O435" s="1221"/>
      <c r="P435" s="1221"/>
      <c r="Q435" s="1221"/>
      <c r="R435" s="1221"/>
      <c r="S435" s="1221"/>
      <c r="T435" s="1221"/>
      <c r="U435" s="1221"/>
      <c r="V435" s="1221"/>
      <c r="W435" s="1221"/>
      <c r="X435" s="1221"/>
      <c r="Y435" s="1221"/>
      <c r="Z435" s="1221"/>
    </row>
    <row r="436" ht="15.75" customHeight="1">
      <c r="A436" s="1221"/>
      <c r="B436" s="1221"/>
      <c r="C436" s="1221"/>
      <c r="D436" s="1221"/>
      <c r="E436" s="1221"/>
      <c r="F436" s="1221"/>
      <c r="G436" s="1221"/>
      <c r="H436" s="1221"/>
      <c r="I436" s="1221"/>
      <c r="J436" s="1221"/>
      <c r="K436" s="1221"/>
      <c r="L436" s="1221"/>
      <c r="M436" s="1221"/>
      <c r="N436" s="1221"/>
      <c r="O436" s="1221"/>
      <c r="P436" s="1221"/>
      <c r="Q436" s="1221"/>
      <c r="R436" s="1221"/>
      <c r="S436" s="1221"/>
      <c r="T436" s="1221"/>
      <c r="U436" s="1221"/>
      <c r="V436" s="1221"/>
      <c r="W436" s="1221"/>
      <c r="X436" s="1221"/>
      <c r="Y436" s="1221"/>
      <c r="Z436" s="1221"/>
    </row>
    <row r="437" ht="15.75" customHeight="1">
      <c r="A437" s="1221"/>
      <c r="B437" s="1221"/>
      <c r="C437" s="1221"/>
      <c r="D437" s="1221"/>
      <c r="E437" s="1221"/>
      <c r="F437" s="1221"/>
      <c r="G437" s="1221"/>
      <c r="H437" s="1221"/>
      <c r="I437" s="1221"/>
      <c r="J437" s="1221"/>
      <c r="K437" s="1221"/>
      <c r="L437" s="1221"/>
      <c r="M437" s="1221"/>
      <c r="N437" s="1221"/>
      <c r="O437" s="1221"/>
      <c r="P437" s="1221"/>
      <c r="Q437" s="1221"/>
      <c r="R437" s="1221"/>
      <c r="S437" s="1221"/>
      <c r="T437" s="1221"/>
      <c r="U437" s="1221"/>
      <c r="V437" s="1221"/>
      <c r="W437" s="1221"/>
      <c r="X437" s="1221"/>
      <c r="Y437" s="1221"/>
      <c r="Z437" s="1221"/>
    </row>
    <row r="438" ht="15.75" customHeight="1">
      <c r="A438" s="1221"/>
      <c r="B438" s="1221"/>
      <c r="C438" s="1221"/>
      <c r="D438" s="1221"/>
      <c r="E438" s="1221"/>
      <c r="F438" s="1221"/>
      <c r="G438" s="1221"/>
      <c r="H438" s="1221"/>
      <c r="I438" s="1221"/>
      <c r="J438" s="1221"/>
      <c r="K438" s="1221"/>
      <c r="L438" s="1221"/>
      <c r="M438" s="1221"/>
      <c r="N438" s="1221"/>
      <c r="O438" s="1221"/>
      <c r="P438" s="1221"/>
      <c r="Q438" s="1221"/>
      <c r="R438" s="1221"/>
      <c r="S438" s="1221"/>
      <c r="T438" s="1221"/>
      <c r="U438" s="1221"/>
      <c r="V438" s="1221"/>
      <c r="W438" s="1221"/>
      <c r="X438" s="1221"/>
      <c r="Y438" s="1221"/>
      <c r="Z438" s="1221"/>
    </row>
    <row r="439" ht="15.75" customHeight="1">
      <c r="A439" s="1221"/>
      <c r="B439" s="1221"/>
      <c r="C439" s="1221"/>
      <c r="D439" s="1221"/>
      <c r="E439" s="1221"/>
      <c r="F439" s="1221"/>
      <c r="G439" s="1221"/>
      <c r="H439" s="1221"/>
      <c r="I439" s="1221"/>
      <c r="J439" s="1221"/>
      <c r="K439" s="1221"/>
      <c r="L439" s="1221"/>
      <c r="M439" s="1221"/>
      <c r="N439" s="1221"/>
      <c r="O439" s="1221"/>
      <c r="P439" s="1221"/>
      <c r="Q439" s="1221"/>
      <c r="R439" s="1221"/>
      <c r="S439" s="1221"/>
      <c r="T439" s="1221"/>
      <c r="U439" s="1221"/>
      <c r="V439" s="1221"/>
      <c r="W439" s="1221"/>
      <c r="X439" s="1221"/>
      <c r="Y439" s="1221"/>
      <c r="Z439" s="1221"/>
    </row>
    <row r="440" ht="15.75" customHeight="1">
      <c r="A440" s="1221"/>
      <c r="B440" s="1221"/>
      <c r="C440" s="1221"/>
      <c r="D440" s="1221"/>
      <c r="E440" s="1221"/>
      <c r="F440" s="1221"/>
      <c r="G440" s="1221"/>
      <c r="H440" s="1221"/>
      <c r="I440" s="1221"/>
      <c r="J440" s="1221"/>
      <c r="K440" s="1221"/>
      <c r="L440" s="1221"/>
      <c r="M440" s="1221"/>
      <c r="N440" s="1221"/>
      <c r="O440" s="1221"/>
      <c r="P440" s="1221"/>
      <c r="Q440" s="1221"/>
      <c r="R440" s="1221"/>
      <c r="S440" s="1221"/>
      <c r="T440" s="1221"/>
      <c r="U440" s="1221"/>
      <c r="V440" s="1221"/>
      <c r="W440" s="1221"/>
      <c r="X440" s="1221"/>
      <c r="Y440" s="1221"/>
      <c r="Z440" s="1221"/>
    </row>
    <row r="441" ht="15.75" customHeight="1">
      <c r="A441" s="1221"/>
      <c r="B441" s="1221"/>
      <c r="C441" s="1221"/>
      <c r="D441" s="1221"/>
      <c r="E441" s="1221"/>
      <c r="F441" s="1221"/>
      <c r="G441" s="1221"/>
      <c r="H441" s="1221"/>
      <c r="I441" s="1221"/>
      <c r="J441" s="1221"/>
      <c r="K441" s="1221"/>
      <c r="L441" s="1221"/>
      <c r="M441" s="1221"/>
      <c r="N441" s="1221"/>
      <c r="O441" s="1221"/>
      <c r="P441" s="1221"/>
      <c r="Q441" s="1221"/>
      <c r="R441" s="1221"/>
      <c r="S441" s="1221"/>
      <c r="T441" s="1221"/>
      <c r="U441" s="1221"/>
      <c r="V441" s="1221"/>
      <c r="W441" s="1221"/>
      <c r="X441" s="1221"/>
      <c r="Y441" s="1221"/>
      <c r="Z441" s="1221"/>
    </row>
    <row r="442" ht="15.75" customHeight="1">
      <c r="A442" s="1221"/>
      <c r="B442" s="1221"/>
      <c r="C442" s="1221"/>
      <c r="D442" s="1221"/>
      <c r="E442" s="1221"/>
      <c r="F442" s="1221"/>
      <c r="G442" s="1221"/>
      <c r="H442" s="1221"/>
      <c r="I442" s="1221"/>
      <c r="J442" s="1221"/>
      <c r="K442" s="1221"/>
      <c r="L442" s="1221"/>
      <c r="M442" s="1221"/>
      <c r="N442" s="1221"/>
      <c r="O442" s="1221"/>
      <c r="P442" s="1221"/>
      <c r="Q442" s="1221"/>
      <c r="R442" s="1221"/>
      <c r="S442" s="1221"/>
      <c r="T442" s="1221"/>
      <c r="U442" s="1221"/>
      <c r="V442" s="1221"/>
      <c r="W442" s="1221"/>
      <c r="X442" s="1221"/>
      <c r="Y442" s="1221"/>
      <c r="Z442" s="1221"/>
    </row>
    <row r="443" ht="15.75" customHeight="1">
      <c r="A443" s="1221"/>
      <c r="B443" s="1221"/>
      <c r="C443" s="1221"/>
      <c r="D443" s="1221"/>
      <c r="E443" s="1221"/>
      <c r="F443" s="1221"/>
      <c r="G443" s="1221"/>
      <c r="H443" s="1221"/>
      <c r="I443" s="1221"/>
      <c r="J443" s="1221"/>
      <c r="K443" s="1221"/>
      <c r="L443" s="1221"/>
      <c r="M443" s="1221"/>
      <c r="N443" s="1221"/>
      <c r="O443" s="1221"/>
      <c r="P443" s="1221"/>
      <c r="Q443" s="1221"/>
      <c r="R443" s="1221"/>
      <c r="S443" s="1221"/>
      <c r="T443" s="1221"/>
      <c r="U443" s="1221"/>
      <c r="V443" s="1221"/>
      <c r="W443" s="1221"/>
      <c r="X443" s="1221"/>
      <c r="Y443" s="1221"/>
      <c r="Z443" s="1221"/>
    </row>
    <row r="444" ht="15.75" customHeight="1">
      <c r="A444" s="1221"/>
      <c r="B444" s="1221"/>
      <c r="C444" s="1221"/>
      <c r="D444" s="1221"/>
      <c r="E444" s="1221"/>
      <c r="F444" s="1221"/>
      <c r="G444" s="1221"/>
      <c r="H444" s="1221"/>
      <c r="I444" s="1221"/>
      <c r="J444" s="1221"/>
      <c r="K444" s="1221"/>
      <c r="L444" s="1221"/>
      <c r="M444" s="1221"/>
      <c r="N444" s="1221"/>
      <c r="O444" s="1221"/>
      <c r="P444" s="1221"/>
      <c r="Q444" s="1221"/>
      <c r="R444" s="1221"/>
      <c r="S444" s="1221"/>
      <c r="T444" s="1221"/>
      <c r="U444" s="1221"/>
      <c r="V444" s="1221"/>
      <c r="W444" s="1221"/>
      <c r="X444" s="1221"/>
      <c r="Y444" s="1221"/>
      <c r="Z444" s="1221"/>
    </row>
    <row r="445" ht="15.75" customHeight="1">
      <c r="A445" s="1221"/>
      <c r="B445" s="1221"/>
      <c r="C445" s="1221"/>
      <c r="D445" s="1221"/>
      <c r="E445" s="1221"/>
      <c r="F445" s="1221"/>
      <c r="G445" s="1221"/>
      <c r="H445" s="1221"/>
      <c r="I445" s="1221"/>
      <c r="J445" s="1221"/>
      <c r="K445" s="1221"/>
      <c r="L445" s="1221"/>
      <c r="M445" s="1221"/>
      <c r="N445" s="1221"/>
      <c r="O445" s="1221"/>
      <c r="P445" s="1221"/>
      <c r="Q445" s="1221"/>
      <c r="R445" s="1221"/>
      <c r="S445" s="1221"/>
      <c r="T445" s="1221"/>
      <c r="U445" s="1221"/>
      <c r="V445" s="1221"/>
      <c r="W445" s="1221"/>
      <c r="X445" s="1221"/>
      <c r="Y445" s="1221"/>
      <c r="Z445" s="1221"/>
    </row>
    <row r="446" ht="15.75" customHeight="1">
      <c r="A446" s="1221"/>
      <c r="B446" s="1221"/>
      <c r="C446" s="1221"/>
      <c r="D446" s="1221"/>
      <c r="E446" s="1221"/>
      <c r="F446" s="1221"/>
      <c r="G446" s="1221"/>
      <c r="H446" s="1221"/>
      <c r="I446" s="1221"/>
      <c r="J446" s="1221"/>
      <c r="K446" s="1221"/>
      <c r="L446" s="1221"/>
      <c r="M446" s="1221"/>
      <c r="N446" s="1221"/>
      <c r="O446" s="1221"/>
      <c r="P446" s="1221"/>
      <c r="Q446" s="1221"/>
      <c r="R446" s="1221"/>
      <c r="S446" s="1221"/>
      <c r="T446" s="1221"/>
      <c r="U446" s="1221"/>
      <c r="V446" s="1221"/>
      <c r="W446" s="1221"/>
      <c r="X446" s="1221"/>
      <c r="Y446" s="1221"/>
      <c r="Z446" s="1221"/>
    </row>
    <row r="447" ht="15.75" customHeight="1">
      <c r="A447" s="1221"/>
      <c r="B447" s="1221"/>
      <c r="C447" s="1221"/>
      <c r="D447" s="1221"/>
      <c r="E447" s="1221"/>
      <c r="F447" s="1221"/>
      <c r="G447" s="1221"/>
      <c r="H447" s="1221"/>
      <c r="I447" s="1221"/>
      <c r="J447" s="1221"/>
      <c r="K447" s="1221"/>
      <c r="L447" s="1221"/>
      <c r="M447" s="1221"/>
      <c r="N447" s="1221"/>
      <c r="O447" s="1221"/>
      <c r="P447" s="1221"/>
      <c r="Q447" s="1221"/>
      <c r="R447" s="1221"/>
      <c r="S447" s="1221"/>
      <c r="T447" s="1221"/>
      <c r="U447" s="1221"/>
      <c r="V447" s="1221"/>
      <c r="W447" s="1221"/>
      <c r="X447" s="1221"/>
      <c r="Y447" s="1221"/>
      <c r="Z447" s="1221"/>
    </row>
    <row r="448" ht="15.75" customHeight="1">
      <c r="A448" s="1221"/>
      <c r="B448" s="1221"/>
      <c r="C448" s="1221"/>
      <c r="D448" s="1221"/>
      <c r="E448" s="1221"/>
      <c r="F448" s="1221"/>
      <c r="G448" s="1221"/>
      <c r="H448" s="1221"/>
      <c r="I448" s="1221"/>
      <c r="J448" s="1221"/>
      <c r="K448" s="1221"/>
      <c r="L448" s="1221"/>
      <c r="M448" s="1221"/>
      <c r="N448" s="1221"/>
      <c r="O448" s="1221"/>
      <c r="P448" s="1221"/>
      <c r="Q448" s="1221"/>
      <c r="R448" s="1221"/>
      <c r="S448" s="1221"/>
      <c r="T448" s="1221"/>
      <c r="U448" s="1221"/>
      <c r="V448" s="1221"/>
      <c r="W448" s="1221"/>
      <c r="X448" s="1221"/>
      <c r="Y448" s="1221"/>
      <c r="Z448" s="1221"/>
    </row>
    <row r="449" ht="15.75" customHeight="1">
      <c r="A449" s="1221"/>
      <c r="B449" s="1221"/>
      <c r="C449" s="1221"/>
      <c r="D449" s="1221"/>
      <c r="E449" s="1221"/>
      <c r="F449" s="1221"/>
      <c r="G449" s="1221"/>
      <c r="H449" s="1221"/>
      <c r="I449" s="1221"/>
      <c r="J449" s="1221"/>
      <c r="K449" s="1221"/>
      <c r="L449" s="1221"/>
      <c r="M449" s="1221"/>
      <c r="N449" s="1221"/>
      <c r="O449" s="1221"/>
      <c r="P449" s="1221"/>
      <c r="Q449" s="1221"/>
      <c r="R449" s="1221"/>
      <c r="S449" s="1221"/>
      <c r="T449" s="1221"/>
      <c r="U449" s="1221"/>
      <c r="V449" s="1221"/>
      <c r="W449" s="1221"/>
      <c r="X449" s="1221"/>
      <c r="Y449" s="1221"/>
      <c r="Z449" s="1221"/>
    </row>
    <row r="450" ht="15.75" customHeight="1">
      <c r="A450" s="1221"/>
      <c r="B450" s="1221"/>
      <c r="C450" s="1221"/>
      <c r="D450" s="1221"/>
      <c r="E450" s="1221"/>
      <c r="F450" s="1221"/>
      <c r="G450" s="1221"/>
      <c r="H450" s="1221"/>
      <c r="I450" s="1221"/>
      <c r="J450" s="1221"/>
      <c r="K450" s="1221"/>
      <c r="L450" s="1221"/>
      <c r="M450" s="1221"/>
      <c r="N450" s="1221"/>
      <c r="O450" s="1221"/>
      <c r="P450" s="1221"/>
      <c r="Q450" s="1221"/>
      <c r="R450" s="1221"/>
      <c r="S450" s="1221"/>
      <c r="T450" s="1221"/>
      <c r="U450" s="1221"/>
      <c r="V450" s="1221"/>
      <c r="W450" s="1221"/>
      <c r="X450" s="1221"/>
      <c r="Y450" s="1221"/>
      <c r="Z450" s="1221"/>
    </row>
    <row r="451" ht="15.75" customHeight="1">
      <c r="A451" s="1221"/>
      <c r="B451" s="1221"/>
      <c r="C451" s="1221"/>
      <c r="D451" s="1221"/>
      <c r="E451" s="1221"/>
      <c r="F451" s="1221"/>
      <c r="G451" s="1221"/>
      <c r="H451" s="1221"/>
      <c r="I451" s="1221"/>
      <c r="J451" s="1221"/>
      <c r="K451" s="1221"/>
      <c r="L451" s="1221"/>
      <c r="M451" s="1221"/>
      <c r="N451" s="1221"/>
      <c r="O451" s="1221"/>
      <c r="P451" s="1221"/>
      <c r="Q451" s="1221"/>
      <c r="R451" s="1221"/>
      <c r="S451" s="1221"/>
      <c r="T451" s="1221"/>
      <c r="U451" s="1221"/>
      <c r="V451" s="1221"/>
      <c r="W451" s="1221"/>
      <c r="X451" s="1221"/>
      <c r="Y451" s="1221"/>
      <c r="Z451" s="1221"/>
    </row>
    <row r="452" ht="15.75" customHeight="1">
      <c r="A452" s="1221"/>
      <c r="B452" s="1221"/>
      <c r="C452" s="1221"/>
      <c r="D452" s="1221"/>
      <c r="E452" s="1221"/>
      <c r="F452" s="1221"/>
      <c r="G452" s="1221"/>
      <c r="H452" s="1221"/>
      <c r="I452" s="1221"/>
      <c r="J452" s="1221"/>
      <c r="K452" s="1221"/>
      <c r="L452" s="1221"/>
      <c r="M452" s="1221"/>
      <c r="N452" s="1221"/>
      <c r="O452" s="1221"/>
      <c r="P452" s="1221"/>
      <c r="Q452" s="1221"/>
      <c r="R452" s="1221"/>
      <c r="S452" s="1221"/>
      <c r="T452" s="1221"/>
      <c r="U452" s="1221"/>
      <c r="V452" s="1221"/>
      <c r="W452" s="1221"/>
      <c r="X452" s="1221"/>
      <c r="Y452" s="1221"/>
      <c r="Z452" s="1221"/>
    </row>
    <row r="453" ht="15.75" customHeight="1">
      <c r="A453" s="1221"/>
      <c r="B453" s="1221"/>
      <c r="C453" s="1221"/>
      <c r="D453" s="1221"/>
      <c r="E453" s="1221"/>
      <c r="F453" s="1221"/>
      <c r="G453" s="1221"/>
      <c r="H453" s="1221"/>
      <c r="I453" s="1221"/>
      <c r="J453" s="1221"/>
      <c r="K453" s="1221"/>
      <c r="L453" s="1221"/>
      <c r="M453" s="1221"/>
      <c r="N453" s="1221"/>
      <c r="O453" s="1221"/>
      <c r="P453" s="1221"/>
      <c r="Q453" s="1221"/>
      <c r="R453" s="1221"/>
      <c r="S453" s="1221"/>
      <c r="T453" s="1221"/>
      <c r="U453" s="1221"/>
      <c r="V453" s="1221"/>
      <c r="W453" s="1221"/>
      <c r="X453" s="1221"/>
      <c r="Y453" s="1221"/>
      <c r="Z453" s="1221"/>
    </row>
    <row r="454" ht="15.75" customHeight="1">
      <c r="A454" s="1221"/>
      <c r="B454" s="1221"/>
      <c r="C454" s="1221"/>
      <c r="D454" s="1221"/>
      <c r="E454" s="1221"/>
      <c r="F454" s="1221"/>
      <c r="G454" s="1221"/>
      <c r="H454" s="1221"/>
      <c r="I454" s="1221"/>
      <c r="J454" s="1221"/>
      <c r="K454" s="1221"/>
      <c r="L454" s="1221"/>
      <c r="M454" s="1221"/>
      <c r="N454" s="1221"/>
      <c r="O454" s="1221"/>
      <c r="P454" s="1221"/>
      <c r="Q454" s="1221"/>
      <c r="R454" s="1221"/>
      <c r="S454" s="1221"/>
      <c r="T454" s="1221"/>
      <c r="U454" s="1221"/>
      <c r="V454" s="1221"/>
      <c r="W454" s="1221"/>
      <c r="X454" s="1221"/>
      <c r="Y454" s="1221"/>
      <c r="Z454" s="1221"/>
    </row>
    <row r="455" ht="15.75" customHeight="1">
      <c r="A455" s="1221"/>
      <c r="B455" s="1221"/>
      <c r="C455" s="1221"/>
      <c r="D455" s="1221"/>
      <c r="E455" s="1221"/>
      <c r="F455" s="1221"/>
      <c r="G455" s="1221"/>
      <c r="H455" s="1221"/>
      <c r="I455" s="1221"/>
      <c r="J455" s="1221"/>
      <c r="K455" s="1221"/>
      <c r="L455" s="1221"/>
      <c r="M455" s="1221"/>
      <c r="N455" s="1221"/>
      <c r="O455" s="1221"/>
      <c r="P455" s="1221"/>
      <c r="Q455" s="1221"/>
      <c r="R455" s="1221"/>
      <c r="S455" s="1221"/>
      <c r="T455" s="1221"/>
      <c r="U455" s="1221"/>
      <c r="V455" s="1221"/>
      <c r="W455" s="1221"/>
      <c r="X455" s="1221"/>
      <c r="Y455" s="1221"/>
      <c r="Z455" s="1221"/>
    </row>
    <row r="456" ht="15.75" customHeight="1">
      <c r="A456" s="1221"/>
      <c r="B456" s="1221"/>
      <c r="C456" s="1221"/>
      <c r="D456" s="1221"/>
      <c r="E456" s="1221"/>
      <c r="F456" s="1221"/>
      <c r="G456" s="1221"/>
      <c r="H456" s="1221"/>
      <c r="I456" s="1221"/>
      <c r="J456" s="1221"/>
      <c r="K456" s="1221"/>
      <c r="L456" s="1221"/>
      <c r="M456" s="1221"/>
      <c r="N456" s="1221"/>
      <c r="O456" s="1221"/>
      <c r="P456" s="1221"/>
      <c r="Q456" s="1221"/>
      <c r="R456" s="1221"/>
      <c r="S456" s="1221"/>
      <c r="T456" s="1221"/>
      <c r="U456" s="1221"/>
      <c r="V456" s="1221"/>
      <c r="W456" s="1221"/>
      <c r="X456" s="1221"/>
      <c r="Y456" s="1221"/>
      <c r="Z456" s="1221"/>
    </row>
    <row r="457" ht="15.75" customHeight="1">
      <c r="A457" s="1221"/>
      <c r="B457" s="1221"/>
      <c r="C457" s="1221"/>
      <c r="D457" s="1221"/>
      <c r="E457" s="1221"/>
      <c r="F457" s="1221"/>
      <c r="G457" s="1221"/>
      <c r="H457" s="1221"/>
      <c r="I457" s="1221"/>
      <c r="J457" s="1221"/>
      <c r="K457" s="1221"/>
      <c r="L457" s="1221"/>
      <c r="M457" s="1221"/>
      <c r="N457" s="1221"/>
      <c r="O457" s="1221"/>
      <c r="P457" s="1221"/>
      <c r="Q457" s="1221"/>
      <c r="R457" s="1221"/>
      <c r="S457" s="1221"/>
      <c r="T457" s="1221"/>
      <c r="U457" s="1221"/>
      <c r="V457" s="1221"/>
      <c r="W457" s="1221"/>
      <c r="X457" s="1221"/>
      <c r="Y457" s="1221"/>
      <c r="Z457" s="1221"/>
    </row>
    <row r="458" ht="15.75" customHeight="1">
      <c r="A458" s="1221"/>
      <c r="B458" s="1221"/>
      <c r="C458" s="1221"/>
      <c r="D458" s="1221"/>
      <c r="E458" s="1221"/>
      <c r="F458" s="1221"/>
      <c r="G458" s="1221"/>
      <c r="H458" s="1221"/>
      <c r="I458" s="1221"/>
      <c r="J458" s="1221"/>
      <c r="K458" s="1221"/>
      <c r="L458" s="1221"/>
      <c r="M458" s="1221"/>
      <c r="N458" s="1221"/>
      <c r="O458" s="1221"/>
      <c r="P458" s="1221"/>
      <c r="Q458" s="1221"/>
      <c r="R458" s="1221"/>
      <c r="S458" s="1221"/>
      <c r="T458" s="1221"/>
      <c r="U458" s="1221"/>
      <c r="V458" s="1221"/>
      <c r="W458" s="1221"/>
      <c r="X458" s="1221"/>
      <c r="Y458" s="1221"/>
      <c r="Z458" s="1221"/>
    </row>
    <row r="459" ht="15.75" customHeight="1">
      <c r="A459" s="1221"/>
      <c r="B459" s="1221"/>
      <c r="C459" s="1221"/>
      <c r="D459" s="1221"/>
      <c r="E459" s="1221"/>
      <c r="F459" s="1221"/>
      <c r="G459" s="1221"/>
      <c r="H459" s="1221"/>
      <c r="I459" s="1221"/>
      <c r="J459" s="1221"/>
      <c r="K459" s="1221"/>
      <c r="L459" s="1221"/>
      <c r="M459" s="1221"/>
      <c r="N459" s="1221"/>
      <c r="O459" s="1221"/>
      <c r="P459" s="1221"/>
      <c r="Q459" s="1221"/>
      <c r="R459" s="1221"/>
      <c r="S459" s="1221"/>
      <c r="T459" s="1221"/>
      <c r="U459" s="1221"/>
      <c r="V459" s="1221"/>
      <c r="W459" s="1221"/>
      <c r="X459" s="1221"/>
      <c r="Y459" s="1221"/>
      <c r="Z459" s="1221"/>
    </row>
    <row r="460" ht="15.75" customHeight="1">
      <c r="A460" s="1221"/>
      <c r="B460" s="1221"/>
      <c r="C460" s="1221"/>
      <c r="D460" s="1221"/>
      <c r="E460" s="1221"/>
      <c r="F460" s="1221"/>
      <c r="G460" s="1221"/>
      <c r="H460" s="1221"/>
      <c r="I460" s="1221"/>
      <c r="J460" s="1221"/>
      <c r="K460" s="1221"/>
      <c r="L460" s="1221"/>
      <c r="M460" s="1221"/>
      <c r="N460" s="1221"/>
      <c r="O460" s="1221"/>
      <c r="P460" s="1221"/>
      <c r="Q460" s="1221"/>
      <c r="R460" s="1221"/>
      <c r="S460" s="1221"/>
      <c r="T460" s="1221"/>
      <c r="U460" s="1221"/>
      <c r="V460" s="1221"/>
      <c r="W460" s="1221"/>
      <c r="X460" s="1221"/>
      <c r="Y460" s="1221"/>
      <c r="Z460" s="1221"/>
    </row>
    <row r="461" ht="15.75" customHeight="1">
      <c r="A461" s="1221"/>
      <c r="B461" s="1221"/>
      <c r="C461" s="1221"/>
      <c r="D461" s="1221"/>
      <c r="E461" s="1221"/>
      <c r="F461" s="1221"/>
      <c r="G461" s="1221"/>
      <c r="H461" s="1221"/>
      <c r="I461" s="1221"/>
      <c r="J461" s="1221"/>
      <c r="K461" s="1221"/>
      <c r="L461" s="1221"/>
      <c r="M461" s="1221"/>
      <c r="N461" s="1221"/>
      <c r="O461" s="1221"/>
      <c r="P461" s="1221"/>
      <c r="Q461" s="1221"/>
      <c r="R461" s="1221"/>
      <c r="S461" s="1221"/>
      <c r="T461" s="1221"/>
      <c r="U461" s="1221"/>
      <c r="V461" s="1221"/>
      <c r="W461" s="1221"/>
      <c r="X461" s="1221"/>
      <c r="Y461" s="1221"/>
      <c r="Z461" s="1221"/>
    </row>
    <row r="462" ht="15.75" customHeight="1">
      <c r="A462" s="1221"/>
      <c r="B462" s="1221"/>
      <c r="C462" s="1221"/>
      <c r="D462" s="1221"/>
      <c r="E462" s="1221"/>
      <c r="F462" s="1221"/>
      <c r="G462" s="1221"/>
      <c r="H462" s="1221"/>
      <c r="I462" s="1221"/>
      <c r="J462" s="1221"/>
      <c r="K462" s="1221"/>
      <c r="L462" s="1221"/>
      <c r="M462" s="1221"/>
      <c r="N462" s="1221"/>
      <c r="O462" s="1221"/>
      <c r="P462" s="1221"/>
      <c r="Q462" s="1221"/>
      <c r="R462" s="1221"/>
      <c r="S462" s="1221"/>
      <c r="T462" s="1221"/>
      <c r="U462" s="1221"/>
      <c r="V462" s="1221"/>
      <c r="W462" s="1221"/>
      <c r="X462" s="1221"/>
      <c r="Y462" s="1221"/>
      <c r="Z462" s="1221"/>
    </row>
    <row r="463" ht="15.75" customHeight="1">
      <c r="A463" s="1221"/>
      <c r="B463" s="1221"/>
      <c r="C463" s="1221"/>
      <c r="D463" s="1221"/>
      <c r="E463" s="1221"/>
      <c r="F463" s="1221"/>
      <c r="G463" s="1221"/>
      <c r="H463" s="1221"/>
      <c r="I463" s="1221"/>
      <c r="J463" s="1221"/>
      <c r="K463" s="1221"/>
      <c r="L463" s="1221"/>
      <c r="M463" s="1221"/>
      <c r="N463" s="1221"/>
      <c r="O463" s="1221"/>
      <c r="P463" s="1221"/>
      <c r="Q463" s="1221"/>
      <c r="R463" s="1221"/>
      <c r="S463" s="1221"/>
      <c r="T463" s="1221"/>
      <c r="U463" s="1221"/>
      <c r="V463" s="1221"/>
      <c r="W463" s="1221"/>
      <c r="X463" s="1221"/>
      <c r="Y463" s="1221"/>
      <c r="Z463" s="1221"/>
    </row>
    <row r="464" ht="15.75" customHeight="1">
      <c r="A464" s="1221"/>
      <c r="B464" s="1221"/>
      <c r="C464" s="1221"/>
      <c r="D464" s="1221"/>
      <c r="E464" s="1221"/>
      <c r="F464" s="1221"/>
      <c r="G464" s="1221"/>
      <c r="H464" s="1221"/>
      <c r="I464" s="1221"/>
      <c r="J464" s="1221"/>
      <c r="K464" s="1221"/>
      <c r="L464" s="1221"/>
      <c r="M464" s="1221"/>
      <c r="N464" s="1221"/>
      <c r="O464" s="1221"/>
      <c r="P464" s="1221"/>
      <c r="Q464" s="1221"/>
      <c r="R464" s="1221"/>
      <c r="S464" s="1221"/>
      <c r="T464" s="1221"/>
      <c r="U464" s="1221"/>
      <c r="V464" s="1221"/>
      <c r="W464" s="1221"/>
      <c r="X464" s="1221"/>
      <c r="Y464" s="1221"/>
      <c r="Z464" s="1221"/>
    </row>
    <row r="465" ht="15.75" customHeight="1">
      <c r="A465" s="1221"/>
      <c r="B465" s="1221"/>
      <c r="C465" s="1221"/>
      <c r="D465" s="1221"/>
      <c r="E465" s="1221"/>
      <c r="F465" s="1221"/>
      <c r="G465" s="1221"/>
      <c r="H465" s="1221"/>
      <c r="I465" s="1221"/>
      <c r="J465" s="1221"/>
      <c r="K465" s="1221"/>
      <c r="L465" s="1221"/>
      <c r="M465" s="1221"/>
      <c r="N465" s="1221"/>
      <c r="O465" s="1221"/>
      <c r="P465" s="1221"/>
      <c r="Q465" s="1221"/>
      <c r="R465" s="1221"/>
      <c r="S465" s="1221"/>
      <c r="T465" s="1221"/>
      <c r="U465" s="1221"/>
      <c r="V465" s="1221"/>
      <c r="W465" s="1221"/>
      <c r="X465" s="1221"/>
      <c r="Y465" s="1221"/>
      <c r="Z465" s="1221"/>
    </row>
    <row r="466" ht="15.75" customHeight="1">
      <c r="A466" s="1221"/>
      <c r="B466" s="1221"/>
      <c r="C466" s="1221"/>
      <c r="D466" s="1221"/>
      <c r="E466" s="1221"/>
      <c r="F466" s="1221"/>
      <c r="G466" s="1221"/>
      <c r="H466" s="1221"/>
      <c r="I466" s="1221"/>
      <c r="J466" s="1221"/>
      <c r="K466" s="1221"/>
      <c r="L466" s="1221"/>
      <c r="M466" s="1221"/>
      <c r="N466" s="1221"/>
      <c r="O466" s="1221"/>
      <c r="P466" s="1221"/>
      <c r="Q466" s="1221"/>
      <c r="R466" s="1221"/>
      <c r="S466" s="1221"/>
      <c r="T466" s="1221"/>
      <c r="U466" s="1221"/>
      <c r="V466" s="1221"/>
      <c r="W466" s="1221"/>
      <c r="X466" s="1221"/>
      <c r="Y466" s="1221"/>
      <c r="Z466" s="1221"/>
    </row>
    <row r="467" ht="15.75" customHeight="1">
      <c r="A467" s="1221"/>
      <c r="B467" s="1221"/>
      <c r="C467" s="1221"/>
      <c r="D467" s="1221"/>
      <c r="E467" s="1221"/>
      <c r="F467" s="1221"/>
      <c r="G467" s="1221"/>
      <c r="H467" s="1221"/>
      <c r="I467" s="1221"/>
      <c r="J467" s="1221"/>
      <c r="K467" s="1221"/>
      <c r="L467" s="1221"/>
      <c r="M467" s="1221"/>
      <c r="N467" s="1221"/>
      <c r="O467" s="1221"/>
      <c r="P467" s="1221"/>
      <c r="Q467" s="1221"/>
      <c r="R467" s="1221"/>
      <c r="S467" s="1221"/>
      <c r="T467" s="1221"/>
      <c r="U467" s="1221"/>
      <c r="V467" s="1221"/>
      <c r="W467" s="1221"/>
      <c r="X467" s="1221"/>
      <c r="Y467" s="1221"/>
      <c r="Z467" s="1221"/>
    </row>
    <row r="468" ht="15.75" customHeight="1">
      <c r="A468" s="1221"/>
      <c r="B468" s="1221"/>
      <c r="C468" s="1221"/>
      <c r="D468" s="1221"/>
      <c r="E468" s="1221"/>
      <c r="F468" s="1221"/>
      <c r="G468" s="1221"/>
      <c r="H468" s="1221"/>
      <c r="I468" s="1221"/>
      <c r="J468" s="1221"/>
      <c r="K468" s="1221"/>
      <c r="L468" s="1221"/>
      <c r="M468" s="1221"/>
      <c r="N468" s="1221"/>
      <c r="O468" s="1221"/>
      <c r="P468" s="1221"/>
      <c r="Q468" s="1221"/>
      <c r="R468" s="1221"/>
      <c r="S468" s="1221"/>
      <c r="T468" s="1221"/>
      <c r="U468" s="1221"/>
      <c r="V468" s="1221"/>
      <c r="W468" s="1221"/>
      <c r="X468" s="1221"/>
      <c r="Y468" s="1221"/>
      <c r="Z468" s="1221"/>
    </row>
    <row r="469" ht="15.75" customHeight="1">
      <c r="A469" s="1221"/>
      <c r="B469" s="1221"/>
      <c r="C469" s="1221"/>
      <c r="D469" s="1221"/>
      <c r="E469" s="1221"/>
      <c r="F469" s="1221"/>
      <c r="G469" s="1221"/>
      <c r="H469" s="1221"/>
      <c r="I469" s="1221"/>
      <c r="J469" s="1221"/>
      <c r="K469" s="1221"/>
      <c r="L469" s="1221"/>
      <c r="M469" s="1221"/>
      <c r="N469" s="1221"/>
      <c r="O469" s="1221"/>
      <c r="P469" s="1221"/>
      <c r="Q469" s="1221"/>
      <c r="R469" s="1221"/>
      <c r="S469" s="1221"/>
      <c r="T469" s="1221"/>
      <c r="U469" s="1221"/>
      <c r="V469" s="1221"/>
      <c r="W469" s="1221"/>
      <c r="X469" s="1221"/>
      <c r="Y469" s="1221"/>
      <c r="Z469" s="1221"/>
    </row>
    <row r="470" ht="15.75" customHeight="1">
      <c r="A470" s="1221"/>
      <c r="B470" s="1221"/>
      <c r="C470" s="1221"/>
      <c r="D470" s="1221"/>
      <c r="E470" s="1221"/>
      <c r="F470" s="1221"/>
      <c r="G470" s="1221"/>
      <c r="H470" s="1221"/>
      <c r="I470" s="1221"/>
      <c r="J470" s="1221"/>
      <c r="K470" s="1221"/>
      <c r="L470" s="1221"/>
      <c r="M470" s="1221"/>
      <c r="N470" s="1221"/>
      <c r="O470" s="1221"/>
      <c r="P470" s="1221"/>
      <c r="Q470" s="1221"/>
      <c r="R470" s="1221"/>
      <c r="S470" s="1221"/>
      <c r="T470" s="1221"/>
      <c r="U470" s="1221"/>
      <c r="V470" s="1221"/>
      <c r="W470" s="1221"/>
      <c r="X470" s="1221"/>
      <c r="Y470" s="1221"/>
      <c r="Z470" s="1221"/>
    </row>
    <row r="471" ht="15.75" customHeight="1">
      <c r="A471" s="1221"/>
      <c r="B471" s="1221"/>
      <c r="C471" s="1221"/>
      <c r="D471" s="1221"/>
      <c r="E471" s="1221"/>
      <c r="F471" s="1221"/>
      <c r="G471" s="1221"/>
      <c r="H471" s="1221"/>
      <c r="I471" s="1221"/>
      <c r="J471" s="1221"/>
      <c r="K471" s="1221"/>
      <c r="L471" s="1221"/>
      <c r="M471" s="1221"/>
      <c r="N471" s="1221"/>
      <c r="O471" s="1221"/>
      <c r="P471" s="1221"/>
      <c r="Q471" s="1221"/>
      <c r="R471" s="1221"/>
      <c r="S471" s="1221"/>
      <c r="T471" s="1221"/>
      <c r="U471" s="1221"/>
      <c r="V471" s="1221"/>
      <c r="W471" s="1221"/>
      <c r="X471" s="1221"/>
      <c r="Y471" s="1221"/>
      <c r="Z471" s="1221"/>
    </row>
    <row r="472" ht="15.75" customHeight="1">
      <c r="A472" s="1221"/>
      <c r="B472" s="1221"/>
      <c r="C472" s="1221"/>
      <c r="D472" s="1221"/>
      <c r="E472" s="1221"/>
      <c r="F472" s="1221"/>
      <c r="G472" s="1221"/>
      <c r="H472" s="1221"/>
      <c r="I472" s="1221"/>
      <c r="J472" s="1221"/>
      <c r="K472" s="1221"/>
      <c r="L472" s="1221"/>
      <c r="M472" s="1221"/>
      <c r="N472" s="1221"/>
      <c r="O472" s="1221"/>
      <c r="P472" s="1221"/>
      <c r="Q472" s="1221"/>
      <c r="R472" s="1221"/>
      <c r="S472" s="1221"/>
      <c r="T472" s="1221"/>
      <c r="U472" s="1221"/>
      <c r="V472" s="1221"/>
      <c r="W472" s="1221"/>
      <c r="X472" s="1221"/>
      <c r="Y472" s="1221"/>
      <c r="Z472" s="1221"/>
    </row>
    <row r="473" ht="15.75" customHeight="1">
      <c r="A473" s="1221"/>
      <c r="B473" s="1221"/>
      <c r="C473" s="1221"/>
      <c r="D473" s="1221"/>
      <c r="E473" s="1221"/>
      <c r="F473" s="1221"/>
      <c r="G473" s="1221"/>
      <c r="H473" s="1221"/>
      <c r="I473" s="1221"/>
      <c r="J473" s="1221"/>
      <c r="K473" s="1221"/>
      <c r="L473" s="1221"/>
      <c r="M473" s="1221"/>
      <c r="N473" s="1221"/>
      <c r="O473" s="1221"/>
      <c r="P473" s="1221"/>
      <c r="Q473" s="1221"/>
      <c r="R473" s="1221"/>
      <c r="S473" s="1221"/>
      <c r="T473" s="1221"/>
      <c r="U473" s="1221"/>
      <c r="V473" s="1221"/>
      <c r="W473" s="1221"/>
      <c r="X473" s="1221"/>
      <c r="Y473" s="1221"/>
      <c r="Z473" s="1221"/>
    </row>
    <row r="474" ht="15.75" customHeight="1">
      <c r="A474" s="1221"/>
      <c r="B474" s="1221"/>
      <c r="C474" s="1221"/>
      <c r="D474" s="1221"/>
      <c r="E474" s="1221"/>
      <c r="F474" s="1221"/>
      <c r="G474" s="1221"/>
      <c r="H474" s="1221"/>
      <c r="I474" s="1221"/>
      <c r="J474" s="1221"/>
      <c r="K474" s="1221"/>
      <c r="L474" s="1221"/>
      <c r="M474" s="1221"/>
      <c r="N474" s="1221"/>
      <c r="O474" s="1221"/>
      <c r="P474" s="1221"/>
      <c r="Q474" s="1221"/>
      <c r="R474" s="1221"/>
      <c r="S474" s="1221"/>
      <c r="T474" s="1221"/>
      <c r="U474" s="1221"/>
      <c r="V474" s="1221"/>
      <c r="W474" s="1221"/>
      <c r="X474" s="1221"/>
      <c r="Y474" s="1221"/>
      <c r="Z474" s="1221"/>
    </row>
    <row r="475" ht="15.75" customHeight="1">
      <c r="A475" s="1221"/>
      <c r="B475" s="1221"/>
      <c r="C475" s="1221"/>
      <c r="D475" s="1221"/>
      <c r="E475" s="1221"/>
      <c r="F475" s="1221"/>
      <c r="G475" s="1221"/>
      <c r="H475" s="1221"/>
      <c r="I475" s="1221"/>
      <c r="J475" s="1221"/>
      <c r="K475" s="1221"/>
      <c r="L475" s="1221"/>
      <c r="M475" s="1221"/>
      <c r="N475" s="1221"/>
      <c r="O475" s="1221"/>
      <c r="P475" s="1221"/>
      <c r="Q475" s="1221"/>
      <c r="R475" s="1221"/>
      <c r="S475" s="1221"/>
      <c r="T475" s="1221"/>
      <c r="U475" s="1221"/>
      <c r="V475" s="1221"/>
      <c r="W475" s="1221"/>
      <c r="X475" s="1221"/>
      <c r="Y475" s="1221"/>
      <c r="Z475" s="1221"/>
    </row>
    <row r="476" ht="15.75" customHeight="1">
      <c r="A476" s="1221"/>
      <c r="B476" s="1221"/>
      <c r="C476" s="1221"/>
      <c r="D476" s="1221"/>
      <c r="E476" s="1221"/>
      <c r="F476" s="1221"/>
      <c r="G476" s="1221"/>
      <c r="H476" s="1221"/>
      <c r="I476" s="1221"/>
      <c r="J476" s="1221"/>
      <c r="K476" s="1221"/>
      <c r="L476" s="1221"/>
      <c r="M476" s="1221"/>
      <c r="N476" s="1221"/>
      <c r="O476" s="1221"/>
      <c r="P476" s="1221"/>
      <c r="Q476" s="1221"/>
      <c r="R476" s="1221"/>
      <c r="S476" s="1221"/>
      <c r="T476" s="1221"/>
      <c r="U476" s="1221"/>
      <c r="V476" s="1221"/>
      <c r="W476" s="1221"/>
      <c r="X476" s="1221"/>
      <c r="Y476" s="1221"/>
      <c r="Z476" s="1221"/>
    </row>
    <row r="477" ht="15.75" customHeight="1">
      <c r="A477" s="1221"/>
      <c r="B477" s="1221"/>
      <c r="C477" s="1221"/>
      <c r="D477" s="1221"/>
      <c r="E477" s="1221"/>
      <c r="F477" s="1221"/>
      <c r="G477" s="1221"/>
      <c r="H477" s="1221"/>
      <c r="I477" s="1221"/>
      <c r="J477" s="1221"/>
      <c r="K477" s="1221"/>
      <c r="L477" s="1221"/>
      <c r="M477" s="1221"/>
      <c r="N477" s="1221"/>
      <c r="O477" s="1221"/>
      <c r="P477" s="1221"/>
      <c r="Q477" s="1221"/>
      <c r="R477" s="1221"/>
      <c r="S477" s="1221"/>
      <c r="T477" s="1221"/>
      <c r="U477" s="1221"/>
      <c r="V477" s="1221"/>
      <c r="W477" s="1221"/>
      <c r="X477" s="1221"/>
      <c r="Y477" s="1221"/>
      <c r="Z477" s="1221"/>
    </row>
    <row r="478" ht="15.75" customHeight="1">
      <c r="A478" s="1221"/>
      <c r="B478" s="1221"/>
      <c r="C478" s="1221"/>
      <c r="D478" s="1221"/>
      <c r="E478" s="1221"/>
      <c r="F478" s="1221"/>
      <c r="G478" s="1221"/>
      <c r="H478" s="1221"/>
      <c r="I478" s="1221"/>
      <c r="J478" s="1221"/>
      <c r="K478" s="1221"/>
      <c r="L478" s="1221"/>
      <c r="M478" s="1221"/>
      <c r="N478" s="1221"/>
      <c r="O478" s="1221"/>
      <c r="P478" s="1221"/>
      <c r="Q478" s="1221"/>
      <c r="R478" s="1221"/>
      <c r="S478" s="1221"/>
      <c r="T478" s="1221"/>
      <c r="U478" s="1221"/>
      <c r="V478" s="1221"/>
      <c r="W478" s="1221"/>
      <c r="X478" s="1221"/>
      <c r="Y478" s="1221"/>
      <c r="Z478" s="1221"/>
    </row>
    <row r="479" ht="15.75" customHeight="1">
      <c r="A479" s="1221"/>
      <c r="B479" s="1221"/>
      <c r="C479" s="1221"/>
      <c r="D479" s="1221"/>
      <c r="E479" s="1221"/>
      <c r="F479" s="1221"/>
      <c r="G479" s="1221"/>
      <c r="H479" s="1221"/>
      <c r="I479" s="1221"/>
      <c r="J479" s="1221"/>
      <c r="K479" s="1221"/>
      <c r="L479" s="1221"/>
      <c r="M479" s="1221"/>
      <c r="N479" s="1221"/>
      <c r="O479" s="1221"/>
      <c r="P479" s="1221"/>
      <c r="Q479" s="1221"/>
      <c r="R479" s="1221"/>
      <c r="S479" s="1221"/>
      <c r="T479" s="1221"/>
      <c r="U479" s="1221"/>
      <c r="V479" s="1221"/>
      <c r="W479" s="1221"/>
      <c r="X479" s="1221"/>
      <c r="Y479" s="1221"/>
      <c r="Z479" s="1221"/>
    </row>
    <row r="480" ht="15.75" customHeight="1">
      <c r="A480" s="1221"/>
      <c r="B480" s="1221"/>
      <c r="C480" s="1221"/>
      <c r="D480" s="1221"/>
      <c r="E480" s="1221"/>
      <c r="F480" s="1221"/>
      <c r="G480" s="1221"/>
      <c r="H480" s="1221"/>
      <c r="I480" s="1221"/>
      <c r="J480" s="1221"/>
      <c r="K480" s="1221"/>
      <c r="L480" s="1221"/>
      <c r="M480" s="1221"/>
      <c r="N480" s="1221"/>
      <c r="O480" s="1221"/>
      <c r="P480" s="1221"/>
      <c r="Q480" s="1221"/>
      <c r="R480" s="1221"/>
      <c r="S480" s="1221"/>
      <c r="T480" s="1221"/>
      <c r="U480" s="1221"/>
      <c r="V480" s="1221"/>
      <c r="W480" s="1221"/>
      <c r="X480" s="1221"/>
      <c r="Y480" s="1221"/>
      <c r="Z480" s="1221"/>
    </row>
    <row r="481" ht="15.75" customHeight="1">
      <c r="A481" s="1221"/>
      <c r="B481" s="1221"/>
      <c r="C481" s="1221"/>
      <c r="D481" s="1221"/>
      <c r="E481" s="1221"/>
      <c r="F481" s="1221"/>
      <c r="G481" s="1221"/>
      <c r="H481" s="1221"/>
      <c r="I481" s="1221"/>
      <c r="J481" s="1221"/>
      <c r="K481" s="1221"/>
      <c r="L481" s="1221"/>
      <c r="M481" s="1221"/>
      <c r="N481" s="1221"/>
      <c r="O481" s="1221"/>
      <c r="P481" s="1221"/>
      <c r="Q481" s="1221"/>
      <c r="R481" s="1221"/>
      <c r="S481" s="1221"/>
      <c r="T481" s="1221"/>
      <c r="U481" s="1221"/>
      <c r="V481" s="1221"/>
      <c r="W481" s="1221"/>
      <c r="X481" s="1221"/>
      <c r="Y481" s="1221"/>
      <c r="Z481" s="1221"/>
    </row>
    <row r="482" ht="15.75" customHeight="1">
      <c r="A482" s="1221"/>
      <c r="B482" s="1221"/>
      <c r="C482" s="1221"/>
      <c r="D482" s="1221"/>
      <c r="E482" s="1221"/>
      <c r="F482" s="1221"/>
      <c r="G482" s="1221"/>
      <c r="H482" s="1221"/>
      <c r="I482" s="1221"/>
      <c r="J482" s="1221"/>
      <c r="K482" s="1221"/>
      <c r="L482" s="1221"/>
      <c r="M482" s="1221"/>
      <c r="N482" s="1221"/>
      <c r="O482" s="1221"/>
      <c r="P482" s="1221"/>
      <c r="Q482" s="1221"/>
      <c r="R482" s="1221"/>
      <c r="S482" s="1221"/>
      <c r="T482" s="1221"/>
      <c r="U482" s="1221"/>
      <c r="V482" s="1221"/>
      <c r="W482" s="1221"/>
      <c r="X482" s="1221"/>
      <c r="Y482" s="1221"/>
      <c r="Z482" s="1221"/>
    </row>
    <row r="483" ht="15.75" customHeight="1">
      <c r="A483" s="1221"/>
      <c r="B483" s="1221"/>
      <c r="C483" s="1221"/>
      <c r="D483" s="1221"/>
      <c r="E483" s="1221"/>
      <c r="F483" s="1221"/>
      <c r="G483" s="1221"/>
      <c r="H483" s="1221"/>
      <c r="I483" s="1221"/>
      <c r="J483" s="1221"/>
      <c r="K483" s="1221"/>
      <c r="L483" s="1221"/>
      <c r="M483" s="1221"/>
      <c r="N483" s="1221"/>
      <c r="O483" s="1221"/>
      <c r="P483" s="1221"/>
      <c r="Q483" s="1221"/>
      <c r="R483" s="1221"/>
      <c r="S483" s="1221"/>
      <c r="T483" s="1221"/>
      <c r="U483" s="1221"/>
      <c r="V483" s="1221"/>
      <c r="W483" s="1221"/>
      <c r="X483" s="1221"/>
      <c r="Y483" s="1221"/>
      <c r="Z483" s="1221"/>
    </row>
    <row r="484" ht="15.75" customHeight="1">
      <c r="A484" s="1221"/>
      <c r="B484" s="1221"/>
      <c r="C484" s="1221"/>
      <c r="D484" s="1221"/>
      <c r="E484" s="1221"/>
      <c r="F484" s="1221"/>
      <c r="G484" s="1221"/>
      <c r="H484" s="1221"/>
      <c r="I484" s="1221"/>
      <c r="J484" s="1221"/>
      <c r="K484" s="1221"/>
      <c r="L484" s="1221"/>
      <c r="M484" s="1221"/>
      <c r="N484" s="1221"/>
      <c r="O484" s="1221"/>
      <c r="P484" s="1221"/>
      <c r="Q484" s="1221"/>
      <c r="R484" s="1221"/>
      <c r="S484" s="1221"/>
      <c r="T484" s="1221"/>
      <c r="U484" s="1221"/>
      <c r="V484" s="1221"/>
      <c r="W484" s="1221"/>
      <c r="X484" s="1221"/>
      <c r="Y484" s="1221"/>
      <c r="Z484" s="1221"/>
    </row>
    <row r="485" ht="15.75" customHeight="1">
      <c r="A485" s="1221"/>
      <c r="B485" s="1221"/>
      <c r="C485" s="1221"/>
      <c r="D485" s="1221"/>
      <c r="E485" s="1221"/>
      <c r="F485" s="1221"/>
      <c r="G485" s="1221"/>
      <c r="H485" s="1221"/>
      <c r="I485" s="1221"/>
      <c r="J485" s="1221"/>
      <c r="K485" s="1221"/>
      <c r="L485" s="1221"/>
      <c r="M485" s="1221"/>
      <c r="N485" s="1221"/>
      <c r="O485" s="1221"/>
      <c r="P485" s="1221"/>
      <c r="Q485" s="1221"/>
      <c r="R485" s="1221"/>
      <c r="S485" s="1221"/>
      <c r="T485" s="1221"/>
      <c r="U485" s="1221"/>
      <c r="V485" s="1221"/>
      <c r="W485" s="1221"/>
      <c r="X485" s="1221"/>
      <c r="Y485" s="1221"/>
      <c r="Z485" s="1221"/>
    </row>
    <row r="486" ht="15.75" customHeight="1">
      <c r="A486" s="1221"/>
      <c r="B486" s="1221"/>
      <c r="C486" s="1221"/>
      <c r="D486" s="1221"/>
      <c r="E486" s="1221"/>
      <c r="F486" s="1221"/>
      <c r="G486" s="1221"/>
      <c r="H486" s="1221"/>
      <c r="I486" s="1221"/>
      <c r="J486" s="1221"/>
      <c r="K486" s="1221"/>
      <c r="L486" s="1221"/>
      <c r="M486" s="1221"/>
      <c r="N486" s="1221"/>
      <c r="O486" s="1221"/>
      <c r="P486" s="1221"/>
      <c r="Q486" s="1221"/>
      <c r="R486" s="1221"/>
      <c r="S486" s="1221"/>
      <c r="T486" s="1221"/>
      <c r="U486" s="1221"/>
      <c r="V486" s="1221"/>
      <c r="W486" s="1221"/>
      <c r="X486" s="1221"/>
      <c r="Y486" s="1221"/>
      <c r="Z486" s="1221"/>
    </row>
    <row r="487" ht="15.75" customHeight="1">
      <c r="A487" s="1221"/>
      <c r="B487" s="1221"/>
      <c r="C487" s="1221"/>
      <c r="D487" s="1221"/>
      <c r="E487" s="1221"/>
      <c r="F487" s="1221"/>
      <c r="G487" s="1221"/>
      <c r="H487" s="1221"/>
      <c r="I487" s="1221"/>
      <c r="J487" s="1221"/>
      <c r="K487" s="1221"/>
      <c r="L487" s="1221"/>
      <c r="M487" s="1221"/>
      <c r="N487" s="1221"/>
      <c r="O487" s="1221"/>
      <c r="P487" s="1221"/>
      <c r="Q487" s="1221"/>
      <c r="R487" s="1221"/>
      <c r="S487" s="1221"/>
      <c r="T487" s="1221"/>
      <c r="U487" s="1221"/>
      <c r="V487" s="1221"/>
      <c r="W487" s="1221"/>
      <c r="X487" s="1221"/>
      <c r="Y487" s="1221"/>
      <c r="Z487" s="1221"/>
    </row>
    <row r="488" ht="15.75" customHeight="1">
      <c r="A488" s="1221"/>
      <c r="B488" s="1221"/>
      <c r="C488" s="1221"/>
      <c r="D488" s="1221"/>
      <c r="E488" s="1221"/>
      <c r="F488" s="1221"/>
      <c r="G488" s="1221"/>
      <c r="H488" s="1221"/>
      <c r="I488" s="1221"/>
      <c r="J488" s="1221"/>
      <c r="K488" s="1221"/>
      <c r="L488" s="1221"/>
      <c r="M488" s="1221"/>
      <c r="N488" s="1221"/>
      <c r="O488" s="1221"/>
      <c r="P488" s="1221"/>
      <c r="Q488" s="1221"/>
      <c r="R488" s="1221"/>
      <c r="S488" s="1221"/>
      <c r="T488" s="1221"/>
      <c r="U488" s="1221"/>
      <c r="V488" s="1221"/>
      <c r="W488" s="1221"/>
      <c r="X488" s="1221"/>
      <c r="Y488" s="1221"/>
      <c r="Z488" s="1221"/>
    </row>
    <row r="489" ht="15.75" customHeight="1">
      <c r="A489" s="1221"/>
      <c r="B489" s="1221"/>
      <c r="C489" s="1221"/>
      <c r="D489" s="1221"/>
      <c r="E489" s="1221"/>
      <c r="F489" s="1221"/>
      <c r="G489" s="1221"/>
      <c r="H489" s="1221"/>
      <c r="I489" s="1221"/>
      <c r="J489" s="1221"/>
      <c r="K489" s="1221"/>
      <c r="L489" s="1221"/>
      <c r="M489" s="1221"/>
      <c r="N489" s="1221"/>
      <c r="O489" s="1221"/>
      <c r="P489" s="1221"/>
      <c r="Q489" s="1221"/>
      <c r="R489" s="1221"/>
      <c r="S489" s="1221"/>
      <c r="T489" s="1221"/>
      <c r="U489" s="1221"/>
      <c r="V489" s="1221"/>
      <c r="W489" s="1221"/>
      <c r="X489" s="1221"/>
      <c r="Y489" s="1221"/>
      <c r="Z489" s="1221"/>
    </row>
    <row r="490" ht="15.75" customHeight="1">
      <c r="A490" s="1221"/>
      <c r="B490" s="1221"/>
      <c r="C490" s="1221"/>
      <c r="D490" s="1221"/>
      <c r="E490" s="1221"/>
      <c r="F490" s="1221"/>
      <c r="G490" s="1221"/>
      <c r="H490" s="1221"/>
      <c r="I490" s="1221"/>
      <c r="J490" s="1221"/>
      <c r="K490" s="1221"/>
      <c r="L490" s="1221"/>
      <c r="M490" s="1221"/>
      <c r="N490" s="1221"/>
      <c r="O490" s="1221"/>
      <c r="P490" s="1221"/>
      <c r="Q490" s="1221"/>
      <c r="R490" s="1221"/>
      <c r="S490" s="1221"/>
      <c r="T490" s="1221"/>
      <c r="U490" s="1221"/>
      <c r="V490" s="1221"/>
      <c r="W490" s="1221"/>
      <c r="X490" s="1221"/>
      <c r="Y490" s="1221"/>
      <c r="Z490" s="1221"/>
    </row>
    <row r="491" ht="15.75" customHeight="1">
      <c r="A491" s="1221"/>
      <c r="B491" s="1221"/>
      <c r="C491" s="1221"/>
      <c r="D491" s="1221"/>
      <c r="E491" s="1221"/>
      <c r="F491" s="1221"/>
      <c r="G491" s="1221"/>
      <c r="H491" s="1221"/>
      <c r="I491" s="1221"/>
      <c r="J491" s="1221"/>
      <c r="K491" s="1221"/>
      <c r="L491" s="1221"/>
      <c r="M491" s="1221"/>
      <c r="N491" s="1221"/>
      <c r="O491" s="1221"/>
      <c r="P491" s="1221"/>
      <c r="Q491" s="1221"/>
      <c r="R491" s="1221"/>
      <c r="S491" s="1221"/>
      <c r="T491" s="1221"/>
      <c r="U491" s="1221"/>
      <c r="V491" s="1221"/>
      <c r="W491" s="1221"/>
      <c r="X491" s="1221"/>
      <c r="Y491" s="1221"/>
      <c r="Z491" s="1221"/>
    </row>
    <row r="492" ht="15.75" customHeight="1">
      <c r="A492" s="1221"/>
      <c r="B492" s="1221"/>
      <c r="C492" s="1221"/>
      <c r="D492" s="1221"/>
      <c r="E492" s="1221"/>
      <c r="F492" s="1221"/>
      <c r="G492" s="1221"/>
      <c r="H492" s="1221"/>
      <c r="I492" s="1221"/>
      <c r="J492" s="1221"/>
      <c r="K492" s="1221"/>
      <c r="L492" s="1221"/>
      <c r="M492" s="1221"/>
      <c r="N492" s="1221"/>
      <c r="O492" s="1221"/>
      <c r="P492" s="1221"/>
      <c r="Q492" s="1221"/>
      <c r="R492" s="1221"/>
      <c r="S492" s="1221"/>
      <c r="T492" s="1221"/>
      <c r="U492" s="1221"/>
      <c r="V492" s="1221"/>
      <c r="W492" s="1221"/>
      <c r="X492" s="1221"/>
      <c r="Y492" s="1221"/>
      <c r="Z492" s="1221"/>
    </row>
    <row r="493" ht="15.75" customHeight="1">
      <c r="A493" s="1221"/>
      <c r="B493" s="1221"/>
      <c r="C493" s="1221"/>
      <c r="D493" s="1221"/>
      <c r="E493" s="1221"/>
      <c r="F493" s="1221"/>
      <c r="G493" s="1221"/>
      <c r="H493" s="1221"/>
      <c r="I493" s="1221"/>
      <c r="J493" s="1221"/>
      <c r="K493" s="1221"/>
      <c r="L493" s="1221"/>
      <c r="M493" s="1221"/>
      <c r="N493" s="1221"/>
      <c r="O493" s="1221"/>
      <c r="P493" s="1221"/>
      <c r="Q493" s="1221"/>
      <c r="R493" s="1221"/>
      <c r="S493" s="1221"/>
      <c r="T493" s="1221"/>
      <c r="U493" s="1221"/>
      <c r="V493" s="1221"/>
      <c r="W493" s="1221"/>
      <c r="X493" s="1221"/>
      <c r="Y493" s="1221"/>
      <c r="Z493" s="1221"/>
    </row>
    <row r="494" ht="15.75" customHeight="1">
      <c r="A494" s="1221"/>
      <c r="B494" s="1221"/>
      <c r="C494" s="1221"/>
      <c r="D494" s="1221"/>
      <c r="E494" s="1221"/>
      <c r="F494" s="1221"/>
      <c r="G494" s="1221"/>
      <c r="H494" s="1221"/>
      <c r="I494" s="1221"/>
      <c r="J494" s="1221"/>
      <c r="K494" s="1221"/>
      <c r="L494" s="1221"/>
      <c r="M494" s="1221"/>
      <c r="N494" s="1221"/>
      <c r="O494" s="1221"/>
      <c r="P494" s="1221"/>
      <c r="Q494" s="1221"/>
      <c r="R494" s="1221"/>
      <c r="S494" s="1221"/>
      <c r="T494" s="1221"/>
      <c r="U494" s="1221"/>
      <c r="V494" s="1221"/>
      <c r="W494" s="1221"/>
      <c r="X494" s="1221"/>
      <c r="Y494" s="1221"/>
      <c r="Z494" s="1221"/>
    </row>
    <row r="495" ht="15.75" customHeight="1">
      <c r="A495" s="1221"/>
      <c r="B495" s="1221"/>
      <c r="C495" s="1221"/>
      <c r="D495" s="1221"/>
      <c r="E495" s="1221"/>
      <c r="F495" s="1221"/>
      <c r="G495" s="1221"/>
      <c r="H495" s="1221"/>
      <c r="I495" s="1221"/>
      <c r="J495" s="1221"/>
      <c r="K495" s="1221"/>
      <c r="L495" s="1221"/>
      <c r="M495" s="1221"/>
      <c r="N495" s="1221"/>
      <c r="O495" s="1221"/>
      <c r="P495" s="1221"/>
      <c r="Q495" s="1221"/>
      <c r="R495" s="1221"/>
      <c r="S495" s="1221"/>
      <c r="T495" s="1221"/>
      <c r="U495" s="1221"/>
      <c r="V495" s="1221"/>
      <c r="W495" s="1221"/>
      <c r="X495" s="1221"/>
      <c r="Y495" s="1221"/>
      <c r="Z495" s="1221"/>
    </row>
    <row r="496" ht="15.75" customHeight="1">
      <c r="A496" s="1221"/>
      <c r="B496" s="1221"/>
      <c r="C496" s="1221"/>
      <c r="D496" s="1221"/>
      <c r="E496" s="1221"/>
      <c r="F496" s="1221"/>
      <c r="G496" s="1221"/>
      <c r="H496" s="1221"/>
      <c r="I496" s="1221"/>
      <c r="J496" s="1221"/>
      <c r="K496" s="1221"/>
      <c r="L496" s="1221"/>
      <c r="M496" s="1221"/>
      <c r="N496" s="1221"/>
      <c r="O496" s="1221"/>
      <c r="P496" s="1221"/>
      <c r="Q496" s="1221"/>
      <c r="R496" s="1221"/>
      <c r="S496" s="1221"/>
      <c r="T496" s="1221"/>
      <c r="U496" s="1221"/>
      <c r="V496" s="1221"/>
      <c r="W496" s="1221"/>
      <c r="X496" s="1221"/>
      <c r="Y496" s="1221"/>
      <c r="Z496" s="1221"/>
    </row>
    <row r="497" ht="15.75" customHeight="1">
      <c r="A497" s="1221"/>
      <c r="B497" s="1221"/>
      <c r="C497" s="1221"/>
      <c r="D497" s="1221"/>
      <c r="E497" s="1221"/>
      <c r="F497" s="1221"/>
      <c r="G497" s="1221"/>
      <c r="H497" s="1221"/>
      <c r="I497" s="1221"/>
      <c r="J497" s="1221"/>
      <c r="K497" s="1221"/>
      <c r="L497" s="1221"/>
      <c r="M497" s="1221"/>
      <c r="N497" s="1221"/>
      <c r="O497" s="1221"/>
      <c r="P497" s="1221"/>
      <c r="Q497" s="1221"/>
      <c r="R497" s="1221"/>
      <c r="S497" s="1221"/>
      <c r="T497" s="1221"/>
      <c r="U497" s="1221"/>
      <c r="V497" s="1221"/>
      <c r="W497" s="1221"/>
      <c r="X497" s="1221"/>
      <c r="Y497" s="1221"/>
      <c r="Z497" s="1221"/>
    </row>
    <row r="498" ht="15.75" customHeight="1">
      <c r="A498" s="1221"/>
      <c r="B498" s="1221"/>
      <c r="C498" s="1221"/>
      <c r="D498" s="1221"/>
      <c r="E498" s="1221"/>
      <c r="F498" s="1221"/>
      <c r="G498" s="1221"/>
      <c r="H498" s="1221"/>
      <c r="I498" s="1221"/>
      <c r="J498" s="1221"/>
      <c r="K498" s="1221"/>
      <c r="L498" s="1221"/>
      <c r="M498" s="1221"/>
      <c r="N498" s="1221"/>
      <c r="O498" s="1221"/>
      <c r="P498" s="1221"/>
      <c r="Q498" s="1221"/>
      <c r="R498" s="1221"/>
      <c r="S498" s="1221"/>
      <c r="T498" s="1221"/>
      <c r="U498" s="1221"/>
      <c r="V498" s="1221"/>
      <c r="W498" s="1221"/>
      <c r="X498" s="1221"/>
      <c r="Y498" s="1221"/>
      <c r="Z498" s="1221"/>
    </row>
    <row r="499" ht="15.75" customHeight="1">
      <c r="A499" s="1221"/>
      <c r="B499" s="1221"/>
      <c r="C499" s="1221"/>
      <c r="D499" s="1221"/>
      <c r="E499" s="1221"/>
      <c r="F499" s="1221"/>
      <c r="G499" s="1221"/>
      <c r="H499" s="1221"/>
      <c r="I499" s="1221"/>
      <c r="J499" s="1221"/>
      <c r="K499" s="1221"/>
      <c r="L499" s="1221"/>
      <c r="M499" s="1221"/>
      <c r="N499" s="1221"/>
      <c r="O499" s="1221"/>
      <c r="P499" s="1221"/>
      <c r="Q499" s="1221"/>
      <c r="R499" s="1221"/>
      <c r="S499" s="1221"/>
      <c r="T499" s="1221"/>
      <c r="U499" s="1221"/>
      <c r="V499" s="1221"/>
      <c r="W499" s="1221"/>
      <c r="X499" s="1221"/>
      <c r="Y499" s="1221"/>
      <c r="Z499" s="1221"/>
    </row>
    <row r="500" ht="15.75" customHeight="1">
      <c r="A500" s="1221"/>
      <c r="B500" s="1221"/>
      <c r="C500" s="1221"/>
      <c r="D500" s="1221"/>
      <c r="E500" s="1221"/>
      <c r="F500" s="1221"/>
      <c r="G500" s="1221"/>
      <c r="H500" s="1221"/>
      <c r="I500" s="1221"/>
      <c r="J500" s="1221"/>
      <c r="K500" s="1221"/>
      <c r="L500" s="1221"/>
      <c r="M500" s="1221"/>
      <c r="N500" s="1221"/>
      <c r="O500" s="1221"/>
      <c r="P500" s="1221"/>
      <c r="Q500" s="1221"/>
      <c r="R500" s="1221"/>
      <c r="S500" s="1221"/>
      <c r="T500" s="1221"/>
      <c r="U500" s="1221"/>
      <c r="V500" s="1221"/>
      <c r="W500" s="1221"/>
      <c r="X500" s="1221"/>
      <c r="Y500" s="1221"/>
      <c r="Z500" s="1221"/>
    </row>
    <row r="501" ht="15.75" customHeight="1">
      <c r="A501" s="1221"/>
      <c r="B501" s="1221"/>
      <c r="C501" s="1221"/>
      <c r="D501" s="1221"/>
      <c r="E501" s="1221"/>
      <c r="F501" s="1221"/>
      <c r="G501" s="1221"/>
      <c r="H501" s="1221"/>
      <c r="I501" s="1221"/>
      <c r="J501" s="1221"/>
      <c r="K501" s="1221"/>
      <c r="L501" s="1221"/>
      <c r="M501" s="1221"/>
      <c r="N501" s="1221"/>
      <c r="O501" s="1221"/>
      <c r="P501" s="1221"/>
      <c r="Q501" s="1221"/>
      <c r="R501" s="1221"/>
      <c r="S501" s="1221"/>
      <c r="T501" s="1221"/>
      <c r="U501" s="1221"/>
      <c r="V501" s="1221"/>
      <c r="W501" s="1221"/>
      <c r="X501" s="1221"/>
      <c r="Y501" s="1221"/>
      <c r="Z501" s="1221"/>
    </row>
    <row r="502" ht="15.75" customHeight="1">
      <c r="A502" s="1221"/>
      <c r="B502" s="1221"/>
      <c r="C502" s="1221"/>
      <c r="D502" s="1221"/>
      <c r="E502" s="1221"/>
      <c r="F502" s="1221"/>
      <c r="G502" s="1221"/>
      <c r="H502" s="1221"/>
      <c r="I502" s="1221"/>
      <c r="J502" s="1221"/>
      <c r="K502" s="1221"/>
      <c r="L502" s="1221"/>
      <c r="M502" s="1221"/>
      <c r="N502" s="1221"/>
      <c r="O502" s="1221"/>
      <c r="P502" s="1221"/>
      <c r="Q502" s="1221"/>
      <c r="R502" s="1221"/>
      <c r="S502" s="1221"/>
      <c r="T502" s="1221"/>
      <c r="U502" s="1221"/>
      <c r="V502" s="1221"/>
      <c r="W502" s="1221"/>
      <c r="X502" s="1221"/>
      <c r="Y502" s="1221"/>
      <c r="Z502" s="1221"/>
    </row>
    <row r="503" ht="15.75" customHeight="1">
      <c r="A503" s="1221"/>
      <c r="B503" s="1221"/>
      <c r="C503" s="1221"/>
      <c r="D503" s="1221"/>
      <c r="E503" s="1221"/>
      <c r="F503" s="1221"/>
      <c r="G503" s="1221"/>
      <c r="H503" s="1221"/>
      <c r="I503" s="1221"/>
      <c r="J503" s="1221"/>
      <c r="K503" s="1221"/>
      <c r="L503" s="1221"/>
      <c r="M503" s="1221"/>
      <c r="N503" s="1221"/>
      <c r="O503" s="1221"/>
      <c r="P503" s="1221"/>
      <c r="Q503" s="1221"/>
      <c r="R503" s="1221"/>
      <c r="S503" s="1221"/>
      <c r="T503" s="1221"/>
      <c r="U503" s="1221"/>
      <c r="V503" s="1221"/>
      <c r="W503" s="1221"/>
      <c r="X503" s="1221"/>
      <c r="Y503" s="1221"/>
      <c r="Z503" s="1221"/>
    </row>
    <row r="504" ht="15.75" customHeight="1">
      <c r="A504" s="1221"/>
      <c r="B504" s="1221"/>
      <c r="C504" s="1221"/>
      <c r="D504" s="1221"/>
      <c r="E504" s="1221"/>
      <c r="F504" s="1221"/>
      <c r="G504" s="1221"/>
      <c r="H504" s="1221"/>
      <c r="I504" s="1221"/>
      <c r="J504" s="1221"/>
      <c r="K504" s="1221"/>
      <c r="L504" s="1221"/>
      <c r="M504" s="1221"/>
      <c r="N504" s="1221"/>
      <c r="O504" s="1221"/>
      <c r="P504" s="1221"/>
      <c r="Q504" s="1221"/>
      <c r="R504" s="1221"/>
      <c r="S504" s="1221"/>
      <c r="T504" s="1221"/>
      <c r="U504" s="1221"/>
      <c r="V504" s="1221"/>
      <c r="W504" s="1221"/>
      <c r="X504" s="1221"/>
      <c r="Y504" s="1221"/>
      <c r="Z504" s="1221"/>
    </row>
    <row r="505" ht="15.75" customHeight="1">
      <c r="A505" s="1221"/>
      <c r="B505" s="1221"/>
      <c r="C505" s="1221"/>
      <c r="D505" s="1221"/>
      <c r="E505" s="1221"/>
      <c r="F505" s="1221"/>
      <c r="G505" s="1221"/>
      <c r="H505" s="1221"/>
      <c r="I505" s="1221"/>
      <c r="J505" s="1221"/>
      <c r="K505" s="1221"/>
      <c r="L505" s="1221"/>
      <c r="M505" s="1221"/>
      <c r="N505" s="1221"/>
      <c r="O505" s="1221"/>
      <c r="P505" s="1221"/>
      <c r="Q505" s="1221"/>
      <c r="R505" s="1221"/>
      <c r="S505" s="1221"/>
      <c r="T505" s="1221"/>
      <c r="U505" s="1221"/>
      <c r="V505" s="1221"/>
      <c r="W505" s="1221"/>
      <c r="X505" s="1221"/>
      <c r="Y505" s="1221"/>
      <c r="Z505" s="1221"/>
    </row>
    <row r="506" ht="15.75" customHeight="1">
      <c r="A506" s="1221"/>
      <c r="B506" s="1221"/>
      <c r="C506" s="1221"/>
      <c r="D506" s="1221"/>
      <c r="E506" s="1221"/>
      <c r="F506" s="1221"/>
      <c r="G506" s="1221"/>
      <c r="H506" s="1221"/>
      <c r="I506" s="1221"/>
      <c r="J506" s="1221"/>
      <c r="K506" s="1221"/>
      <c r="L506" s="1221"/>
      <c r="M506" s="1221"/>
      <c r="N506" s="1221"/>
      <c r="O506" s="1221"/>
      <c r="P506" s="1221"/>
      <c r="Q506" s="1221"/>
      <c r="R506" s="1221"/>
      <c r="S506" s="1221"/>
      <c r="T506" s="1221"/>
      <c r="U506" s="1221"/>
      <c r="V506" s="1221"/>
      <c r="W506" s="1221"/>
      <c r="X506" s="1221"/>
      <c r="Y506" s="1221"/>
      <c r="Z506" s="1221"/>
    </row>
    <row r="507" ht="15.75" customHeight="1">
      <c r="A507" s="1221"/>
      <c r="B507" s="1221"/>
      <c r="C507" s="1221"/>
      <c r="D507" s="1221"/>
      <c r="E507" s="1221"/>
      <c r="F507" s="1221"/>
      <c r="G507" s="1221"/>
      <c r="H507" s="1221"/>
      <c r="I507" s="1221"/>
      <c r="J507" s="1221"/>
      <c r="K507" s="1221"/>
      <c r="L507" s="1221"/>
      <c r="M507" s="1221"/>
      <c r="N507" s="1221"/>
      <c r="O507" s="1221"/>
      <c r="P507" s="1221"/>
      <c r="Q507" s="1221"/>
      <c r="R507" s="1221"/>
      <c r="S507" s="1221"/>
      <c r="T507" s="1221"/>
      <c r="U507" s="1221"/>
      <c r="V507" s="1221"/>
      <c r="W507" s="1221"/>
      <c r="X507" s="1221"/>
      <c r="Y507" s="1221"/>
      <c r="Z507" s="1221"/>
    </row>
    <row r="508" ht="15.75" customHeight="1">
      <c r="A508" s="1221"/>
      <c r="B508" s="1221"/>
      <c r="C508" s="1221"/>
      <c r="D508" s="1221"/>
      <c r="E508" s="1221"/>
      <c r="F508" s="1221"/>
      <c r="G508" s="1221"/>
      <c r="H508" s="1221"/>
      <c r="I508" s="1221"/>
      <c r="J508" s="1221"/>
      <c r="K508" s="1221"/>
      <c r="L508" s="1221"/>
      <c r="M508" s="1221"/>
      <c r="N508" s="1221"/>
      <c r="O508" s="1221"/>
      <c r="P508" s="1221"/>
      <c r="Q508" s="1221"/>
      <c r="R508" s="1221"/>
      <c r="S508" s="1221"/>
      <c r="T508" s="1221"/>
      <c r="U508" s="1221"/>
      <c r="V508" s="1221"/>
      <c r="W508" s="1221"/>
      <c r="X508" s="1221"/>
      <c r="Y508" s="1221"/>
      <c r="Z508" s="1221"/>
    </row>
    <row r="509" ht="15.75" customHeight="1">
      <c r="A509" s="1221"/>
      <c r="B509" s="1221"/>
      <c r="C509" s="1221"/>
      <c r="D509" s="1221"/>
      <c r="E509" s="1221"/>
      <c r="F509" s="1221"/>
      <c r="G509" s="1221"/>
      <c r="H509" s="1221"/>
      <c r="I509" s="1221"/>
      <c r="J509" s="1221"/>
      <c r="K509" s="1221"/>
      <c r="L509" s="1221"/>
      <c r="M509" s="1221"/>
      <c r="N509" s="1221"/>
      <c r="O509" s="1221"/>
      <c r="P509" s="1221"/>
      <c r="Q509" s="1221"/>
      <c r="R509" s="1221"/>
      <c r="S509" s="1221"/>
      <c r="T509" s="1221"/>
      <c r="U509" s="1221"/>
      <c r="V509" s="1221"/>
      <c r="W509" s="1221"/>
      <c r="X509" s="1221"/>
      <c r="Y509" s="1221"/>
      <c r="Z509" s="1221"/>
    </row>
    <row r="510" ht="15.75" customHeight="1">
      <c r="A510" s="1221"/>
      <c r="B510" s="1221"/>
      <c r="C510" s="1221"/>
      <c r="D510" s="1221"/>
      <c r="E510" s="1221"/>
      <c r="F510" s="1221"/>
      <c r="G510" s="1221"/>
      <c r="H510" s="1221"/>
      <c r="I510" s="1221"/>
      <c r="J510" s="1221"/>
      <c r="K510" s="1221"/>
      <c r="L510" s="1221"/>
      <c r="M510" s="1221"/>
      <c r="N510" s="1221"/>
      <c r="O510" s="1221"/>
      <c r="P510" s="1221"/>
      <c r="Q510" s="1221"/>
      <c r="R510" s="1221"/>
      <c r="S510" s="1221"/>
      <c r="T510" s="1221"/>
      <c r="U510" s="1221"/>
      <c r="V510" s="1221"/>
      <c r="W510" s="1221"/>
      <c r="X510" s="1221"/>
      <c r="Y510" s="1221"/>
      <c r="Z510" s="1221"/>
    </row>
    <row r="511" ht="15.75" customHeight="1">
      <c r="A511" s="1221"/>
      <c r="B511" s="1221"/>
      <c r="C511" s="1221"/>
      <c r="D511" s="1221"/>
      <c r="E511" s="1221"/>
      <c r="F511" s="1221"/>
      <c r="G511" s="1221"/>
      <c r="H511" s="1221"/>
      <c r="I511" s="1221"/>
      <c r="J511" s="1221"/>
      <c r="K511" s="1221"/>
      <c r="L511" s="1221"/>
      <c r="M511" s="1221"/>
      <c r="N511" s="1221"/>
      <c r="O511" s="1221"/>
      <c r="P511" s="1221"/>
      <c r="Q511" s="1221"/>
      <c r="R511" s="1221"/>
      <c r="S511" s="1221"/>
      <c r="T511" s="1221"/>
      <c r="U511" s="1221"/>
      <c r="V511" s="1221"/>
      <c r="W511" s="1221"/>
      <c r="X511" s="1221"/>
      <c r="Y511" s="1221"/>
      <c r="Z511" s="1221"/>
    </row>
    <row r="512" ht="15.75" customHeight="1">
      <c r="A512" s="1221"/>
      <c r="B512" s="1221"/>
      <c r="C512" s="1221"/>
      <c r="D512" s="1221"/>
      <c r="E512" s="1221"/>
      <c r="F512" s="1221"/>
      <c r="G512" s="1221"/>
      <c r="H512" s="1221"/>
      <c r="I512" s="1221"/>
      <c r="J512" s="1221"/>
      <c r="K512" s="1221"/>
      <c r="L512" s="1221"/>
      <c r="M512" s="1221"/>
      <c r="N512" s="1221"/>
      <c r="O512" s="1221"/>
      <c r="P512" s="1221"/>
      <c r="Q512" s="1221"/>
      <c r="R512" s="1221"/>
      <c r="S512" s="1221"/>
      <c r="T512" s="1221"/>
      <c r="U512" s="1221"/>
      <c r="V512" s="1221"/>
      <c r="W512" s="1221"/>
      <c r="X512" s="1221"/>
      <c r="Y512" s="1221"/>
      <c r="Z512" s="1221"/>
    </row>
    <row r="513" ht="15.75" customHeight="1">
      <c r="A513" s="1221"/>
      <c r="B513" s="1221"/>
      <c r="C513" s="1221"/>
      <c r="D513" s="1221"/>
      <c r="E513" s="1221"/>
      <c r="F513" s="1221"/>
      <c r="G513" s="1221"/>
      <c r="H513" s="1221"/>
      <c r="I513" s="1221"/>
      <c r="J513" s="1221"/>
      <c r="K513" s="1221"/>
      <c r="L513" s="1221"/>
      <c r="M513" s="1221"/>
      <c r="N513" s="1221"/>
      <c r="O513" s="1221"/>
      <c r="P513" s="1221"/>
      <c r="Q513" s="1221"/>
      <c r="R513" s="1221"/>
      <c r="S513" s="1221"/>
      <c r="T513" s="1221"/>
      <c r="U513" s="1221"/>
      <c r="V513" s="1221"/>
      <c r="W513" s="1221"/>
      <c r="X513" s="1221"/>
      <c r="Y513" s="1221"/>
      <c r="Z513" s="1221"/>
    </row>
    <row r="514" ht="15.75" customHeight="1">
      <c r="A514" s="1221"/>
      <c r="B514" s="1221"/>
      <c r="C514" s="1221"/>
      <c r="D514" s="1221"/>
      <c r="E514" s="1221"/>
      <c r="F514" s="1221"/>
      <c r="G514" s="1221"/>
      <c r="H514" s="1221"/>
      <c r="I514" s="1221"/>
      <c r="J514" s="1221"/>
      <c r="K514" s="1221"/>
      <c r="L514" s="1221"/>
      <c r="M514" s="1221"/>
      <c r="N514" s="1221"/>
      <c r="O514" s="1221"/>
      <c r="P514" s="1221"/>
      <c r="Q514" s="1221"/>
      <c r="R514" s="1221"/>
      <c r="S514" s="1221"/>
      <c r="T514" s="1221"/>
      <c r="U514" s="1221"/>
      <c r="V514" s="1221"/>
      <c r="W514" s="1221"/>
      <c r="X514" s="1221"/>
      <c r="Y514" s="1221"/>
      <c r="Z514" s="1221"/>
    </row>
    <row r="515" ht="15.75" customHeight="1">
      <c r="A515" s="1221"/>
      <c r="B515" s="1221"/>
      <c r="C515" s="1221"/>
      <c r="D515" s="1221"/>
      <c r="E515" s="1221"/>
      <c r="F515" s="1221"/>
      <c r="G515" s="1221"/>
      <c r="H515" s="1221"/>
      <c r="I515" s="1221"/>
      <c r="J515" s="1221"/>
      <c r="K515" s="1221"/>
      <c r="L515" s="1221"/>
      <c r="M515" s="1221"/>
      <c r="N515" s="1221"/>
      <c r="O515" s="1221"/>
      <c r="P515" s="1221"/>
      <c r="Q515" s="1221"/>
      <c r="R515" s="1221"/>
      <c r="S515" s="1221"/>
      <c r="T515" s="1221"/>
      <c r="U515" s="1221"/>
      <c r="V515" s="1221"/>
      <c r="W515" s="1221"/>
      <c r="X515" s="1221"/>
      <c r="Y515" s="1221"/>
      <c r="Z515" s="1221"/>
    </row>
    <row r="516" ht="15.75" customHeight="1">
      <c r="A516" s="1221"/>
      <c r="B516" s="1221"/>
      <c r="C516" s="1221"/>
      <c r="D516" s="1221"/>
      <c r="E516" s="1221"/>
      <c r="F516" s="1221"/>
      <c r="G516" s="1221"/>
      <c r="H516" s="1221"/>
      <c r="I516" s="1221"/>
      <c r="J516" s="1221"/>
      <c r="K516" s="1221"/>
      <c r="L516" s="1221"/>
      <c r="M516" s="1221"/>
      <c r="N516" s="1221"/>
      <c r="O516" s="1221"/>
      <c r="P516" s="1221"/>
      <c r="Q516" s="1221"/>
      <c r="R516" s="1221"/>
      <c r="S516" s="1221"/>
      <c r="T516" s="1221"/>
      <c r="U516" s="1221"/>
      <c r="V516" s="1221"/>
      <c r="W516" s="1221"/>
      <c r="X516" s="1221"/>
      <c r="Y516" s="1221"/>
      <c r="Z516" s="1221"/>
    </row>
    <row r="517" ht="15.75" customHeight="1">
      <c r="A517" s="1221"/>
      <c r="B517" s="1221"/>
      <c r="C517" s="1221"/>
      <c r="D517" s="1221"/>
      <c r="E517" s="1221"/>
      <c r="F517" s="1221"/>
      <c r="G517" s="1221"/>
      <c r="H517" s="1221"/>
      <c r="I517" s="1221"/>
      <c r="J517" s="1221"/>
      <c r="K517" s="1221"/>
      <c r="L517" s="1221"/>
      <c r="M517" s="1221"/>
      <c r="N517" s="1221"/>
      <c r="O517" s="1221"/>
      <c r="P517" s="1221"/>
      <c r="Q517" s="1221"/>
      <c r="R517" s="1221"/>
      <c r="S517" s="1221"/>
      <c r="T517" s="1221"/>
      <c r="U517" s="1221"/>
      <c r="V517" s="1221"/>
      <c r="W517" s="1221"/>
      <c r="X517" s="1221"/>
      <c r="Y517" s="1221"/>
      <c r="Z517" s="1221"/>
    </row>
    <row r="518" ht="15.75" customHeight="1">
      <c r="A518" s="1221"/>
      <c r="B518" s="1221"/>
      <c r="C518" s="1221"/>
      <c r="D518" s="1221"/>
      <c r="E518" s="1221"/>
      <c r="F518" s="1221"/>
      <c r="G518" s="1221"/>
      <c r="H518" s="1221"/>
      <c r="I518" s="1221"/>
      <c r="J518" s="1221"/>
      <c r="K518" s="1221"/>
      <c r="L518" s="1221"/>
      <c r="M518" s="1221"/>
      <c r="N518" s="1221"/>
      <c r="O518" s="1221"/>
      <c r="P518" s="1221"/>
      <c r="Q518" s="1221"/>
      <c r="R518" s="1221"/>
      <c r="S518" s="1221"/>
      <c r="T518" s="1221"/>
      <c r="U518" s="1221"/>
      <c r="V518" s="1221"/>
      <c r="W518" s="1221"/>
      <c r="X518" s="1221"/>
      <c r="Y518" s="1221"/>
      <c r="Z518" s="1221"/>
    </row>
    <row r="519" ht="15.75" customHeight="1">
      <c r="A519" s="1221"/>
      <c r="B519" s="1221"/>
      <c r="C519" s="1221"/>
      <c r="D519" s="1221"/>
      <c r="E519" s="1221"/>
      <c r="F519" s="1221"/>
      <c r="G519" s="1221"/>
      <c r="H519" s="1221"/>
      <c r="I519" s="1221"/>
      <c r="J519" s="1221"/>
      <c r="K519" s="1221"/>
      <c r="L519" s="1221"/>
      <c r="M519" s="1221"/>
      <c r="N519" s="1221"/>
      <c r="O519" s="1221"/>
      <c r="P519" s="1221"/>
      <c r="Q519" s="1221"/>
      <c r="R519" s="1221"/>
      <c r="S519" s="1221"/>
      <c r="T519" s="1221"/>
      <c r="U519" s="1221"/>
      <c r="V519" s="1221"/>
      <c r="W519" s="1221"/>
      <c r="X519" s="1221"/>
      <c r="Y519" s="1221"/>
      <c r="Z519" s="1221"/>
    </row>
    <row r="520" ht="15.75" customHeight="1">
      <c r="A520" s="1221"/>
      <c r="B520" s="1221"/>
      <c r="C520" s="1221"/>
      <c r="D520" s="1221"/>
      <c r="E520" s="1221"/>
      <c r="F520" s="1221"/>
      <c r="G520" s="1221"/>
      <c r="H520" s="1221"/>
      <c r="I520" s="1221"/>
      <c r="J520" s="1221"/>
      <c r="K520" s="1221"/>
      <c r="L520" s="1221"/>
      <c r="M520" s="1221"/>
      <c r="N520" s="1221"/>
      <c r="O520" s="1221"/>
      <c r="P520" s="1221"/>
      <c r="Q520" s="1221"/>
      <c r="R520" s="1221"/>
      <c r="S520" s="1221"/>
      <c r="T520" s="1221"/>
      <c r="U520" s="1221"/>
      <c r="V520" s="1221"/>
      <c r="W520" s="1221"/>
      <c r="X520" s="1221"/>
      <c r="Y520" s="1221"/>
      <c r="Z520" s="1221"/>
    </row>
    <row r="521" ht="15.75" customHeight="1">
      <c r="A521" s="1221"/>
      <c r="B521" s="1221"/>
      <c r="C521" s="1221"/>
      <c r="D521" s="1221"/>
      <c r="E521" s="1221"/>
      <c r="F521" s="1221"/>
      <c r="G521" s="1221"/>
      <c r="H521" s="1221"/>
      <c r="I521" s="1221"/>
      <c r="J521" s="1221"/>
      <c r="K521" s="1221"/>
      <c r="L521" s="1221"/>
      <c r="M521" s="1221"/>
      <c r="N521" s="1221"/>
      <c r="O521" s="1221"/>
      <c r="P521" s="1221"/>
      <c r="Q521" s="1221"/>
      <c r="R521" s="1221"/>
      <c r="S521" s="1221"/>
      <c r="T521" s="1221"/>
      <c r="U521" s="1221"/>
      <c r="V521" s="1221"/>
      <c r="W521" s="1221"/>
      <c r="X521" s="1221"/>
      <c r="Y521" s="1221"/>
      <c r="Z521" s="1221"/>
    </row>
    <row r="522" ht="15.75" customHeight="1">
      <c r="A522" s="1221"/>
      <c r="B522" s="1221"/>
      <c r="C522" s="1221"/>
      <c r="D522" s="1221"/>
      <c r="E522" s="1221"/>
      <c r="F522" s="1221"/>
      <c r="G522" s="1221"/>
      <c r="H522" s="1221"/>
      <c r="I522" s="1221"/>
      <c r="J522" s="1221"/>
      <c r="K522" s="1221"/>
      <c r="L522" s="1221"/>
      <c r="M522" s="1221"/>
      <c r="N522" s="1221"/>
      <c r="O522" s="1221"/>
      <c r="P522" s="1221"/>
      <c r="Q522" s="1221"/>
      <c r="R522" s="1221"/>
      <c r="S522" s="1221"/>
      <c r="T522" s="1221"/>
      <c r="U522" s="1221"/>
      <c r="V522" s="1221"/>
      <c r="W522" s="1221"/>
      <c r="X522" s="1221"/>
      <c r="Y522" s="1221"/>
      <c r="Z522" s="1221"/>
    </row>
    <row r="523" ht="15.75" customHeight="1">
      <c r="A523" s="1221"/>
      <c r="B523" s="1221"/>
      <c r="C523" s="1221"/>
      <c r="D523" s="1221"/>
      <c r="E523" s="1221"/>
      <c r="F523" s="1221"/>
      <c r="G523" s="1221"/>
      <c r="H523" s="1221"/>
      <c r="I523" s="1221"/>
      <c r="J523" s="1221"/>
      <c r="K523" s="1221"/>
      <c r="L523" s="1221"/>
      <c r="M523" s="1221"/>
      <c r="N523" s="1221"/>
      <c r="O523" s="1221"/>
      <c r="P523" s="1221"/>
      <c r="Q523" s="1221"/>
      <c r="R523" s="1221"/>
      <c r="S523" s="1221"/>
      <c r="T523" s="1221"/>
      <c r="U523" s="1221"/>
      <c r="V523" s="1221"/>
      <c r="W523" s="1221"/>
      <c r="X523" s="1221"/>
      <c r="Y523" s="1221"/>
      <c r="Z523" s="1221"/>
    </row>
    <row r="524" ht="15.75" customHeight="1">
      <c r="A524" s="1221"/>
      <c r="B524" s="1221"/>
      <c r="C524" s="1221"/>
      <c r="D524" s="1221"/>
      <c r="E524" s="1221"/>
      <c r="F524" s="1221"/>
      <c r="G524" s="1221"/>
      <c r="H524" s="1221"/>
      <c r="I524" s="1221"/>
      <c r="J524" s="1221"/>
      <c r="K524" s="1221"/>
      <c r="L524" s="1221"/>
      <c r="M524" s="1221"/>
      <c r="N524" s="1221"/>
      <c r="O524" s="1221"/>
      <c r="P524" s="1221"/>
      <c r="Q524" s="1221"/>
      <c r="R524" s="1221"/>
      <c r="S524" s="1221"/>
      <c r="T524" s="1221"/>
      <c r="U524" s="1221"/>
      <c r="V524" s="1221"/>
      <c r="W524" s="1221"/>
      <c r="X524" s="1221"/>
      <c r="Y524" s="1221"/>
      <c r="Z524" s="1221"/>
    </row>
    <row r="525" ht="15.75" customHeight="1">
      <c r="A525" s="1221"/>
      <c r="B525" s="1221"/>
      <c r="C525" s="1221"/>
      <c r="D525" s="1221"/>
      <c r="E525" s="1221"/>
      <c r="F525" s="1221"/>
      <c r="G525" s="1221"/>
      <c r="H525" s="1221"/>
      <c r="I525" s="1221"/>
      <c r="J525" s="1221"/>
      <c r="K525" s="1221"/>
      <c r="L525" s="1221"/>
      <c r="M525" s="1221"/>
      <c r="N525" s="1221"/>
      <c r="O525" s="1221"/>
      <c r="P525" s="1221"/>
      <c r="Q525" s="1221"/>
      <c r="R525" s="1221"/>
      <c r="S525" s="1221"/>
      <c r="T525" s="1221"/>
      <c r="U525" s="1221"/>
      <c r="V525" s="1221"/>
      <c r="W525" s="1221"/>
      <c r="X525" s="1221"/>
      <c r="Y525" s="1221"/>
      <c r="Z525" s="1221"/>
    </row>
    <row r="526" ht="15.75" customHeight="1">
      <c r="A526" s="1221"/>
      <c r="B526" s="1221"/>
      <c r="C526" s="1221"/>
      <c r="D526" s="1221"/>
      <c r="E526" s="1221"/>
      <c r="F526" s="1221"/>
      <c r="G526" s="1221"/>
      <c r="H526" s="1221"/>
      <c r="I526" s="1221"/>
      <c r="J526" s="1221"/>
      <c r="K526" s="1221"/>
      <c r="L526" s="1221"/>
      <c r="M526" s="1221"/>
      <c r="N526" s="1221"/>
      <c r="O526" s="1221"/>
      <c r="P526" s="1221"/>
      <c r="Q526" s="1221"/>
      <c r="R526" s="1221"/>
      <c r="S526" s="1221"/>
      <c r="T526" s="1221"/>
      <c r="U526" s="1221"/>
      <c r="V526" s="1221"/>
      <c r="W526" s="1221"/>
      <c r="X526" s="1221"/>
      <c r="Y526" s="1221"/>
      <c r="Z526" s="1221"/>
    </row>
    <row r="527" ht="15.75" customHeight="1">
      <c r="A527" s="1221"/>
      <c r="B527" s="1221"/>
      <c r="C527" s="1221"/>
      <c r="D527" s="1221"/>
      <c r="E527" s="1221"/>
      <c r="F527" s="1221"/>
      <c r="G527" s="1221"/>
      <c r="H527" s="1221"/>
      <c r="I527" s="1221"/>
      <c r="J527" s="1221"/>
      <c r="K527" s="1221"/>
      <c r="L527" s="1221"/>
      <c r="M527" s="1221"/>
      <c r="N527" s="1221"/>
      <c r="O527" s="1221"/>
      <c r="P527" s="1221"/>
      <c r="Q527" s="1221"/>
      <c r="R527" s="1221"/>
      <c r="S527" s="1221"/>
      <c r="T527" s="1221"/>
      <c r="U527" s="1221"/>
      <c r="V527" s="1221"/>
      <c r="W527" s="1221"/>
      <c r="X527" s="1221"/>
      <c r="Y527" s="1221"/>
      <c r="Z527" s="1221"/>
    </row>
    <row r="528" ht="15.75" customHeight="1">
      <c r="A528" s="1221"/>
      <c r="B528" s="1221"/>
      <c r="C528" s="1221"/>
      <c r="D528" s="1221"/>
      <c r="E528" s="1221"/>
      <c r="F528" s="1221"/>
      <c r="G528" s="1221"/>
      <c r="H528" s="1221"/>
      <c r="I528" s="1221"/>
      <c r="J528" s="1221"/>
      <c r="K528" s="1221"/>
      <c r="L528" s="1221"/>
      <c r="M528" s="1221"/>
      <c r="N528" s="1221"/>
      <c r="O528" s="1221"/>
      <c r="P528" s="1221"/>
      <c r="Q528" s="1221"/>
      <c r="R528" s="1221"/>
      <c r="S528" s="1221"/>
      <c r="T528" s="1221"/>
      <c r="U528" s="1221"/>
      <c r="V528" s="1221"/>
      <c r="W528" s="1221"/>
      <c r="X528" s="1221"/>
      <c r="Y528" s="1221"/>
      <c r="Z528" s="1221"/>
    </row>
    <row r="529" ht="15.75" customHeight="1">
      <c r="A529" s="1221"/>
      <c r="B529" s="1221"/>
      <c r="C529" s="1221"/>
      <c r="D529" s="1221"/>
      <c r="E529" s="1221"/>
      <c r="F529" s="1221"/>
      <c r="G529" s="1221"/>
      <c r="H529" s="1221"/>
      <c r="I529" s="1221"/>
      <c r="J529" s="1221"/>
      <c r="K529" s="1221"/>
      <c r="L529" s="1221"/>
      <c r="M529" s="1221"/>
      <c r="N529" s="1221"/>
      <c r="O529" s="1221"/>
      <c r="P529" s="1221"/>
      <c r="Q529" s="1221"/>
      <c r="R529" s="1221"/>
      <c r="S529" s="1221"/>
      <c r="T529" s="1221"/>
      <c r="U529" s="1221"/>
      <c r="V529" s="1221"/>
      <c r="W529" s="1221"/>
      <c r="X529" s="1221"/>
      <c r="Y529" s="1221"/>
      <c r="Z529" s="1221"/>
    </row>
    <row r="530" ht="15.75" customHeight="1">
      <c r="A530" s="1221"/>
      <c r="B530" s="1221"/>
      <c r="C530" s="1221"/>
      <c r="D530" s="1221"/>
      <c r="E530" s="1221"/>
      <c r="F530" s="1221"/>
      <c r="G530" s="1221"/>
      <c r="H530" s="1221"/>
      <c r="I530" s="1221"/>
      <c r="J530" s="1221"/>
      <c r="K530" s="1221"/>
      <c r="L530" s="1221"/>
      <c r="M530" s="1221"/>
      <c r="N530" s="1221"/>
      <c r="O530" s="1221"/>
      <c r="P530" s="1221"/>
      <c r="Q530" s="1221"/>
      <c r="R530" s="1221"/>
      <c r="S530" s="1221"/>
      <c r="T530" s="1221"/>
      <c r="U530" s="1221"/>
      <c r="V530" s="1221"/>
      <c r="W530" s="1221"/>
      <c r="X530" s="1221"/>
      <c r="Y530" s="1221"/>
      <c r="Z530" s="1221"/>
    </row>
    <row r="531" ht="15.75" customHeight="1">
      <c r="A531" s="1221"/>
      <c r="B531" s="1221"/>
      <c r="C531" s="1221"/>
      <c r="D531" s="1221"/>
      <c r="E531" s="1221"/>
      <c r="F531" s="1221"/>
      <c r="G531" s="1221"/>
      <c r="H531" s="1221"/>
      <c r="I531" s="1221"/>
      <c r="J531" s="1221"/>
      <c r="K531" s="1221"/>
      <c r="L531" s="1221"/>
      <c r="M531" s="1221"/>
      <c r="N531" s="1221"/>
      <c r="O531" s="1221"/>
      <c r="P531" s="1221"/>
      <c r="Q531" s="1221"/>
      <c r="R531" s="1221"/>
      <c r="S531" s="1221"/>
      <c r="T531" s="1221"/>
      <c r="U531" s="1221"/>
      <c r="V531" s="1221"/>
      <c r="W531" s="1221"/>
      <c r="X531" s="1221"/>
      <c r="Y531" s="1221"/>
      <c r="Z531" s="1221"/>
    </row>
    <row r="532" ht="15.75" customHeight="1">
      <c r="A532" s="1221"/>
      <c r="B532" s="1221"/>
      <c r="C532" s="1221"/>
      <c r="D532" s="1221"/>
      <c r="E532" s="1221"/>
      <c r="F532" s="1221"/>
      <c r="G532" s="1221"/>
      <c r="H532" s="1221"/>
      <c r="I532" s="1221"/>
      <c r="J532" s="1221"/>
      <c r="K532" s="1221"/>
      <c r="L532" s="1221"/>
      <c r="M532" s="1221"/>
      <c r="N532" s="1221"/>
      <c r="O532" s="1221"/>
      <c r="P532" s="1221"/>
      <c r="Q532" s="1221"/>
      <c r="R532" s="1221"/>
      <c r="S532" s="1221"/>
      <c r="T532" s="1221"/>
      <c r="U532" s="1221"/>
      <c r="V532" s="1221"/>
      <c r="W532" s="1221"/>
      <c r="X532" s="1221"/>
      <c r="Y532" s="1221"/>
      <c r="Z532" s="1221"/>
    </row>
    <row r="533" ht="15.75" customHeight="1">
      <c r="A533" s="1221"/>
      <c r="B533" s="1221"/>
      <c r="C533" s="1221"/>
      <c r="D533" s="1221"/>
      <c r="E533" s="1221"/>
      <c r="F533" s="1221"/>
      <c r="G533" s="1221"/>
      <c r="H533" s="1221"/>
      <c r="I533" s="1221"/>
      <c r="J533" s="1221"/>
      <c r="K533" s="1221"/>
      <c r="L533" s="1221"/>
      <c r="M533" s="1221"/>
      <c r="N533" s="1221"/>
      <c r="O533" s="1221"/>
      <c r="P533" s="1221"/>
      <c r="Q533" s="1221"/>
      <c r="R533" s="1221"/>
      <c r="S533" s="1221"/>
      <c r="T533" s="1221"/>
      <c r="U533" s="1221"/>
      <c r="V533" s="1221"/>
      <c r="W533" s="1221"/>
      <c r="X533" s="1221"/>
      <c r="Y533" s="1221"/>
      <c r="Z533" s="1221"/>
    </row>
    <row r="534" ht="15.75" customHeight="1">
      <c r="A534" s="1221"/>
      <c r="B534" s="1221"/>
      <c r="C534" s="1221"/>
      <c r="D534" s="1221"/>
      <c r="E534" s="1221"/>
      <c r="F534" s="1221"/>
      <c r="G534" s="1221"/>
      <c r="H534" s="1221"/>
      <c r="I534" s="1221"/>
      <c r="J534" s="1221"/>
      <c r="K534" s="1221"/>
      <c r="L534" s="1221"/>
      <c r="M534" s="1221"/>
      <c r="N534" s="1221"/>
      <c r="O534" s="1221"/>
      <c r="P534" s="1221"/>
      <c r="Q534" s="1221"/>
      <c r="R534" s="1221"/>
      <c r="S534" s="1221"/>
      <c r="T534" s="1221"/>
      <c r="U534" s="1221"/>
      <c r="V534" s="1221"/>
      <c r="W534" s="1221"/>
      <c r="X534" s="1221"/>
      <c r="Y534" s="1221"/>
      <c r="Z534" s="1221"/>
    </row>
    <row r="535" ht="15.75" customHeight="1">
      <c r="A535" s="1221"/>
      <c r="B535" s="1221"/>
      <c r="C535" s="1221"/>
      <c r="D535" s="1221"/>
      <c r="E535" s="1221"/>
      <c r="F535" s="1221"/>
      <c r="G535" s="1221"/>
      <c r="H535" s="1221"/>
      <c r="I535" s="1221"/>
      <c r="J535" s="1221"/>
      <c r="K535" s="1221"/>
      <c r="L535" s="1221"/>
      <c r="M535" s="1221"/>
      <c r="N535" s="1221"/>
      <c r="O535" s="1221"/>
      <c r="P535" s="1221"/>
      <c r="Q535" s="1221"/>
      <c r="R535" s="1221"/>
      <c r="S535" s="1221"/>
      <c r="T535" s="1221"/>
      <c r="U535" s="1221"/>
      <c r="V535" s="1221"/>
      <c r="W535" s="1221"/>
      <c r="X535" s="1221"/>
      <c r="Y535" s="1221"/>
      <c r="Z535" s="1221"/>
    </row>
    <row r="536" ht="15.75" customHeight="1">
      <c r="A536" s="1221"/>
      <c r="B536" s="1221"/>
      <c r="C536" s="1221"/>
      <c r="D536" s="1221"/>
      <c r="E536" s="1221"/>
      <c r="F536" s="1221"/>
      <c r="G536" s="1221"/>
      <c r="H536" s="1221"/>
      <c r="I536" s="1221"/>
      <c r="J536" s="1221"/>
      <c r="K536" s="1221"/>
      <c r="L536" s="1221"/>
      <c r="M536" s="1221"/>
      <c r="N536" s="1221"/>
      <c r="O536" s="1221"/>
      <c r="P536" s="1221"/>
      <c r="Q536" s="1221"/>
      <c r="R536" s="1221"/>
      <c r="S536" s="1221"/>
      <c r="T536" s="1221"/>
      <c r="U536" s="1221"/>
      <c r="V536" s="1221"/>
      <c r="W536" s="1221"/>
      <c r="X536" s="1221"/>
      <c r="Y536" s="1221"/>
      <c r="Z536" s="1221"/>
    </row>
    <row r="537" ht="15.75" customHeight="1">
      <c r="A537" s="1221"/>
      <c r="B537" s="1221"/>
      <c r="C537" s="1221"/>
      <c r="D537" s="1221"/>
      <c r="E537" s="1221"/>
      <c r="F537" s="1221"/>
      <c r="G537" s="1221"/>
      <c r="H537" s="1221"/>
      <c r="I537" s="1221"/>
      <c r="J537" s="1221"/>
      <c r="K537" s="1221"/>
      <c r="L537" s="1221"/>
      <c r="M537" s="1221"/>
      <c r="N537" s="1221"/>
      <c r="O537" s="1221"/>
      <c r="P537" s="1221"/>
      <c r="Q537" s="1221"/>
      <c r="R537" s="1221"/>
      <c r="S537" s="1221"/>
      <c r="T537" s="1221"/>
      <c r="U537" s="1221"/>
      <c r="V537" s="1221"/>
      <c r="W537" s="1221"/>
      <c r="X537" s="1221"/>
      <c r="Y537" s="1221"/>
      <c r="Z537" s="1221"/>
    </row>
    <row r="538" ht="15.75" customHeight="1">
      <c r="A538" s="1221"/>
      <c r="B538" s="1221"/>
      <c r="C538" s="1221"/>
      <c r="D538" s="1221"/>
      <c r="E538" s="1221"/>
      <c r="F538" s="1221"/>
      <c r="G538" s="1221"/>
      <c r="H538" s="1221"/>
      <c r="I538" s="1221"/>
      <c r="J538" s="1221"/>
      <c r="K538" s="1221"/>
      <c r="L538" s="1221"/>
      <c r="M538" s="1221"/>
      <c r="N538" s="1221"/>
      <c r="O538" s="1221"/>
      <c r="P538" s="1221"/>
      <c r="Q538" s="1221"/>
      <c r="R538" s="1221"/>
      <c r="S538" s="1221"/>
      <c r="T538" s="1221"/>
      <c r="U538" s="1221"/>
      <c r="V538" s="1221"/>
      <c r="W538" s="1221"/>
      <c r="X538" s="1221"/>
      <c r="Y538" s="1221"/>
      <c r="Z538" s="1221"/>
    </row>
    <row r="539" ht="15.75" customHeight="1">
      <c r="A539" s="1221"/>
      <c r="B539" s="1221"/>
      <c r="C539" s="1221"/>
      <c r="D539" s="1221"/>
      <c r="E539" s="1221"/>
      <c r="F539" s="1221"/>
      <c r="G539" s="1221"/>
      <c r="H539" s="1221"/>
      <c r="I539" s="1221"/>
      <c r="J539" s="1221"/>
      <c r="K539" s="1221"/>
      <c r="L539" s="1221"/>
      <c r="M539" s="1221"/>
      <c r="N539" s="1221"/>
      <c r="O539" s="1221"/>
      <c r="P539" s="1221"/>
      <c r="Q539" s="1221"/>
      <c r="R539" s="1221"/>
      <c r="S539" s="1221"/>
      <c r="T539" s="1221"/>
      <c r="U539" s="1221"/>
      <c r="V539" s="1221"/>
      <c r="W539" s="1221"/>
      <c r="X539" s="1221"/>
      <c r="Y539" s="1221"/>
      <c r="Z539" s="1221"/>
    </row>
    <row r="540" ht="15.75" customHeight="1">
      <c r="A540" s="1221"/>
      <c r="B540" s="1221"/>
      <c r="C540" s="1221"/>
      <c r="D540" s="1221"/>
      <c r="E540" s="1221"/>
      <c r="F540" s="1221"/>
      <c r="G540" s="1221"/>
      <c r="H540" s="1221"/>
      <c r="I540" s="1221"/>
      <c r="J540" s="1221"/>
      <c r="K540" s="1221"/>
      <c r="L540" s="1221"/>
      <c r="M540" s="1221"/>
      <c r="N540" s="1221"/>
      <c r="O540" s="1221"/>
      <c r="P540" s="1221"/>
      <c r="Q540" s="1221"/>
      <c r="R540" s="1221"/>
      <c r="S540" s="1221"/>
      <c r="T540" s="1221"/>
      <c r="U540" s="1221"/>
      <c r="V540" s="1221"/>
      <c r="W540" s="1221"/>
      <c r="X540" s="1221"/>
      <c r="Y540" s="1221"/>
      <c r="Z540" s="1221"/>
    </row>
    <row r="541" ht="15.75" customHeight="1">
      <c r="A541" s="1221"/>
      <c r="B541" s="1221"/>
      <c r="C541" s="1221"/>
      <c r="D541" s="1221"/>
      <c r="E541" s="1221"/>
      <c r="F541" s="1221"/>
      <c r="G541" s="1221"/>
      <c r="H541" s="1221"/>
      <c r="I541" s="1221"/>
      <c r="J541" s="1221"/>
      <c r="K541" s="1221"/>
      <c r="L541" s="1221"/>
      <c r="M541" s="1221"/>
      <c r="N541" s="1221"/>
      <c r="O541" s="1221"/>
      <c r="P541" s="1221"/>
      <c r="Q541" s="1221"/>
      <c r="R541" s="1221"/>
      <c r="S541" s="1221"/>
      <c r="T541" s="1221"/>
      <c r="U541" s="1221"/>
      <c r="V541" s="1221"/>
      <c r="W541" s="1221"/>
      <c r="X541" s="1221"/>
      <c r="Y541" s="1221"/>
      <c r="Z541" s="1221"/>
    </row>
    <row r="542" ht="15.75" customHeight="1">
      <c r="A542" s="1221"/>
      <c r="B542" s="1221"/>
      <c r="C542" s="1221"/>
      <c r="D542" s="1221"/>
      <c r="E542" s="1221"/>
      <c r="F542" s="1221"/>
      <c r="G542" s="1221"/>
      <c r="H542" s="1221"/>
      <c r="I542" s="1221"/>
      <c r="J542" s="1221"/>
      <c r="K542" s="1221"/>
      <c r="L542" s="1221"/>
      <c r="M542" s="1221"/>
      <c r="N542" s="1221"/>
      <c r="O542" s="1221"/>
      <c r="P542" s="1221"/>
      <c r="Q542" s="1221"/>
      <c r="R542" s="1221"/>
      <c r="S542" s="1221"/>
      <c r="T542" s="1221"/>
      <c r="U542" s="1221"/>
      <c r="V542" s="1221"/>
      <c r="W542" s="1221"/>
      <c r="X542" s="1221"/>
      <c r="Y542" s="1221"/>
      <c r="Z542" s="1221"/>
    </row>
    <row r="543" ht="15.75" customHeight="1">
      <c r="A543" s="1221"/>
      <c r="B543" s="1221"/>
      <c r="C543" s="1221"/>
      <c r="D543" s="1221"/>
      <c r="E543" s="1221"/>
      <c r="F543" s="1221"/>
      <c r="G543" s="1221"/>
      <c r="H543" s="1221"/>
      <c r="I543" s="1221"/>
      <c r="J543" s="1221"/>
      <c r="K543" s="1221"/>
      <c r="L543" s="1221"/>
      <c r="M543" s="1221"/>
      <c r="N543" s="1221"/>
      <c r="O543" s="1221"/>
      <c r="P543" s="1221"/>
      <c r="Q543" s="1221"/>
      <c r="R543" s="1221"/>
      <c r="S543" s="1221"/>
      <c r="T543" s="1221"/>
      <c r="U543" s="1221"/>
      <c r="V543" s="1221"/>
      <c r="W543" s="1221"/>
      <c r="X543" s="1221"/>
      <c r="Y543" s="1221"/>
      <c r="Z543" s="1221"/>
    </row>
    <row r="544" ht="15.75" customHeight="1">
      <c r="A544" s="1221"/>
      <c r="B544" s="1221"/>
      <c r="C544" s="1221"/>
      <c r="D544" s="1221"/>
      <c r="E544" s="1221"/>
      <c r="F544" s="1221"/>
      <c r="G544" s="1221"/>
      <c r="H544" s="1221"/>
      <c r="I544" s="1221"/>
      <c r="J544" s="1221"/>
      <c r="K544" s="1221"/>
      <c r="L544" s="1221"/>
      <c r="M544" s="1221"/>
      <c r="N544" s="1221"/>
      <c r="O544" s="1221"/>
      <c r="P544" s="1221"/>
      <c r="Q544" s="1221"/>
      <c r="R544" s="1221"/>
      <c r="S544" s="1221"/>
      <c r="T544" s="1221"/>
      <c r="U544" s="1221"/>
      <c r="V544" s="1221"/>
      <c r="W544" s="1221"/>
      <c r="X544" s="1221"/>
      <c r="Y544" s="1221"/>
      <c r="Z544" s="1221"/>
    </row>
    <row r="545" ht="15.75" customHeight="1">
      <c r="A545" s="1221"/>
      <c r="B545" s="1221"/>
      <c r="C545" s="1221"/>
      <c r="D545" s="1221"/>
      <c r="E545" s="1221"/>
      <c r="F545" s="1221"/>
      <c r="G545" s="1221"/>
      <c r="H545" s="1221"/>
      <c r="I545" s="1221"/>
      <c r="J545" s="1221"/>
      <c r="K545" s="1221"/>
      <c r="L545" s="1221"/>
      <c r="M545" s="1221"/>
      <c r="N545" s="1221"/>
      <c r="O545" s="1221"/>
      <c r="P545" s="1221"/>
      <c r="Q545" s="1221"/>
      <c r="R545" s="1221"/>
      <c r="S545" s="1221"/>
      <c r="T545" s="1221"/>
      <c r="U545" s="1221"/>
      <c r="V545" s="1221"/>
      <c r="W545" s="1221"/>
      <c r="X545" s="1221"/>
      <c r="Y545" s="1221"/>
      <c r="Z545" s="1221"/>
    </row>
    <row r="546" ht="15.75" customHeight="1">
      <c r="A546" s="1221"/>
      <c r="B546" s="1221"/>
      <c r="C546" s="1221"/>
      <c r="D546" s="1221"/>
      <c r="E546" s="1221"/>
      <c r="F546" s="1221"/>
      <c r="G546" s="1221"/>
      <c r="H546" s="1221"/>
      <c r="I546" s="1221"/>
      <c r="J546" s="1221"/>
      <c r="K546" s="1221"/>
      <c r="L546" s="1221"/>
      <c r="M546" s="1221"/>
      <c r="N546" s="1221"/>
      <c r="O546" s="1221"/>
      <c r="P546" s="1221"/>
      <c r="Q546" s="1221"/>
      <c r="R546" s="1221"/>
      <c r="S546" s="1221"/>
      <c r="T546" s="1221"/>
      <c r="U546" s="1221"/>
      <c r="V546" s="1221"/>
      <c r="W546" s="1221"/>
      <c r="X546" s="1221"/>
      <c r="Y546" s="1221"/>
      <c r="Z546" s="1221"/>
    </row>
    <row r="547" ht="15.75" customHeight="1">
      <c r="A547" s="1221"/>
      <c r="B547" s="1221"/>
      <c r="C547" s="1221"/>
      <c r="D547" s="1221"/>
      <c r="E547" s="1221"/>
      <c r="F547" s="1221"/>
      <c r="G547" s="1221"/>
      <c r="H547" s="1221"/>
      <c r="I547" s="1221"/>
      <c r="J547" s="1221"/>
      <c r="K547" s="1221"/>
      <c r="L547" s="1221"/>
      <c r="M547" s="1221"/>
      <c r="N547" s="1221"/>
      <c r="O547" s="1221"/>
      <c r="P547" s="1221"/>
      <c r="Q547" s="1221"/>
      <c r="R547" s="1221"/>
      <c r="S547" s="1221"/>
      <c r="T547" s="1221"/>
      <c r="U547" s="1221"/>
      <c r="V547" s="1221"/>
      <c r="W547" s="1221"/>
      <c r="X547" s="1221"/>
      <c r="Y547" s="1221"/>
      <c r="Z547" s="1221"/>
    </row>
    <row r="548" ht="15.75" customHeight="1">
      <c r="A548" s="1221"/>
      <c r="B548" s="1221"/>
      <c r="C548" s="1221"/>
      <c r="D548" s="1221"/>
      <c r="E548" s="1221"/>
      <c r="F548" s="1221"/>
      <c r="G548" s="1221"/>
      <c r="H548" s="1221"/>
      <c r="I548" s="1221"/>
      <c r="J548" s="1221"/>
      <c r="K548" s="1221"/>
      <c r="L548" s="1221"/>
      <c r="M548" s="1221"/>
      <c r="N548" s="1221"/>
      <c r="O548" s="1221"/>
      <c r="P548" s="1221"/>
      <c r="Q548" s="1221"/>
      <c r="R548" s="1221"/>
      <c r="S548" s="1221"/>
      <c r="T548" s="1221"/>
      <c r="U548" s="1221"/>
      <c r="V548" s="1221"/>
      <c r="W548" s="1221"/>
      <c r="X548" s="1221"/>
      <c r="Y548" s="1221"/>
      <c r="Z548" s="1221"/>
    </row>
    <row r="549" ht="15.75" customHeight="1">
      <c r="A549" s="1221"/>
      <c r="B549" s="1221"/>
      <c r="C549" s="1221"/>
      <c r="D549" s="1221"/>
      <c r="E549" s="1221"/>
      <c r="F549" s="1221"/>
      <c r="G549" s="1221"/>
      <c r="H549" s="1221"/>
      <c r="I549" s="1221"/>
      <c r="J549" s="1221"/>
      <c r="K549" s="1221"/>
      <c r="L549" s="1221"/>
      <c r="M549" s="1221"/>
      <c r="N549" s="1221"/>
      <c r="O549" s="1221"/>
      <c r="P549" s="1221"/>
      <c r="Q549" s="1221"/>
      <c r="R549" s="1221"/>
      <c r="S549" s="1221"/>
      <c r="T549" s="1221"/>
      <c r="U549" s="1221"/>
      <c r="V549" s="1221"/>
      <c r="W549" s="1221"/>
      <c r="X549" s="1221"/>
      <c r="Y549" s="1221"/>
      <c r="Z549" s="1221"/>
    </row>
    <row r="550" ht="15.75" customHeight="1">
      <c r="A550" s="1221"/>
      <c r="B550" s="1221"/>
      <c r="C550" s="1221"/>
      <c r="D550" s="1221"/>
      <c r="E550" s="1221"/>
      <c r="F550" s="1221"/>
      <c r="G550" s="1221"/>
      <c r="H550" s="1221"/>
      <c r="I550" s="1221"/>
      <c r="J550" s="1221"/>
      <c r="K550" s="1221"/>
      <c r="L550" s="1221"/>
      <c r="M550" s="1221"/>
      <c r="N550" s="1221"/>
      <c r="O550" s="1221"/>
      <c r="P550" s="1221"/>
      <c r="Q550" s="1221"/>
      <c r="R550" s="1221"/>
      <c r="S550" s="1221"/>
      <c r="T550" s="1221"/>
      <c r="U550" s="1221"/>
      <c r="V550" s="1221"/>
      <c r="W550" s="1221"/>
      <c r="X550" s="1221"/>
      <c r="Y550" s="1221"/>
      <c r="Z550" s="1221"/>
    </row>
    <row r="551" ht="15.75" customHeight="1">
      <c r="A551" s="1221"/>
      <c r="B551" s="1221"/>
      <c r="C551" s="1221"/>
      <c r="D551" s="1221"/>
      <c r="E551" s="1221"/>
      <c r="F551" s="1221"/>
      <c r="G551" s="1221"/>
      <c r="H551" s="1221"/>
      <c r="I551" s="1221"/>
      <c r="J551" s="1221"/>
      <c r="K551" s="1221"/>
      <c r="L551" s="1221"/>
      <c r="M551" s="1221"/>
      <c r="N551" s="1221"/>
      <c r="O551" s="1221"/>
      <c r="P551" s="1221"/>
      <c r="Q551" s="1221"/>
      <c r="R551" s="1221"/>
      <c r="S551" s="1221"/>
      <c r="T551" s="1221"/>
      <c r="U551" s="1221"/>
      <c r="V551" s="1221"/>
      <c r="W551" s="1221"/>
      <c r="X551" s="1221"/>
      <c r="Y551" s="1221"/>
      <c r="Z551" s="1221"/>
    </row>
    <row r="552" ht="15.75" customHeight="1">
      <c r="A552" s="1221"/>
      <c r="B552" s="1221"/>
      <c r="C552" s="1221"/>
      <c r="D552" s="1221"/>
      <c r="E552" s="1221"/>
      <c r="F552" s="1221"/>
      <c r="G552" s="1221"/>
      <c r="H552" s="1221"/>
      <c r="I552" s="1221"/>
      <c r="J552" s="1221"/>
      <c r="K552" s="1221"/>
      <c r="L552" s="1221"/>
      <c r="M552" s="1221"/>
      <c r="N552" s="1221"/>
      <c r="O552" s="1221"/>
      <c r="P552" s="1221"/>
      <c r="Q552" s="1221"/>
      <c r="R552" s="1221"/>
      <c r="S552" s="1221"/>
      <c r="T552" s="1221"/>
      <c r="U552" s="1221"/>
      <c r="V552" s="1221"/>
      <c r="W552" s="1221"/>
      <c r="X552" s="1221"/>
      <c r="Y552" s="1221"/>
      <c r="Z552" s="1221"/>
    </row>
    <row r="553" ht="15.75" customHeight="1">
      <c r="A553" s="1221"/>
      <c r="B553" s="1221"/>
      <c r="C553" s="1221"/>
      <c r="D553" s="1221"/>
      <c r="E553" s="1221"/>
      <c r="F553" s="1221"/>
      <c r="G553" s="1221"/>
      <c r="H553" s="1221"/>
      <c r="I553" s="1221"/>
      <c r="J553" s="1221"/>
      <c r="K553" s="1221"/>
      <c r="L553" s="1221"/>
      <c r="M553" s="1221"/>
      <c r="N553" s="1221"/>
      <c r="O553" s="1221"/>
      <c r="P553" s="1221"/>
      <c r="Q553" s="1221"/>
      <c r="R553" s="1221"/>
      <c r="S553" s="1221"/>
      <c r="T553" s="1221"/>
      <c r="U553" s="1221"/>
      <c r="V553" s="1221"/>
      <c r="W553" s="1221"/>
      <c r="X553" s="1221"/>
      <c r="Y553" s="1221"/>
      <c r="Z553" s="1221"/>
    </row>
    <row r="554" ht="15.75" customHeight="1">
      <c r="A554" s="1221"/>
      <c r="B554" s="1221"/>
      <c r="C554" s="1221"/>
      <c r="D554" s="1221"/>
      <c r="E554" s="1221"/>
      <c r="F554" s="1221"/>
      <c r="G554" s="1221"/>
      <c r="H554" s="1221"/>
      <c r="I554" s="1221"/>
      <c r="J554" s="1221"/>
      <c r="K554" s="1221"/>
      <c r="L554" s="1221"/>
      <c r="M554" s="1221"/>
      <c r="N554" s="1221"/>
      <c r="O554" s="1221"/>
      <c r="P554" s="1221"/>
      <c r="Q554" s="1221"/>
      <c r="R554" s="1221"/>
      <c r="S554" s="1221"/>
      <c r="T554" s="1221"/>
      <c r="U554" s="1221"/>
      <c r="V554" s="1221"/>
      <c r="W554" s="1221"/>
      <c r="X554" s="1221"/>
      <c r="Y554" s="1221"/>
      <c r="Z554" s="1221"/>
    </row>
    <row r="555" ht="15.75" customHeight="1">
      <c r="A555" s="1221"/>
      <c r="B555" s="1221"/>
      <c r="C555" s="1221"/>
      <c r="D555" s="1221"/>
      <c r="E555" s="1221"/>
      <c r="F555" s="1221"/>
      <c r="G555" s="1221"/>
      <c r="H555" s="1221"/>
      <c r="I555" s="1221"/>
      <c r="J555" s="1221"/>
      <c r="K555" s="1221"/>
      <c r="L555" s="1221"/>
      <c r="M555" s="1221"/>
      <c r="N555" s="1221"/>
      <c r="O555" s="1221"/>
      <c r="P555" s="1221"/>
      <c r="Q555" s="1221"/>
      <c r="R555" s="1221"/>
      <c r="S555" s="1221"/>
      <c r="T555" s="1221"/>
      <c r="U555" s="1221"/>
      <c r="V555" s="1221"/>
      <c r="W555" s="1221"/>
      <c r="X555" s="1221"/>
      <c r="Y555" s="1221"/>
      <c r="Z555" s="1221"/>
    </row>
    <row r="556" ht="15.75" customHeight="1">
      <c r="A556" s="1221"/>
      <c r="B556" s="1221"/>
      <c r="C556" s="1221"/>
      <c r="D556" s="1221"/>
      <c r="E556" s="1221"/>
      <c r="F556" s="1221"/>
      <c r="G556" s="1221"/>
      <c r="H556" s="1221"/>
      <c r="I556" s="1221"/>
      <c r="J556" s="1221"/>
      <c r="K556" s="1221"/>
      <c r="L556" s="1221"/>
      <c r="M556" s="1221"/>
      <c r="N556" s="1221"/>
      <c r="O556" s="1221"/>
      <c r="P556" s="1221"/>
      <c r="Q556" s="1221"/>
      <c r="R556" s="1221"/>
      <c r="S556" s="1221"/>
      <c r="T556" s="1221"/>
      <c r="U556" s="1221"/>
      <c r="V556" s="1221"/>
      <c r="W556" s="1221"/>
      <c r="X556" s="1221"/>
      <c r="Y556" s="1221"/>
      <c r="Z556" s="1221"/>
    </row>
    <row r="557" ht="15.75" customHeight="1">
      <c r="A557" s="1221"/>
      <c r="B557" s="1221"/>
      <c r="C557" s="1221"/>
      <c r="D557" s="1221"/>
      <c r="E557" s="1221"/>
      <c r="F557" s="1221"/>
      <c r="G557" s="1221"/>
      <c r="H557" s="1221"/>
      <c r="I557" s="1221"/>
      <c r="J557" s="1221"/>
      <c r="K557" s="1221"/>
      <c r="L557" s="1221"/>
      <c r="M557" s="1221"/>
      <c r="N557" s="1221"/>
      <c r="O557" s="1221"/>
      <c r="P557" s="1221"/>
      <c r="Q557" s="1221"/>
      <c r="R557" s="1221"/>
      <c r="S557" s="1221"/>
      <c r="T557" s="1221"/>
      <c r="U557" s="1221"/>
      <c r="V557" s="1221"/>
      <c r="W557" s="1221"/>
      <c r="X557" s="1221"/>
      <c r="Y557" s="1221"/>
      <c r="Z557" s="1221"/>
    </row>
    <row r="558" ht="15.75" customHeight="1">
      <c r="A558" s="1221"/>
      <c r="B558" s="1221"/>
      <c r="C558" s="1221"/>
      <c r="D558" s="1221"/>
      <c r="E558" s="1221"/>
      <c r="F558" s="1221"/>
      <c r="G558" s="1221"/>
      <c r="H558" s="1221"/>
      <c r="I558" s="1221"/>
      <c r="J558" s="1221"/>
      <c r="K558" s="1221"/>
      <c r="L558" s="1221"/>
      <c r="M558" s="1221"/>
      <c r="N558" s="1221"/>
      <c r="O558" s="1221"/>
      <c r="P558" s="1221"/>
      <c r="Q558" s="1221"/>
      <c r="R558" s="1221"/>
      <c r="S558" s="1221"/>
      <c r="T558" s="1221"/>
      <c r="U558" s="1221"/>
      <c r="V558" s="1221"/>
      <c r="W558" s="1221"/>
      <c r="X558" s="1221"/>
      <c r="Y558" s="1221"/>
      <c r="Z558" s="1221"/>
    </row>
    <row r="559" ht="15.75" customHeight="1">
      <c r="A559" s="1221"/>
      <c r="B559" s="1221"/>
      <c r="C559" s="1221"/>
      <c r="D559" s="1221"/>
      <c r="E559" s="1221"/>
      <c r="F559" s="1221"/>
      <c r="G559" s="1221"/>
      <c r="H559" s="1221"/>
      <c r="I559" s="1221"/>
      <c r="J559" s="1221"/>
      <c r="K559" s="1221"/>
      <c r="L559" s="1221"/>
      <c r="M559" s="1221"/>
      <c r="N559" s="1221"/>
      <c r="O559" s="1221"/>
      <c r="P559" s="1221"/>
      <c r="Q559" s="1221"/>
      <c r="R559" s="1221"/>
      <c r="S559" s="1221"/>
      <c r="T559" s="1221"/>
      <c r="U559" s="1221"/>
      <c r="V559" s="1221"/>
      <c r="W559" s="1221"/>
      <c r="X559" s="1221"/>
      <c r="Y559" s="1221"/>
      <c r="Z559" s="1221"/>
    </row>
    <row r="560" ht="15.75" customHeight="1">
      <c r="A560" s="1221"/>
      <c r="B560" s="1221"/>
      <c r="C560" s="1221"/>
      <c r="D560" s="1221"/>
      <c r="E560" s="1221"/>
      <c r="F560" s="1221"/>
      <c r="G560" s="1221"/>
      <c r="H560" s="1221"/>
      <c r="I560" s="1221"/>
      <c r="J560" s="1221"/>
      <c r="K560" s="1221"/>
      <c r="L560" s="1221"/>
      <c r="M560" s="1221"/>
      <c r="N560" s="1221"/>
      <c r="O560" s="1221"/>
      <c r="P560" s="1221"/>
      <c r="Q560" s="1221"/>
      <c r="R560" s="1221"/>
      <c r="S560" s="1221"/>
      <c r="T560" s="1221"/>
      <c r="U560" s="1221"/>
      <c r="V560" s="1221"/>
      <c r="W560" s="1221"/>
      <c r="X560" s="1221"/>
      <c r="Y560" s="1221"/>
      <c r="Z560" s="1221"/>
    </row>
    <row r="561" ht="15.75" customHeight="1">
      <c r="A561" s="1221"/>
      <c r="B561" s="1221"/>
      <c r="C561" s="1221"/>
      <c r="D561" s="1221"/>
      <c r="E561" s="1221"/>
      <c r="F561" s="1221"/>
      <c r="G561" s="1221"/>
      <c r="H561" s="1221"/>
      <c r="I561" s="1221"/>
      <c r="J561" s="1221"/>
      <c r="K561" s="1221"/>
      <c r="L561" s="1221"/>
      <c r="M561" s="1221"/>
      <c r="N561" s="1221"/>
      <c r="O561" s="1221"/>
      <c r="P561" s="1221"/>
      <c r="Q561" s="1221"/>
      <c r="R561" s="1221"/>
      <c r="S561" s="1221"/>
      <c r="T561" s="1221"/>
      <c r="U561" s="1221"/>
      <c r="V561" s="1221"/>
      <c r="W561" s="1221"/>
      <c r="X561" s="1221"/>
      <c r="Y561" s="1221"/>
      <c r="Z561" s="1221"/>
    </row>
    <row r="562" ht="15.75" customHeight="1">
      <c r="A562" s="1221"/>
      <c r="B562" s="1221"/>
      <c r="C562" s="1221"/>
      <c r="D562" s="1221"/>
      <c r="E562" s="1221"/>
      <c r="F562" s="1221"/>
      <c r="G562" s="1221"/>
      <c r="H562" s="1221"/>
      <c r="I562" s="1221"/>
      <c r="J562" s="1221"/>
      <c r="K562" s="1221"/>
      <c r="L562" s="1221"/>
      <c r="M562" s="1221"/>
      <c r="N562" s="1221"/>
      <c r="O562" s="1221"/>
      <c r="P562" s="1221"/>
      <c r="Q562" s="1221"/>
      <c r="R562" s="1221"/>
      <c r="S562" s="1221"/>
      <c r="T562" s="1221"/>
      <c r="U562" s="1221"/>
      <c r="V562" s="1221"/>
      <c r="W562" s="1221"/>
      <c r="X562" s="1221"/>
      <c r="Y562" s="1221"/>
      <c r="Z562" s="1221"/>
    </row>
    <row r="563" ht="15.75" customHeight="1">
      <c r="A563" s="1221"/>
      <c r="B563" s="1221"/>
      <c r="C563" s="1221"/>
      <c r="D563" s="1221"/>
      <c r="E563" s="1221"/>
      <c r="F563" s="1221"/>
      <c r="G563" s="1221"/>
      <c r="H563" s="1221"/>
      <c r="I563" s="1221"/>
      <c r="J563" s="1221"/>
      <c r="K563" s="1221"/>
      <c r="L563" s="1221"/>
      <c r="M563" s="1221"/>
      <c r="N563" s="1221"/>
      <c r="O563" s="1221"/>
      <c r="P563" s="1221"/>
      <c r="Q563" s="1221"/>
      <c r="R563" s="1221"/>
      <c r="S563" s="1221"/>
      <c r="T563" s="1221"/>
      <c r="U563" s="1221"/>
      <c r="V563" s="1221"/>
      <c r="W563" s="1221"/>
      <c r="X563" s="1221"/>
      <c r="Y563" s="1221"/>
      <c r="Z563" s="1221"/>
    </row>
    <row r="564" ht="15.75" customHeight="1">
      <c r="A564" s="1221"/>
      <c r="B564" s="1221"/>
      <c r="C564" s="1221"/>
      <c r="D564" s="1221"/>
      <c r="E564" s="1221"/>
      <c r="F564" s="1221"/>
      <c r="G564" s="1221"/>
      <c r="H564" s="1221"/>
      <c r="I564" s="1221"/>
      <c r="J564" s="1221"/>
      <c r="K564" s="1221"/>
      <c r="L564" s="1221"/>
      <c r="M564" s="1221"/>
      <c r="N564" s="1221"/>
      <c r="O564" s="1221"/>
      <c r="P564" s="1221"/>
      <c r="Q564" s="1221"/>
      <c r="R564" s="1221"/>
      <c r="S564" s="1221"/>
      <c r="T564" s="1221"/>
      <c r="U564" s="1221"/>
      <c r="V564" s="1221"/>
      <c r="W564" s="1221"/>
      <c r="X564" s="1221"/>
      <c r="Y564" s="1221"/>
      <c r="Z564" s="1221"/>
    </row>
    <row r="565" ht="15.75" customHeight="1">
      <c r="A565" s="1221"/>
      <c r="B565" s="1221"/>
      <c r="C565" s="1221"/>
      <c r="D565" s="1221"/>
      <c r="E565" s="1221"/>
      <c r="F565" s="1221"/>
      <c r="G565" s="1221"/>
      <c r="H565" s="1221"/>
      <c r="I565" s="1221"/>
      <c r="J565" s="1221"/>
      <c r="K565" s="1221"/>
      <c r="L565" s="1221"/>
      <c r="M565" s="1221"/>
      <c r="N565" s="1221"/>
      <c r="O565" s="1221"/>
      <c r="P565" s="1221"/>
      <c r="Q565" s="1221"/>
      <c r="R565" s="1221"/>
      <c r="S565" s="1221"/>
      <c r="T565" s="1221"/>
      <c r="U565" s="1221"/>
      <c r="V565" s="1221"/>
      <c r="W565" s="1221"/>
      <c r="X565" s="1221"/>
      <c r="Y565" s="1221"/>
      <c r="Z565" s="1221"/>
    </row>
    <row r="566" ht="15.75" customHeight="1">
      <c r="A566" s="1221"/>
      <c r="B566" s="1221"/>
      <c r="C566" s="1221"/>
      <c r="D566" s="1221"/>
      <c r="E566" s="1221"/>
      <c r="F566" s="1221"/>
      <c r="G566" s="1221"/>
      <c r="H566" s="1221"/>
      <c r="I566" s="1221"/>
      <c r="J566" s="1221"/>
      <c r="K566" s="1221"/>
      <c r="L566" s="1221"/>
      <c r="M566" s="1221"/>
      <c r="N566" s="1221"/>
      <c r="O566" s="1221"/>
      <c r="P566" s="1221"/>
      <c r="Q566" s="1221"/>
      <c r="R566" s="1221"/>
      <c r="S566" s="1221"/>
      <c r="T566" s="1221"/>
      <c r="U566" s="1221"/>
      <c r="V566" s="1221"/>
      <c r="W566" s="1221"/>
      <c r="X566" s="1221"/>
      <c r="Y566" s="1221"/>
      <c r="Z566" s="1221"/>
    </row>
    <row r="567" ht="15.75" customHeight="1">
      <c r="A567" s="1221"/>
      <c r="B567" s="1221"/>
      <c r="C567" s="1221"/>
      <c r="D567" s="1221"/>
      <c r="E567" s="1221"/>
      <c r="F567" s="1221"/>
      <c r="G567" s="1221"/>
      <c r="H567" s="1221"/>
      <c r="I567" s="1221"/>
      <c r="J567" s="1221"/>
      <c r="K567" s="1221"/>
      <c r="L567" s="1221"/>
      <c r="M567" s="1221"/>
      <c r="N567" s="1221"/>
      <c r="O567" s="1221"/>
      <c r="P567" s="1221"/>
      <c r="Q567" s="1221"/>
      <c r="R567" s="1221"/>
      <c r="S567" s="1221"/>
      <c r="T567" s="1221"/>
      <c r="U567" s="1221"/>
      <c r="V567" s="1221"/>
      <c r="W567" s="1221"/>
      <c r="X567" s="1221"/>
      <c r="Y567" s="1221"/>
      <c r="Z567" s="1221"/>
    </row>
    <row r="568" ht="15.75" customHeight="1">
      <c r="A568" s="1221"/>
      <c r="B568" s="1221"/>
      <c r="C568" s="1221"/>
      <c r="D568" s="1221"/>
      <c r="E568" s="1221"/>
      <c r="F568" s="1221"/>
      <c r="G568" s="1221"/>
      <c r="H568" s="1221"/>
      <c r="I568" s="1221"/>
      <c r="J568" s="1221"/>
      <c r="K568" s="1221"/>
      <c r="L568" s="1221"/>
      <c r="M568" s="1221"/>
      <c r="N568" s="1221"/>
      <c r="O568" s="1221"/>
      <c r="P568" s="1221"/>
      <c r="Q568" s="1221"/>
      <c r="R568" s="1221"/>
      <c r="S568" s="1221"/>
      <c r="T568" s="1221"/>
      <c r="U568" s="1221"/>
      <c r="V568" s="1221"/>
      <c r="W568" s="1221"/>
      <c r="X568" s="1221"/>
      <c r="Y568" s="1221"/>
      <c r="Z568" s="1221"/>
    </row>
    <row r="569" ht="15.75" customHeight="1">
      <c r="A569" s="1221"/>
      <c r="B569" s="1221"/>
      <c r="C569" s="1221"/>
      <c r="D569" s="1221"/>
      <c r="E569" s="1221"/>
      <c r="F569" s="1221"/>
      <c r="G569" s="1221"/>
      <c r="H569" s="1221"/>
      <c r="I569" s="1221"/>
      <c r="J569" s="1221"/>
      <c r="K569" s="1221"/>
      <c r="L569" s="1221"/>
      <c r="M569" s="1221"/>
      <c r="N569" s="1221"/>
      <c r="O569" s="1221"/>
      <c r="P569" s="1221"/>
      <c r="Q569" s="1221"/>
      <c r="R569" s="1221"/>
      <c r="S569" s="1221"/>
      <c r="T569" s="1221"/>
      <c r="U569" s="1221"/>
      <c r="V569" s="1221"/>
      <c r="W569" s="1221"/>
      <c r="X569" s="1221"/>
      <c r="Y569" s="1221"/>
      <c r="Z569" s="1221"/>
    </row>
    <row r="570" ht="15.75" customHeight="1">
      <c r="A570" s="1221"/>
      <c r="B570" s="1221"/>
      <c r="C570" s="1221"/>
      <c r="D570" s="1221"/>
      <c r="E570" s="1221"/>
      <c r="F570" s="1221"/>
      <c r="G570" s="1221"/>
      <c r="H570" s="1221"/>
      <c r="I570" s="1221"/>
      <c r="J570" s="1221"/>
      <c r="K570" s="1221"/>
      <c r="L570" s="1221"/>
      <c r="M570" s="1221"/>
      <c r="N570" s="1221"/>
      <c r="O570" s="1221"/>
      <c r="P570" s="1221"/>
      <c r="Q570" s="1221"/>
      <c r="R570" s="1221"/>
      <c r="S570" s="1221"/>
      <c r="T570" s="1221"/>
      <c r="U570" s="1221"/>
      <c r="V570" s="1221"/>
      <c r="W570" s="1221"/>
      <c r="X570" s="1221"/>
      <c r="Y570" s="1221"/>
      <c r="Z570" s="1221"/>
    </row>
    <row r="571" ht="15.75" customHeight="1">
      <c r="A571" s="1221"/>
      <c r="B571" s="1221"/>
      <c r="C571" s="1221"/>
      <c r="D571" s="1221"/>
      <c r="E571" s="1221"/>
      <c r="F571" s="1221"/>
      <c r="G571" s="1221"/>
      <c r="H571" s="1221"/>
      <c r="I571" s="1221"/>
      <c r="J571" s="1221"/>
      <c r="K571" s="1221"/>
      <c r="L571" s="1221"/>
      <c r="M571" s="1221"/>
      <c r="N571" s="1221"/>
      <c r="O571" s="1221"/>
      <c r="P571" s="1221"/>
      <c r="Q571" s="1221"/>
      <c r="R571" s="1221"/>
      <c r="S571" s="1221"/>
      <c r="T571" s="1221"/>
      <c r="U571" s="1221"/>
      <c r="V571" s="1221"/>
      <c r="W571" s="1221"/>
      <c r="X571" s="1221"/>
      <c r="Y571" s="1221"/>
      <c r="Z571" s="1221"/>
    </row>
    <row r="572" ht="15.75" customHeight="1">
      <c r="A572" s="1221"/>
      <c r="B572" s="1221"/>
      <c r="C572" s="1221"/>
      <c r="D572" s="1221"/>
      <c r="E572" s="1221"/>
      <c r="F572" s="1221"/>
      <c r="G572" s="1221"/>
      <c r="H572" s="1221"/>
      <c r="I572" s="1221"/>
      <c r="J572" s="1221"/>
      <c r="K572" s="1221"/>
      <c r="L572" s="1221"/>
      <c r="M572" s="1221"/>
      <c r="N572" s="1221"/>
      <c r="O572" s="1221"/>
      <c r="P572" s="1221"/>
      <c r="Q572" s="1221"/>
      <c r="R572" s="1221"/>
      <c r="S572" s="1221"/>
      <c r="T572" s="1221"/>
      <c r="U572" s="1221"/>
      <c r="V572" s="1221"/>
      <c r="W572" s="1221"/>
      <c r="X572" s="1221"/>
      <c r="Y572" s="1221"/>
      <c r="Z572" s="1221"/>
    </row>
    <row r="573" ht="15.75" customHeight="1">
      <c r="A573" s="1221"/>
      <c r="B573" s="1221"/>
      <c r="C573" s="1221"/>
      <c r="D573" s="1221"/>
      <c r="E573" s="1221"/>
      <c r="F573" s="1221"/>
      <c r="G573" s="1221"/>
      <c r="H573" s="1221"/>
      <c r="I573" s="1221"/>
      <c r="J573" s="1221"/>
      <c r="K573" s="1221"/>
      <c r="L573" s="1221"/>
      <c r="M573" s="1221"/>
      <c r="N573" s="1221"/>
      <c r="O573" s="1221"/>
      <c r="P573" s="1221"/>
      <c r="Q573" s="1221"/>
      <c r="R573" s="1221"/>
      <c r="S573" s="1221"/>
      <c r="T573" s="1221"/>
      <c r="U573" s="1221"/>
      <c r="V573" s="1221"/>
      <c r="W573" s="1221"/>
      <c r="X573" s="1221"/>
      <c r="Y573" s="1221"/>
      <c r="Z573" s="1221"/>
    </row>
    <row r="574" ht="15.75" customHeight="1">
      <c r="A574" s="1221"/>
      <c r="B574" s="1221"/>
      <c r="C574" s="1221"/>
      <c r="D574" s="1221"/>
      <c r="E574" s="1221"/>
      <c r="F574" s="1221"/>
      <c r="G574" s="1221"/>
      <c r="H574" s="1221"/>
      <c r="I574" s="1221"/>
      <c r="J574" s="1221"/>
      <c r="K574" s="1221"/>
      <c r="L574" s="1221"/>
      <c r="M574" s="1221"/>
      <c r="N574" s="1221"/>
      <c r="O574" s="1221"/>
      <c r="P574" s="1221"/>
      <c r="Q574" s="1221"/>
      <c r="R574" s="1221"/>
      <c r="S574" s="1221"/>
      <c r="T574" s="1221"/>
      <c r="U574" s="1221"/>
      <c r="V574" s="1221"/>
      <c r="W574" s="1221"/>
      <c r="X574" s="1221"/>
      <c r="Y574" s="1221"/>
      <c r="Z574" s="1221"/>
    </row>
    <row r="575" ht="15.75" customHeight="1">
      <c r="A575" s="1221"/>
      <c r="B575" s="1221"/>
      <c r="C575" s="1221"/>
      <c r="D575" s="1221"/>
      <c r="E575" s="1221"/>
      <c r="F575" s="1221"/>
      <c r="G575" s="1221"/>
      <c r="H575" s="1221"/>
      <c r="I575" s="1221"/>
      <c r="J575" s="1221"/>
      <c r="K575" s="1221"/>
      <c r="L575" s="1221"/>
      <c r="M575" s="1221"/>
      <c r="N575" s="1221"/>
      <c r="O575" s="1221"/>
      <c r="P575" s="1221"/>
      <c r="Q575" s="1221"/>
      <c r="R575" s="1221"/>
      <c r="S575" s="1221"/>
      <c r="T575" s="1221"/>
      <c r="U575" s="1221"/>
      <c r="V575" s="1221"/>
      <c r="W575" s="1221"/>
      <c r="X575" s="1221"/>
      <c r="Y575" s="1221"/>
      <c r="Z575" s="1221"/>
    </row>
    <row r="576" ht="15.75" customHeight="1">
      <c r="A576" s="1221"/>
      <c r="B576" s="1221"/>
      <c r="C576" s="1221"/>
      <c r="D576" s="1221"/>
      <c r="E576" s="1221"/>
      <c r="F576" s="1221"/>
      <c r="G576" s="1221"/>
      <c r="H576" s="1221"/>
      <c r="I576" s="1221"/>
      <c r="J576" s="1221"/>
      <c r="K576" s="1221"/>
      <c r="L576" s="1221"/>
      <c r="M576" s="1221"/>
      <c r="N576" s="1221"/>
      <c r="O576" s="1221"/>
      <c r="P576" s="1221"/>
      <c r="Q576" s="1221"/>
      <c r="R576" s="1221"/>
      <c r="S576" s="1221"/>
      <c r="T576" s="1221"/>
      <c r="U576" s="1221"/>
      <c r="V576" s="1221"/>
      <c r="W576" s="1221"/>
      <c r="X576" s="1221"/>
      <c r="Y576" s="1221"/>
      <c r="Z576" s="1221"/>
    </row>
    <row r="577" ht="15.75" customHeight="1">
      <c r="A577" s="1221"/>
      <c r="B577" s="1221"/>
      <c r="C577" s="1221"/>
      <c r="D577" s="1221"/>
      <c r="E577" s="1221"/>
      <c r="F577" s="1221"/>
      <c r="G577" s="1221"/>
      <c r="H577" s="1221"/>
      <c r="I577" s="1221"/>
      <c r="J577" s="1221"/>
      <c r="K577" s="1221"/>
      <c r="L577" s="1221"/>
      <c r="M577" s="1221"/>
      <c r="N577" s="1221"/>
      <c r="O577" s="1221"/>
      <c r="P577" s="1221"/>
      <c r="Q577" s="1221"/>
      <c r="R577" s="1221"/>
      <c r="S577" s="1221"/>
      <c r="T577" s="1221"/>
      <c r="U577" s="1221"/>
      <c r="V577" s="1221"/>
      <c r="W577" s="1221"/>
      <c r="X577" s="1221"/>
      <c r="Y577" s="1221"/>
      <c r="Z577" s="1221"/>
    </row>
    <row r="578" ht="15.75" customHeight="1">
      <c r="A578" s="1221"/>
      <c r="B578" s="1221"/>
      <c r="C578" s="1221"/>
      <c r="D578" s="1221"/>
      <c r="E578" s="1221"/>
      <c r="F578" s="1221"/>
      <c r="G578" s="1221"/>
      <c r="H578" s="1221"/>
      <c r="I578" s="1221"/>
      <c r="J578" s="1221"/>
      <c r="K578" s="1221"/>
      <c r="L578" s="1221"/>
      <c r="M578" s="1221"/>
      <c r="N578" s="1221"/>
      <c r="O578" s="1221"/>
      <c r="P578" s="1221"/>
      <c r="Q578" s="1221"/>
      <c r="R578" s="1221"/>
      <c r="S578" s="1221"/>
      <c r="T578" s="1221"/>
      <c r="U578" s="1221"/>
      <c r="V578" s="1221"/>
      <c r="W578" s="1221"/>
      <c r="X578" s="1221"/>
      <c r="Y578" s="1221"/>
      <c r="Z578" s="1221"/>
    </row>
    <row r="579" ht="15.75" customHeight="1">
      <c r="A579" s="1221"/>
      <c r="B579" s="1221"/>
      <c r="C579" s="1221"/>
      <c r="D579" s="1221"/>
      <c r="E579" s="1221"/>
      <c r="F579" s="1221"/>
      <c r="G579" s="1221"/>
      <c r="H579" s="1221"/>
      <c r="I579" s="1221"/>
      <c r="J579" s="1221"/>
      <c r="K579" s="1221"/>
      <c r="L579" s="1221"/>
      <c r="M579" s="1221"/>
      <c r="N579" s="1221"/>
      <c r="O579" s="1221"/>
      <c r="P579" s="1221"/>
      <c r="Q579" s="1221"/>
      <c r="R579" s="1221"/>
      <c r="S579" s="1221"/>
      <c r="T579" s="1221"/>
      <c r="U579" s="1221"/>
      <c r="V579" s="1221"/>
      <c r="W579" s="1221"/>
      <c r="X579" s="1221"/>
      <c r="Y579" s="1221"/>
      <c r="Z579" s="1221"/>
    </row>
    <row r="580" ht="15.75" customHeight="1">
      <c r="A580" s="1221"/>
      <c r="B580" s="1221"/>
      <c r="C580" s="1221"/>
      <c r="D580" s="1221"/>
      <c r="E580" s="1221"/>
      <c r="F580" s="1221"/>
      <c r="G580" s="1221"/>
      <c r="H580" s="1221"/>
      <c r="I580" s="1221"/>
      <c r="J580" s="1221"/>
      <c r="K580" s="1221"/>
      <c r="L580" s="1221"/>
      <c r="M580" s="1221"/>
      <c r="N580" s="1221"/>
      <c r="O580" s="1221"/>
      <c r="P580" s="1221"/>
      <c r="Q580" s="1221"/>
      <c r="R580" s="1221"/>
      <c r="S580" s="1221"/>
      <c r="T580" s="1221"/>
      <c r="U580" s="1221"/>
      <c r="V580" s="1221"/>
      <c r="W580" s="1221"/>
      <c r="X580" s="1221"/>
      <c r="Y580" s="1221"/>
      <c r="Z580" s="1221"/>
    </row>
    <row r="581" ht="15.75" customHeight="1">
      <c r="A581" s="1221"/>
      <c r="B581" s="1221"/>
      <c r="C581" s="1221"/>
      <c r="D581" s="1221"/>
      <c r="E581" s="1221"/>
      <c r="F581" s="1221"/>
      <c r="G581" s="1221"/>
      <c r="H581" s="1221"/>
      <c r="I581" s="1221"/>
      <c r="J581" s="1221"/>
      <c r="K581" s="1221"/>
      <c r="L581" s="1221"/>
      <c r="M581" s="1221"/>
      <c r="N581" s="1221"/>
      <c r="O581" s="1221"/>
      <c r="P581" s="1221"/>
      <c r="Q581" s="1221"/>
      <c r="R581" s="1221"/>
      <c r="S581" s="1221"/>
      <c r="T581" s="1221"/>
      <c r="U581" s="1221"/>
      <c r="V581" s="1221"/>
      <c r="W581" s="1221"/>
      <c r="X581" s="1221"/>
      <c r="Y581" s="1221"/>
      <c r="Z581" s="1221"/>
    </row>
    <row r="582" ht="15.75" customHeight="1">
      <c r="A582" s="1221"/>
      <c r="B582" s="1221"/>
      <c r="C582" s="1221"/>
      <c r="D582" s="1221"/>
      <c r="E582" s="1221"/>
      <c r="F582" s="1221"/>
      <c r="G582" s="1221"/>
      <c r="H582" s="1221"/>
      <c r="I582" s="1221"/>
      <c r="J582" s="1221"/>
      <c r="K582" s="1221"/>
      <c r="L582" s="1221"/>
      <c r="M582" s="1221"/>
      <c r="N582" s="1221"/>
      <c r="O582" s="1221"/>
      <c r="P582" s="1221"/>
      <c r="Q582" s="1221"/>
      <c r="R582" s="1221"/>
      <c r="S582" s="1221"/>
      <c r="T582" s="1221"/>
      <c r="U582" s="1221"/>
      <c r="V582" s="1221"/>
      <c r="W582" s="1221"/>
      <c r="X582" s="1221"/>
      <c r="Y582" s="1221"/>
      <c r="Z582" s="1221"/>
    </row>
    <row r="583" ht="15.75" customHeight="1">
      <c r="A583" s="1221"/>
      <c r="B583" s="1221"/>
      <c r="C583" s="1221"/>
      <c r="D583" s="1221"/>
      <c r="E583" s="1221"/>
      <c r="F583" s="1221"/>
      <c r="G583" s="1221"/>
      <c r="H583" s="1221"/>
      <c r="I583" s="1221"/>
      <c r="J583" s="1221"/>
      <c r="K583" s="1221"/>
      <c r="L583" s="1221"/>
      <c r="M583" s="1221"/>
      <c r="N583" s="1221"/>
      <c r="O583" s="1221"/>
      <c r="P583" s="1221"/>
      <c r="Q583" s="1221"/>
      <c r="R583" s="1221"/>
      <c r="S583" s="1221"/>
      <c r="T583" s="1221"/>
      <c r="U583" s="1221"/>
      <c r="V583" s="1221"/>
      <c r="W583" s="1221"/>
      <c r="X583" s="1221"/>
      <c r="Y583" s="1221"/>
      <c r="Z583" s="1221"/>
    </row>
    <row r="584" ht="15.75" customHeight="1">
      <c r="A584" s="1221"/>
      <c r="B584" s="1221"/>
      <c r="C584" s="1221"/>
      <c r="D584" s="1221"/>
      <c r="E584" s="1221"/>
      <c r="F584" s="1221"/>
      <c r="G584" s="1221"/>
      <c r="H584" s="1221"/>
      <c r="I584" s="1221"/>
      <c r="J584" s="1221"/>
      <c r="K584" s="1221"/>
      <c r="L584" s="1221"/>
      <c r="M584" s="1221"/>
      <c r="N584" s="1221"/>
      <c r="O584" s="1221"/>
      <c r="P584" s="1221"/>
      <c r="Q584" s="1221"/>
      <c r="R584" s="1221"/>
      <c r="S584" s="1221"/>
      <c r="T584" s="1221"/>
      <c r="U584" s="1221"/>
      <c r="V584" s="1221"/>
      <c r="W584" s="1221"/>
      <c r="X584" s="1221"/>
      <c r="Y584" s="1221"/>
      <c r="Z584" s="1221"/>
    </row>
    <row r="585" ht="15.75" customHeight="1">
      <c r="A585" s="1221"/>
      <c r="B585" s="1221"/>
      <c r="C585" s="1221"/>
      <c r="D585" s="1221"/>
      <c r="E585" s="1221"/>
      <c r="F585" s="1221"/>
      <c r="G585" s="1221"/>
      <c r="H585" s="1221"/>
      <c r="I585" s="1221"/>
      <c r="J585" s="1221"/>
      <c r="K585" s="1221"/>
      <c r="L585" s="1221"/>
      <c r="M585" s="1221"/>
      <c r="N585" s="1221"/>
      <c r="O585" s="1221"/>
      <c r="P585" s="1221"/>
      <c r="Q585" s="1221"/>
      <c r="R585" s="1221"/>
      <c r="S585" s="1221"/>
      <c r="T585" s="1221"/>
      <c r="U585" s="1221"/>
      <c r="V585" s="1221"/>
      <c r="W585" s="1221"/>
      <c r="X585" s="1221"/>
      <c r="Y585" s="1221"/>
      <c r="Z585" s="1221"/>
    </row>
    <row r="586" ht="15.75" customHeight="1">
      <c r="A586" s="1221"/>
      <c r="B586" s="1221"/>
      <c r="C586" s="1221"/>
      <c r="D586" s="1221"/>
      <c r="E586" s="1221"/>
      <c r="F586" s="1221"/>
      <c r="G586" s="1221"/>
      <c r="H586" s="1221"/>
      <c r="I586" s="1221"/>
      <c r="J586" s="1221"/>
      <c r="K586" s="1221"/>
      <c r="L586" s="1221"/>
      <c r="M586" s="1221"/>
      <c r="N586" s="1221"/>
      <c r="O586" s="1221"/>
      <c r="P586" s="1221"/>
      <c r="Q586" s="1221"/>
      <c r="R586" s="1221"/>
      <c r="S586" s="1221"/>
      <c r="T586" s="1221"/>
      <c r="U586" s="1221"/>
      <c r="V586" s="1221"/>
      <c r="W586" s="1221"/>
      <c r="X586" s="1221"/>
      <c r="Y586" s="1221"/>
      <c r="Z586" s="1221"/>
    </row>
    <row r="587" ht="15.75" customHeight="1">
      <c r="A587" s="1221"/>
      <c r="B587" s="1221"/>
      <c r="C587" s="1221"/>
      <c r="D587" s="1221"/>
      <c r="E587" s="1221"/>
      <c r="F587" s="1221"/>
      <c r="G587" s="1221"/>
      <c r="H587" s="1221"/>
      <c r="I587" s="1221"/>
      <c r="J587" s="1221"/>
      <c r="K587" s="1221"/>
      <c r="L587" s="1221"/>
      <c r="M587" s="1221"/>
      <c r="N587" s="1221"/>
      <c r="O587" s="1221"/>
      <c r="P587" s="1221"/>
      <c r="Q587" s="1221"/>
      <c r="R587" s="1221"/>
      <c r="S587" s="1221"/>
      <c r="T587" s="1221"/>
      <c r="U587" s="1221"/>
      <c r="V587" s="1221"/>
      <c r="W587" s="1221"/>
      <c r="X587" s="1221"/>
      <c r="Y587" s="1221"/>
      <c r="Z587" s="1221"/>
    </row>
    <row r="588" ht="15.75" customHeight="1">
      <c r="A588" s="1221"/>
      <c r="B588" s="1221"/>
      <c r="C588" s="1221"/>
      <c r="D588" s="1221"/>
      <c r="E588" s="1221"/>
      <c r="F588" s="1221"/>
      <c r="G588" s="1221"/>
      <c r="H588" s="1221"/>
      <c r="I588" s="1221"/>
      <c r="J588" s="1221"/>
      <c r="K588" s="1221"/>
      <c r="L588" s="1221"/>
      <c r="M588" s="1221"/>
      <c r="N588" s="1221"/>
      <c r="O588" s="1221"/>
      <c r="P588" s="1221"/>
      <c r="Q588" s="1221"/>
      <c r="R588" s="1221"/>
      <c r="S588" s="1221"/>
      <c r="T588" s="1221"/>
      <c r="U588" s="1221"/>
      <c r="V588" s="1221"/>
      <c r="W588" s="1221"/>
      <c r="X588" s="1221"/>
      <c r="Y588" s="1221"/>
      <c r="Z588" s="1221"/>
    </row>
    <row r="589" ht="15.75" customHeight="1">
      <c r="A589" s="1221"/>
      <c r="B589" s="1221"/>
      <c r="C589" s="1221"/>
      <c r="D589" s="1221"/>
      <c r="E589" s="1221"/>
      <c r="F589" s="1221"/>
      <c r="G589" s="1221"/>
      <c r="H589" s="1221"/>
      <c r="I589" s="1221"/>
      <c r="J589" s="1221"/>
      <c r="K589" s="1221"/>
      <c r="L589" s="1221"/>
      <c r="M589" s="1221"/>
      <c r="N589" s="1221"/>
      <c r="O589" s="1221"/>
      <c r="P589" s="1221"/>
      <c r="Q589" s="1221"/>
      <c r="R589" s="1221"/>
      <c r="S589" s="1221"/>
      <c r="T589" s="1221"/>
      <c r="U589" s="1221"/>
      <c r="V589" s="1221"/>
      <c r="W589" s="1221"/>
      <c r="X589" s="1221"/>
      <c r="Y589" s="1221"/>
      <c r="Z589" s="1221"/>
    </row>
    <row r="590" ht="15.75" customHeight="1">
      <c r="A590" s="1221"/>
      <c r="B590" s="1221"/>
      <c r="C590" s="1221"/>
      <c r="D590" s="1221"/>
      <c r="E590" s="1221"/>
      <c r="F590" s="1221"/>
      <c r="G590" s="1221"/>
      <c r="H590" s="1221"/>
      <c r="I590" s="1221"/>
      <c r="J590" s="1221"/>
      <c r="K590" s="1221"/>
      <c r="L590" s="1221"/>
      <c r="M590" s="1221"/>
      <c r="N590" s="1221"/>
      <c r="O590" s="1221"/>
      <c r="P590" s="1221"/>
      <c r="Q590" s="1221"/>
      <c r="R590" s="1221"/>
      <c r="S590" s="1221"/>
      <c r="T590" s="1221"/>
      <c r="U590" s="1221"/>
      <c r="V590" s="1221"/>
      <c r="W590" s="1221"/>
      <c r="X590" s="1221"/>
      <c r="Y590" s="1221"/>
      <c r="Z590" s="1221"/>
    </row>
    <row r="591" ht="15.75" customHeight="1">
      <c r="A591" s="1221"/>
      <c r="B591" s="1221"/>
      <c r="C591" s="1221"/>
      <c r="D591" s="1221"/>
      <c r="E591" s="1221"/>
      <c r="F591" s="1221"/>
      <c r="G591" s="1221"/>
      <c r="H591" s="1221"/>
      <c r="I591" s="1221"/>
      <c r="J591" s="1221"/>
      <c r="K591" s="1221"/>
      <c r="L591" s="1221"/>
      <c r="M591" s="1221"/>
      <c r="N591" s="1221"/>
      <c r="O591" s="1221"/>
      <c r="P591" s="1221"/>
      <c r="Q591" s="1221"/>
      <c r="R591" s="1221"/>
      <c r="S591" s="1221"/>
      <c r="T591" s="1221"/>
      <c r="U591" s="1221"/>
      <c r="V591" s="1221"/>
      <c r="W591" s="1221"/>
      <c r="X591" s="1221"/>
      <c r="Y591" s="1221"/>
      <c r="Z591" s="1221"/>
    </row>
    <row r="592" ht="15.75" customHeight="1">
      <c r="A592" s="1221"/>
      <c r="B592" s="1221"/>
      <c r="C592" s="1221"/>
      <c r="D592" s="1221"/>
      <c r="E592" s="1221"/>
      <c r="F592" s="1221"/>
      <c r="G592" s="1221"/>
      <c r="H592" s="1221"/>
      <c r="I592" s="1221"/>
      <c r="J592" s="1221"/>
      <c r="K592" s="1221"/>
      <c r="L592" s="1221"/>
      <c r="M592" s="1221"/>
      <c r="N592" s="1221"/>
      <c r="O592" s="1221"/>
      <c r="P592" s="1221"/>
      <c r="Q592" s="1221"/>
      <c r="R592" s="1221"/>
      <c r="S592" s="1221"/>
      <c r="T592" s="1221"/>
      <c r="U592" s="1221"/>
      <c r="V592" s="1221"/>
      <c r="W592" s="1221"/>
      <c r="X592" s="1221"/>
      <c r="Y592" s="1221"/>
      <c r="Z592" s="1221"/>
    </row>
    <row r="593" ht="15.75" customHeight="1">
      <c r="A593" s="1221"/>
      <c r="B593" s="1221"/>
      <c r="C593" s="1221"/>
      <c r="D593" s="1221"/>
      <c r="E593" s="1221"/>
      <c r="F593" s="1221"/>
      <c r="G593" s="1221"/>
      <c r="H593" s="1221"/>
      <c r="I593" s="1221"/>
      <c r="J593" s="1221"/>
      <c r="K593" s="1221"/>
      <c r="L593" s="1221"/>
      <c r="M593" s="1221"/>
      <c r="N593" s="1221"/>
      <c r="O593" s="1221"/>
      <c r="P593" s="1221"/>
      <c r="Q593" s="1221"/>
      <c r="R593" s="1221"/>
      <c r="S593" s="1221"/>
      <c r="T593" s="1221"/>
      <c r="U593" s="1221"/>
      <c r="V593" s="1221"/>
      <c r="W593" s="1221"/>
      <c r="X593" s="1221"/>
      <c r="Y593" s="1221"/>
      <c r="Z593" s="1221"/>
    </row>
    <row r="594" ht="15.75" customHeight="1">
      <c r="A594" s="1221"/>
      <c r="B594" s="1221"/>
      <c r="C594" s="1221"/>
      <c r="D594" s="1221"/>
      <c r="E594" s="1221"/>
      <c r="F594" s="1221"/>
      <c r="G594" s="1221"/>
      <c r="H594" s="1221"/>
      <c r="I594" s="1221"/>
      <c r="J594" s="1221"/>
      <c r="K594" s="1221"/>
      <c r="L594" s="1221"/>
      <c r="M594" s="1221"/>
      <c r="N594" s="1221"/>
      <c r="O594" s="1221"/>
      <c r="P594" s="1221"/>
      <c r="Q594" s="1221"/>
      <c r="R594" s="1221"/>
      <c r="S594" s="1221"/>
      <c r="T594" s="1221"/>
      <c r="U594" s="1221"/>
      <c r="V594" s="1221"/>
      <c r="W594" s="1221"/>
      <c r="X594" s="1221"/>
      <c r="Y594" s="1221"/>
      <c r="Z594" s="1221"/>
    </row>
    <row r="595" ht="15.75" customHeight="1">
      <c r="A595" s="1221"/>
      <c r="B595" s="1221"/>
      <c r="C595" s="1221"/>
      <c r="D595" s="1221"/>
      <c r="E595" s="1221"/>
      <c r="F595" s="1221"/>
      <c r="G595" s="1221"/>
      <c r="H595" s="1221"/>
      <c r="I595" s="1221"/>
      <c r="J595" s="1221"/>
      <c r="K595" s="1221"/>
      <c r="L595" s="1221"/>
      <c r="M595" s="1221"/>
      <c r="N595" s="1221"/>
      <c r="O595" s="1221"/>
      <c r="P595" s="1221"/>
      <c r="Q595" s="1221"/>
      <c r="R595" s="1221"/>
      <c r="S595" s="1221"/>
      <c r="T595" s="1221"/>
      <c r="U595" s="1221"/>
      <c r="V595" s="1221"/>
      <c r="W595" s="1221"/>
      <c r="X595" s="1221"/>
      <c r="Y595" s="1221"/>
      <c r="Z595" s="1221"/>
    </row>
    <row r="596" ht="15.75" customHeight="1">
      <c r="A596" s="1221"/>
      <c r="B596" s="1221"/>
      <c r="C596" s="1221"/>
      <c r="D596" s="1221"/>
      <c r="E596" s="1221"/>
      <c r="F596" s="1221"/>
      <c r="G596" s="1221"/>
      <c r="H596" s="1221"/>
      <c r="I596" s="1221"/>
      <c r="J596" s="1221"/>
      <c r="K596" s="1221"/>
      <c r="L596" s="1221"/>
      <c r="M596" s="1221"/>
      <c r="N596" s="1221"/>
      <c r="O596" s="1221"/>
      <c r="P596" s="1221"/>
      <c r="Q596" s="1221"/>
      <c r="R596" s="1221"/>
      <c r="S596" s="1221"/>
      <c r="T596" s="1221"/>
      <c r="U596" s="1221"/>
      <c r="V596" s="1221"/>
      <c r="W596" s="1221"/>
      <c r="X596" s="1221"/>
      <c r="Y596" s="1221"/>
      <c r="Z596" s="1221"/>
    </row>
    <row r="597" ht="15.75" customHeight="1">
      <c r="A597" s="1221"/>
      <c r="B597" s="1221"/>
      <c r="C597" s="1221"/>
      <c r="D597" s="1221"/>
      <c r="E597" s="1221"/>
      <c r="F597" s="1221"/>
      <c r="G597" s="1221"/>
      <c r="H597" s="1221"/>
      <c r="I597" s="1221"/>
      <c r="J597" s="1221"/>
      <c r="K597" s="1221"/>
      <c r="L597" s="1221"/>
      <c r="M597" s="1221"/>
      <c r="N597" s="1221"/>
      <c r="O597" s="1221"/>
      <c r="P597" s="1221"/>
      <c r="Q597" s="1221"/>
      <c r="R597" s="1221"/>
      <c r="S597" s="1221"/>
      <c r="T597" s="1221"/>
      <c r="U597" s="1221"/>
      <c r="V597" s="1221"/>
      <c r="W597" s="1221"/>
      <c r="X597" s="1221"/>
      <c r="Y597" s="1221"/>
      <c r="Z597" s="1221"/>
    </row>
    <row r="598" ht="15.75" customHeight="1">
      <c r="A598" s="1221"/>
      <c r="B598" s="1221"/>
      <c r="C598" s="1221"/>
      <c r="D598" s="1221"/>
      <c r="E598" s="1221"/>
      <c r="F598" s="1221"/>
      <c r="G598" s="1221"/>
      <c r="H598" s="1221"/>
      <c r="I598" s="1221"/>
      <c r="J598" s="1221"/>
      <c r="K598" s="1221"/>
      <c r="L598" s="1221"/>
      <c r="M598" s="1221"/>
      <c r="N598" s="1221"/>
      <c r="O598" s="1221"/>
      <c r="P598" s="1221"/>
      <c r="Q598" s="1221"/>
      <c r="R598" s="1221"/>
      <c r="S598" s="1221"/>
      <c r="T598" s="1221"/>
      <c r="U598" s="1221"/>
      <c r="V598" s="1221"/>
      <c r="W598" s="1221"/>
      <c r="X598" s="1221"/>
      <c r="Y598" s="1221"/>
      <c r="Z598" s="1221"/>
    </row>
    <row r="599" ht="15.75" customHeight="1">
      <c r="A599" s="1221"/>
      <c r="B599" s="1221"/>
      <c r="C599" s="1221"/>
      <c r="D599" s="1221"/>
      <c r="E599" s="1221"/>
      <c r="F599" s="1221"/>
      <c r="G599" s="1221"/>
      <c r="H599" s="1221"/>
      <c r="I599" s="1221"/>
      <c r="J599" s="1221"/>
      <c r="K599" s="1221"/>
      <c r="L599" s="1221"/>
      <c r="M599" s="1221"/>
      <c r="N599" s="1221"/>
      <c r="O599" s="1221"/>
      <c r="P599" s="1221"/>
      <c r="Q599" s="1221"/>
      <c r="R599" s="1221"/>
      <c r="S599" s="1221"/>
      <c r="T599" s="1221"/>
      <c r="U599" s="1221"/>
      <c r="V599" s="1221"/>
      <c r="W599" s="1221"/>
      <c r="X599" s="1221"/>
      <c r="Y599" s="1221"/>
      <c r="Z599" s="1221"/>
    </row>
    <row r="600" ht="15.75" customHeight="1">
      <c r="A600" s="1221"/>
      <c r="B600" s="1221"/>
      <c r="C600" s="1221"/>
      <c r="D600" s="1221"/>
      <c r="E600" s="1221"/>
      <c r="F600" s="1221"/>
      <c r="G600" s="1221"/>
      <c r="H600" s="1221"/>
      <c r="I600" s="1221"/>
      <c r="J600" s="1221"/>
      <c r="K600" s="1221"/>
      <c r="L600" s="1221"/>
      <c r="M600" s="1221"/>
      <c r="N600" s="1221"/>
      <c r="O600" s="1221"/>
      <c r="P600" s="1221"/>
      <c r="Q600" s="1221"/>
      <c r="R600" s="1221"/>
      <c r="S600" s="1221"/>
      <c r="T600" s="1221"/>
      <c r="U600" s="1221"/>
      <c r="V600" s="1221"/>
      <c r="W600" s="1221"/>
      <c r="X600" s="1221"/>
      <c r="Y600" s="1221"/>
      <c r="Z600" s="1221"/>
    </row>
    <row r="601" ht="15.75" customHeight="1">
      <c r="A601" s="1221"/>
      <c r="B601" s="1221"/>
      <c r="C601" s="1221"/>
      <c r="D601" s="1221"/>
      <c r="E601" s="1221"/>
      <c r="F601" s="1221"/>
      <c r="G601" s="1221"/>
      <c r="H601" s="1221"/>
      <c r="I601" s="1221"/>
      <c r="J601" s="1221"/>
      <c r="K601" s="1221"/>
      <c r="L601" s="1221"/>
      <c r="M601" s="1221"/>
      <c r="N601" s="1221"/>
      <c r="O601" s="1221"/>
      <c r="P601" s="1221"/>
      <c r="Q601" s="1221"/>
      <c r="R601" s="1221"/>
      <c r="S601" s="1221"/>
      <c r="T601" s="1221"/>
      <c r="U601" s="1221"/>
      <c r="V601" s="1221"/>
      <c r="W601" s="1221"/>
      <c r="X601" s="1221"/>
      <c r="Y601" s="1221"/>
      <c r="Z601" s="1221"/>
    </row>
    <row r="602" ht="15.75" customHeight="1">
      <c r="A602" s="1221"/>
      <c r="B602" s="1221"/>
      <c r="C602" s="1221"/>
      <c r="D602" s="1221"/>
      <c r="E602" s="1221"/>
      <c r="F602" s="1221"/>
      <c r="G602" s="1221"/>
      <c r="H602" s="1221"/>
      <c r="I602" s="1221"/>
      <c r="J602" s="1221"/>
      <c r="K602" s="1221"/>
      <c r="L602" s="1221"/>
      <c r="M602" s="1221"/>
      <c r="N602" s="1221"/>
      <c r="O602" s="1221"/>
      <c r="P602" s="1221"/>
      <c r="Q602" s="1221"/>
      <c r="R602" s="1221"/>
      <c r="S602" s="1221"/>
      <c r="T602" s="1221"/>
      <c r="U602" s="1221"/>
      <c r="V602" s="1221"/>
      <c r="W602" s="1221"/>
      <c r="X602" s="1221"/>
      <c r="Y602" s="1221"/>
      <c r="Z602" s="1221"/>
    </row>
    <row r="603" ht="15.75" customHeight="1">
      <c r="A603" s="1221"/>
      <c r="B603" s="1221"/>
      <c r="C603" s="1221"/>
      <c r="D603" s="1221"/>
      <c r="E603" s="1221"/>
      <c r="F603" s="1221"/>
      <c r="G603" s="1221"/>
      <c r="H603" s="1221"/>
      <c r="I603" s="1221"/>
      <c r="J603" s="1221"/>
      <c r="K603" s="1221"/>
      <c r="L603" s="1221"/>
      <c r="M603" s="1221"/>
      <c r="N603" s="1221"/>
      <c r="O603" s="1221"/>
      <c r="P603" s="1221"/>
      <c r="Q603" s="1221"/>
      <c r="R603" s="1221"/>
      <c r="S603" s="1221"/>
      <c r="T603" s="1221"/>
      <c r="U603" s="1221"/>
      <c r="V603" s="1221"/>
      <c r="W603" s="1221"/>
      <c r="X603" s="1221"/>
      <c r="Y603" s="1221"/>
      <c r="Z603" s="1221"/>
    </row>
    <row r="604" ht="15.75" customHeight="1">
      <c r="A604" s="1221"/>
      <c r="B604" s="1221"/>
      <c r="C604" s="1221"/>
      <c r="D604" s="1221"/>
      <c r="E604" s="1221"/>
      <c r="F604" s="1221"/>
      <c r="G604" s="1221"/>
      <c r="H604" s="1221"/>
      <c r="I604" s="1221"/>
      <c r="J604" s="1221"/>
      <c r="K604" s="1221"/>
      <c r="L604" s="1221"/>
      <c r="M604" s="1221"/>
      <c r="N604" s="1221"/>
      <c r="O604" s="1221"/>
      <c r="P604" s="1221"/>
      <c r="Q604" s="1221"/>
      <c r="R604" s="1221"/>
      <c r="S604" s="1221"/>
      <c r="T604" s="1221"/>
      <c r="U604" s="1221"/>
      <c r="V604" s="1221"/>
      <c r="W604" s="1221"/>
      <c r="X604" s="1221"/>
      <c r="Y604" s="1221"/>
      <c r="Z604" s="1221"/>
    </row>
    <row r="605" ht="15.75" customHeight="1">
      <c r="A605" s="1221"/>
      <c r="B605" s="1221"/>
      <c r="C605" s="1221"/>
      <c r="D605" s="1221"/>
      <c r="E605" s="1221"/>
      <c r="F605" s="1221"/>
      <c r="G605" s="1221"/>
      <c r="H605" s="1221"/>
      <c r="I605" s="1221"/>
      <c r="J605" s="1221"/>
      <c r="K605" s="1221"/>
      <c r="L605" s="1221"/>
      <c r="M605" s="1221"/>
      <c r="N605" s="1221"/>
      <c r="O605" s="1221"/>
      <c r="P605" s="1221"/>
      <c r="Q605" s="1221"/>
      <c r="R605" s="1221"/>
      <c r="S605" s="1221"/>
      <c r="T605" s="1221"/>
      <c r="U605" s="1221"/>
      <c r="V605" s="1221"/>
      <c r="W605" s="1221"/>
      <c r="X605" s="1221"/>
      <c r="Y605" s="1221"/>
      <c r="Z605" s="1221"/>
    </row>
    <row r="606" ht="15.75" customHeight="1">
      <c r="A606" s="1221"/>
      <c r="B606" s="1221"/>
      <c r="C606" s="1221"/>
      <c r="D606" s="1221"/>
      <c r="E606" s="1221"/>
      <c r="F606" s="1221"/>
      <c r="G606" s="1221"/>
      <c r="H606" s="1221"/>
      <c r="I606" s="1221"/>
      <c r="J606" s="1221"/>
      <c r="K606" s="1221"/>
      <c r="L606" s="1221"/>
      <c r="M606" s="1221"/>
      <c r="N606" s="1221"/>
      <c r="O606" s="1221"/>
      <c r="P606" s="1221"/>
      <c r="Q606" s="1221"/>
      <c r="R606" s="1221"/>
      <c r="S606" s="1221"/>
      <c r="T606" s="1221"/>
      <c r="U606" s="1221"/>
      <c r="V606" s="1221"/>
      <c r="W606" s="1221"/>
      <c r="X606" s="1221"/>
      <c r="Y606" s="1221"/>
      <c r="Z606" s="1221"/>
    </row>
    <row r="607" ht="15.75" customHeight="1">
      <c r="A607" s="1221"/>
      <c r="B607" s="1221"/>
      <c r="C607" s="1221"/>
      <c r="D607" s="1221"/>
      <c r="E607" s="1221"/>
      <c r="F607" s="1221"/>
      <c r="G607" s="1221"/>
      <c r="H607" s="1221"/>
      <c r="I607" s="1221"/>
      <c r="J607" s="1221"/>
      <c r="K607" s="1221"/>
      <c r="L607" s="1221"/>
      <c r="M607" s="1221"/>
      <c r="N607" s="1221"/>
      <c r="O607" s="1221"/>
      <c r="P607" s="1221"/>
      <c r="Q607" s="1221"/>
      <c r="R607" s="1221"/>
      <c r="S607" s="1221"/>
      <c r="T607" s="1221"/>
      <c r="U607" s="1221"/>
      <c r="V607" s="1221"/>
      <c r="W607" s="1221"/>
      <c r="X607" s="1221"/>
      <c r="Y607" s="1221"/>
      <c r="Z607" s="1221"/>
    </row>
    <row r="608" ht="15.75" customHeight="1">
      <c r="A608" s="1221"/>
      <c r="B608" s="1221"/>
      <c r="C608" s="1221"/>
      <c r="D608" s="1221"/>
      <c r="E608" s="1221"/>
      <c r="F608" s="1221"/>
      <c r="G608" s="1221"/>
      <c r="H608" s="1221"/>
      <c r="I608" s="1221"/>
      <c r="J608" s="1221"/>
      <c r="K608" s="1221"/>
      <c r="L608" s="1221"/>
      <c r="M608" s="1221"/>
      <c r="N608" s="1221"/>
      <c r="O608" s="1221"/>
      <c r="P608" s="1221"/>
      <c r="Q608" s="1221"/>
      <c r="R608" s="1221"/>
      <c r="S608" s="1221"/>
      <c r="T608" s="1221"/>
      <c r="U608" s="1221"/>
      <c r="V608" s="1221"/>
      <c r="W608" s="1221"/>
      <c r="X608" s="1221"/>
      <c r="Y608" s="1221"/>
      <c r="Z608" s="1221"/>
    </row>
    <row r="609" ht="15.75" customHeight="1">
      <c r="A609" s="1221"/>
      <c r="B609" s="1221"/>
      <c r="C609" s="1221"/>
      <c r="D609" s="1221"/>
      <c r="E609" s="1221"/>
      <c r="F609" s="1221"/>
      <c r="G609" s="1221"/>
      <c r="H609" s="1221"/>
      <c r="I609" s="1221"/>
      <c r="J609" s="1221"/>
      <c r="K609" s="1221"/>
      <c r="L609" s="1221"/>
      <c r="M609" s="1221"/>
      <c r="N609" s="1221"/>
      <c r="O609" s="1221"/>
      <c r="P609" s="1221"/>
      <c r="Q609" s="1221"/>
      <c r="R609" s="1221"/>
      <c r="S609" s="1221"/>
      <c r="T609" s="1221"/>
      <c r="U609" s="1221"/>
      <c r="V609" s="1221"/>
      <c r="W609" s="1221"/>
      <c r="X609" s="1221"/>
      <c r="Y609" s="1221"/>
      <c r="Z609" s="1221"/>
    </row>
    <row r="610" ht="15.75" customHeight="1">
      <c r="A610" s="1221"/>
      <c r="B610" s="1221"/>
      <c r="C610" s="1221"/>
      <c r="D610" s="1221"/>
      <c r="E610" s="1221"/>
      <c r="F610" s="1221"/>
      <c r="G610" s="1221"/>
      <c r="H610" s="1221"/>
      <c r="I610" s="1221"/>
      <c r="J610" s="1221"/>
      <c r="K610" s="1221"/>
      <c r="L610" s="1221"/>
      <c r="M610" s="1221"/>
      <c r="N610" s="1221"/>
      <c r="O610" s="1221"/>
      <c r="P610" s="1221"/>
      <c r="Q610" s="1221"/>
      <c r="R610" s="1221"/>
      <c r="S610" s="1221"/>
      <c r="T610" s="1221"/>
      <c r="U610" s="1221"/>
      <c r="V610" s="1221"/>
      <c r="W610" s="1221"/>
      <c r="X610" s="1221"/>
      <c r="Y610" s="1221"/>
      <c r="Z610" s="1221"/>
    </row>
    <row r="611" ht="15.75" customHeight="1">
      <c r="A611" s="1221"/>
      <c r="B611" s="1221"/>
      <c r="C611" s="1221"/>
      <c r="D611" s="1221"/>
      <c r="E611" s="1221"/>
      <c r="F611" s="1221"/>
      <c r="G611" s="1221"/>
      <c r="H611" s="1221"/>
      <c r="I611" s="1221"/>
      <c r="J611" s="1221"/>
      <c r="K611" s="1221"/>
      <c r="L611" s="1221"/>
      <c r="M611" s="1221"/>
      <c r="N611" s="1221"/>
      <c r="O611" s="1221"/>
      <c r="P611" s="1221"/>
      <c r="Q611" s="1221"/>
      <c r="R611" s="1221"/>
      <c r="S611" s="1221"/>
      <c r="T611" s="1221"/>
      <c r="U611" s="1221"/>
      <c r="V611" s="1221"/>
      <c r="W611" s="1221"/>
      <c r="X611" s="1221"/>
      <c r="Y611" s="1221"/>
      <c r="Z611" s="1221"/>
    </row>
    <row r="612" ht="15.75" customHeight="1">
      <c r="A612" s="1221"/>
      <c r="B612" s="1221"/>
      <c r="C612" s="1221"/>
      <c r="D612" s="1221"/>
      <c r="E612" s="1221"/>
      <c r="F612" s="1221"/>
      <c r="G612" s="1221"/>
      <c r="H612" s="1221"/>
      <c r="I612" s="1221"/>
      <c r="J612" s="1221"/>
      <c r="K612" s="1221"/>
      <c r="L612" s="1221"/>
      <c r="M612" s="1221"/>
      <c r="N612" s="1221"/>
      <c r="O612" s="1221"/>
      <c r="P612" s="1221"/>
      <c r="Q612" s="1221"/>
      <c r="R612" s="1221"/>
      <c r="S612" s="1221"/>
      <c r="T612" s="1221"/>
      <c r="U612" s="1221"/>
      <c r="V612" s="1221"/>
      <c r="W612" s="1221"/>
      <c r="X612" s="1221"/>
      <c r="Y612" s="1221"/>
      <c r="Z612" s="1221"/>
    </row>
    <row r="613" ht="15.75" customHeight="1">
      <c r="A613" s="1221"/>
      <c r="B613" s="1221"/>
      <c r="C613" s="1221"/>
      <c r="D613" s="1221"/>
      <c r="E613" s="1221"/>
      <c r="F613" s="1221"/>
      <c r="G613" s="1221"/>
      <c r="H613" s="1221"/>
      <c r="I613" s="1221"/>
      <c r="J613" s="1221"/>
      <c r="K613" s="1221"/>
      <c r="L613" s="1221"/>
      <c r="M613" s="1221"/>
      <c r="N613" s="1221"/>
      <c r="O613" s="1221"/>
      <c r="P613" s="1221"/>
      <c r="Q613" s="1221"/>
      <c r="R613" s="1221"/>
      <c r="S613" s="1221"/>
      <c r="T613" s="1221"/>
      <c r="U613" s="1221"/>
      <c r="V613" s="1221"/>
      <c r="W613" s="1221"/>
      <c r="X613" s="1221"/>
      <c r="Y613" s="1221"/>
      <c r="Z613" s="1221"/>
    </row>
    <row r="614" ht="15.75" customHeight="1">
      <c r="A614" s="1221"/>
      <c r="B614" s="1221"/>
      <c r="C614" s="1221"/>
      <c r="D614" s="1221"/>
      <c r="E614" s="1221"/>
      <c r="F614" s="1221"/>
      <c r="G614" s="1221"/>
      <c r="H614" s="1221"/>
      <c r="I614" s="1221"/>
      <c r="J614" s="1221"/>
      <c r="K614" s="1221"/>
      <c r="L614" s="1221"/>
      <c r="M614" s="1221"/>
      <c r="N614" s="1221"/>
      <c r="O614" s="1221"/>
      <c r="P614" s="1221"/>
      <c r="Q614" s="1221"/>
      <c r="R614" s="1221"/>
      <c r="S614" s="1221"/>
      <c r="T614" s="1221"/>
      <c r="U614" s="1221"/>
      <c r="V614" s="1221"/>
      <c r="W614" s="1221"/>
      <c r="X614" s="1221"/>
      <c r="Y614" s="1221"/>
      <c r="Z614" s="1221"/>
    </row>
    <row r="615" ht="15.75" customHeight="1">
      <c r="A615" s="1221"/>
      <c r="B615" s="1221"/>
      <c r="C615" s="1221"/>
      <c r="D615" s="1221"/>
      <c r="E615" s="1221"/>
      <c r="F615" s="1221"/>
      <c r="G615" s="1221"/>
      <c r="H615" s="1221"/>
      <c r="I615" s="1221"/>
      <c r="J615" s="1221"/>
      <c r="K615" s="1221"/>
      <c r="L615" s="1221"/>
      <c r="M615" s="1221"/>
      <c r="N615" s="1221"/>
      <c r="O615" s="1221"/>
      <c r="P615" s="1221"/>
      <c r="Q615" s="1221"/>
      <c r="R615" s="1221"/>
      <c r="S615" s="1221"/>
      <c r="T615" s="1221"/>
      <c r="U615" s="1221"/>
      <c r="V615" s="1221"/>
      <c r="W615" s="1221"/>
      <c r="X615" s="1221"/>
      <c r="Y615" s="1221"/>
      <c r="Z615" s="1221"/>
    </row>
    <row r="616" ht="15.75" customHeight="1">
      <c r="A616" s="1221"/>
      <c r="B616" s="1221"/>
      <c r="C616" s="1221"/>
      <c r="D616" s="1221"/>
      <c r="E616" s="1221"/>
      <c r="F616" s="1221"/>
      <c r="G616" s="1221"/>
      <c r="H616" s="1221"/>
      <c r="I616" s="1221"/>
      <c r="J616" s="1221"/>
      <c r="K616" s="1221"/>
      <c r="L616" s="1221"/>
      <c r="M616" s="1221"/>
      <c r="N616" s="1221"/>
      <c r="O616" s="1221"/>
      <c r="P616" s="1221"/>
      <c r="Q616" s="1221"/>
      <c r="R616" s="1221"/>
      <c r="S616" s="1221"/>
      <c r="T616" s="1221"/>
      <c r="U616" s="1221"/>
      <c r="V616" s="1221"/>
      <c r="W616" s="1221"/>
      <c r="X616" s="1221"/>
      <c r="Y616" s="1221"/>
      <c r="Z616" s="1221"/>
    </row>
    <row r="617" ht="15.75" customHeight="1">
      <c r="A617" s="1221"/>
      <c r="B617" s="1221"/>
      <c r="C617" s="1221"/>
      <c r="D617" s="1221"/>
      <c r="E617" s="1221"/>
      <c r="F617" s="1221"/>
      <c r="G617" s="1221"/>
      <c r="H617" s="1221"/>
      <c r="I617" s="1221"/>
      <c r="J617" s="1221"/>
      <c r="K617" s="1221"/>
      <c r="L617" s="1221"/>
      <c r="M617" s="1221"/>
      <c r="N617" s="1221"/>
      <c r="O617" s="1221"/>
      <c r="P617" s="1221"/>
      <c r="Q617" s="1221"/>
      <c r="R617" s="1221"/>
      <c r="S617" s="1221"/>
      <c r="T617" s="1221"/>
      <c r="U617" s="1221"/>
      <c r="V617" s="1221"/>
      <c r="W617" s="1221"/>
      <c r="X617" s="1221"/>
      <c r="Y617" s="1221"/>
      <c r="Z617" s="1221"/>
    </row>
    <row r="618" ht="15.75" customHeight="1">
      <c r="A618" s="1221"/>
      <c r="B618" s="1221"/>
      <c r="C618" s="1221"/>
      <c r="D618" s="1221"/>
      <c r="E618" s="1221"/>
      <c r="F618" s="1221"/>
      <c r="G618" s="1221"/>
      <c r="H618" s="1221"/>
      <c r="I618" s="1221"/>
      <c r="J618" s="1221"/>
      <c r="K618" s="1221"/>
      <c r="L618" s="1221"/>
      <c r="M618" s="1221"/>
      <c r="N618" s="1221"/>
      <c r="O618" s="1221"/>
      <c r="P618" s="1221"/>
      <c r="Q618" s="1221"/>
      <c r="R618" s="1221"/>
      <c r="S618" s="1221"/>
      <c r="T618" s="1221"/>
      <c r="U618" s="1221"/>
      <c r="V618" s="1221"/>
      <c r="W618" s="1221"/>
      <c r="X618" s="1221"/>
      <c r="Y618" s="1221"/>
      <c r="Z618" s="1221"/>
    </row>
    <row r="619" ht="15.75" customHeight="1">
      <c r="A619" s="1221"/>
      <c r="B619" s="1221"/>
      <c r="C619" s="1221"/>
      <c r="D619" s="1221"/>
      <c r="E619" s="1221"/>
      <c r="F619" s="1221"/>
      <c r="G619" s="1221"/>
      <c r="H619" s="1221"/>
      <c r="I619" s="1221"/>
      <c r="J619" s="1221"/>
      <c r="K619" s="1221"/>
      <c r="L619" s="1221"/>
      <c r="M619" s="1221"/>
      <c r="N619" s="1221"/>
      <c r="O619" s="1221"/>
      <c r="P619" s="1221"/>
      <c r="Q619" s="1221"/>
      <c r="R619" s="1221"/>
      <c r="S619" s="1221"/>
      <c r="T619" s="1221"/>
      <c r="U619" s="1221"/>
      <c r="V619" s="1221"/>
      <c r="W619" s="1221"/>
      <c r="X619" s="1221"/>
      <c r="Y619" s="1221"/>
      <c r="Z619" s="1221"/>
    </row>
    <row r="620" ht="15.75" customHeight="1">
      <c r="A620" s="1221"/>
      <c r="B620" s="1221"/>
      <c r="C620" s="1221"/>
      <c r="D620" s="1221"/>
      <c r="E620" s="1221"/>
      <c r="F620" s="1221"/>
      <c r="G620" s="1221"/>
      <c r="H620" s="1221"/>
      <c r="I620" s="1221"/>
      <c r="J620" s="1221"/>
      <c r="K620" s="1221"/>
      <c r="L620" s="1221"/>
      <c r="M620" s="1221"/>
      <c r="N620" s="1221"/>
      <c r="O620" s="1221"/>
      <c r="P620" s="1221"/>
      <c r="Q620" s="1221"/>
      <c r="R620" s="1221"/>
      <c r="S620" s="1221"/>
      <c r="T620" s="1221"/>
      <c r="U620" s="1221"/>
      <c r="V620" s="1221"/>
      <c r="W620" s="1221"/>
      <c r="X620" s="1221"/>
      <c r="Y620" s="1221"/>
      <c r="Z620" s="1221"/>
    </row>
    <row r="621" ht="15.75" customHeight="1">
      <c r="A621" s="1221"/>
      <c r="B621" s="1221"/>
      <c r="C621" s="1221"/>
      <c r="D621" s="1221"/>
      <c r="E621" s="1221"/>
      <c r="F621" s="1221"/>
      <c r="G621" s="1221"/>
      <c r="H621" s="1221"/>
      <c r="I621" s="1221"/>
      <c r="J621" s="1221"/>
      <c r="K621" s="1221"/>
      <c r="L621" s="1221"/>
      <c r="M621" s="1221"/>
      <c r="N621" s="1221"/>
      <c r="O621" s="1221"/>
      <c r="P621" s="1221"/>
      <c r="Q621" s="1221"/>
      <c r="R621" s="1221"/>
      <c r="S621" s="1221"/>
      <c r="T621" s="1221"/>
      <c r="U621" s="1221"/>
      <c r="V621" s="1221"/>
      <c r="W621" s="1221"/>
      <c r="X621" s="1221"/>
      <c r="Y621" s="1221"/>
      <c r="Z621" s="1221"/>
    </row>
    <row r="622" ht="15.75" customHeight="1">
      <c r="A622" s="1221"/>
      <c r="B622" s="1221"/>
      <c r="C622" s="1221"/>
      <c r="D622" s="1221"/>
      <c r="E622" s="1221"/>
      <c r="F622" s="1221"/>
      <c r="G622" s="1221"/>
      <c r="H622" s="1221"/>
      <c r="I622" s="1221"/>
      <c r="J622" s="1221"/>
      <c r="K622" s="1221"/>
      <c r="L622" s="1221"/>
      <c r="M622" s="1221"/>
      <c r="N622" s="1221"/>
      <c r="O622" s="1221"/>
      <c r="P622" s="1221"/>
      <c r="Q622" s="1221"/>
      <c r="R622" s="1221"/>
      <c r="S622" s="1221"/>
      <c r="T622" s="1221"/>
      <c r="U622" s="1221"/>
      <c r="V622" s="1221"/>
      <c r="W622" s="1221"/>
      <c r="X622" s="1221"/>
      <c r="Y622" s="1221"/>
      <c r="Z622" s="1221"/>
    </row>
    <row r="623" ht="15.75" customHeight="1">
      <c r="A623" s="1221"/>
      <c r="B623" s="1221"/>
      <c r="C623" s="1221"/>
      <c r="D623" s="1221"/>
      <c r="E623" s="1221"/>
      <c r="F623" s="1221"/>
      <c r="G623" s="1221"/>
      <c r="H623" s="1221"/>
      <c r="I623" s="1221"/>
      <c r="J623" s="1221"/>
      <c r="K623" s="1221"/>
      <c r="L623" s="1221"/>
      <c r="M623" s="1221"/>
      <c r="N623" s="1221"/>
      <c r="O623" s="1221"/>
      <c r="P623" s="1221"/>
      <c r="Q623" s="1221"/>
      <c r="R623" s="1221"/>
      <c r="S623" s="1221"/>
      <c r="T623" s="1221"/>
      <c r="U623" s="1221"/>
      <c r="V623" s="1221"/>
      <c r="W623" s="1221"/>
      <c r="X623" s="1221"/>
      <c r="Y623" s="1221"/>
      <c r="Z623" s="1221"/>
    </row>
    <row r="624" ht="15.75" customHeight="1">
      <c r="A624" s="1221"/>
      <c r="B624" s="1221"/>
      <c r="C624" s="1221"/>
      <c r="D624" s="1221"/>
      <c r="E624" s="1221"/>
      <c r="F624" s="1221"/>
      <c r="G624" s="1221"/>
      <c r="H624" s="1221"/>
      <c r="I624" s="1221"/>
      <c r="J624" s="1221"/>
      <c r="K624" s="1221"/>
      <c r="L624" s="1221"/>
      <c r="M624" s="1221"/>
      <c r="N624" s="1221"/>
      <c r="O624" s="1221"/>
      <c r="P624" s="1221"/>
      <c r="Q624" s="1221"/>
      <c r="R624" s="1221"/>
      <c r="S624" s="1221"/>
      <c r="T624" s="1221"/>
      <c r="U624" s="1221"/>
      <c r="V624" s="1221"/>
      <c r="W624" s="1221"/>
      <c r="X624" s="1221"/>
      <c r="Y624" s="1221"/>
      <c r="Z624" s="1221"/>
    </row>
    <row r="625" ht="15.75" customHeight="1">
      <c r="A625" s="1221"/>
      <c r="B625" s="1221"/>
      <c r="C625" s="1221"/>
      <c r="D625" s="1221"/>
      <c r="E625" s="1221"/>
      <c r="F625" s="1221"/>
      <c r="G625" s="1221"/>
      <c r="H625" s="1221"/>
      <c r="I625" s="1221"/>
      <c r="J625" s="1221"/>
      <c r="K625" s="1221"/>
      <c r="L625" s="1221"/>
      <c r="M625" s="1221"/>
      <c r="N625" s="1221"/>
      <c r="O625" s="1221"/>
      <c r="P625" s="1221"/>
      <c r="Q625" s="1221"/>
      <c r="R625" s="1221"/>
      <c r="S625" s="1221"/>
      <c r="T625" s="1221"/>
      <c r="U625" s="1221"/>
      <c r="V625" s="1221"/>
      <c r="W625" s="1221"/>
      <c r="X625" s="1221"/>
      <c r="Y625" s="1221"/>
      <c r="Z625" s="1221"/>
    </row>
    <row r="626" ht="15.75" customHeight="1">
      <c r="A626" s="1221"/>
      <c r="B626" s="1221"/>
      <c r="C626" s="1221"/>
      <c r="D626" s="1221"/>
      <c r="E626" s="1221"/>
      <c r="F626" s="1221"/>
      <c r="G626" s="1221"/>
      <c r="H626" s="1221"/>
      <c r="I626" s="1221"/>
      <c r="J626" s="1221"/>
      <c r="K626" s="1221"/>
      <c r="L626" s="1221"/>
      <c r="M626" s="1221"/>
      <c r="N626" s="1221"/>
      <c r="O626" s="1221"/>
      <c r="P626" s="1221"/>
      <c r="Q626" s="1221"/>
      <c r="R626" s="1221"/>
      <c r="S626" s="1221"/>
      <c r="T626" s="1221"/>
      <c r="U626" s="1221"/>
      <c r="V626" s="1221"/>
      <c r="W626" s="1221"/>
      <c r="X626" s="1221"/>
      <c r="Y626" s="1221"/>
      <c r="Z626" s="1221"/>
    </row>
    <row r="627" ht="15.75" customHeight="1">
      <c r="A627" s="1221"/>
      <c r="B627" s="1221"/>
      <c r="C627" s="1221"/>
      <c r="D627" s="1221"/>
      <c r="E627" s="1221"/>
      <c r="F627" s="1221"/>
      <c r="G627" s="1221"/>
      <c r="H627" s="1221"/>
      <c r="I627" s="1221"/>
      <c r="J627" s="1221"/>
      <c r="K627" s="1221"/>
      <c r="L627" s="1221"/>
      <c r="M627" s="1221"/>
      <c r="N627" s="1221"/>
      <c r="O627" s="1221"/>
      <c r="P627" s="1221"/>
      <c r="Q627" s="1221"/>
      <c r="R627" s="1221"/>
      <c r="S627" s="1221"/>
      <c r="T627" s="1221"/>
      <c r="U627" s="1221"/>
      <c r="V627" s="1221"/>
      <c r="W627" s="1221"/>
      <c r="X627" s="1221"/>
      <c r="Y627" s="1221"/>
      <c r="Z627" s="1221"/>
    </row>
    <row r="628" ht="15.75" customHeight="1">
      <c r="A628" s="1221"/>
      <c r="B628" s="1221"/>
      <c r="C628" s="1221"/>
      <c r="D628" s="1221"/>
      <c r="E628" s="1221"/>
      <c r="F628" s="1221"/>
      <c r="G628" s="1221"/>
      <c r="H628" s="1221"/>
      <c r="I628" s="1221"/>
      <c r="J628" s="1221"/>
      <c r="K628" s="1221"/>
      <c r="L628" s="1221"/>
      <c r="M628" s="1221"/>
      <c r="N628" s="1221"/>
      <c r="O628" s="1221"/>
      <c r="P628" s="1221"/>
      <c r="Q628" s="1221"/>
      <c r="R628" s="1221"/>
      <c r="S628" s="1221"/>
      <c r="T628" s="1221"/>
      <c r="U628" s="1221"/>
      <c r="V628" s="1221"/>
      <c r="W628" s="1221"/>
      <c r="X628" s="1221"/>
      <c r="Y628" s="1221"/>
      <c r="Z628" s="1221"/>
    </row>
    <row r="629" ht="15.75" customHeight="1">
      <c r="A629" s="1221"/>
      <c r="B629" s="1221"/>
      <c r="C629" s="1221"/>
      <c r="D629" s="1221"/>
      <c r="E629" s="1221"/>
      <c r="F629" s="1221"/>
      <c r="G629" s="1221"/>
      <c r="H629" s="1221"/>
      <c r="I629" s="1221"/>
      <c r="J629" s="1221"/>
      <c r="K629" s="1221"/>
      <c r="L629" s="1221"/>
      <c r="M629" s="1221"/>
      <c r="N629" s="1221"/>
      <c r="O629" s="1221"/>
      <c r="P629" s="1221"/>
      <c r="Q629" s="1221"/>
      <c r="R629" s="1221"/>
      <c r="S629" s="1221"/>
      <c r="T629" s="1221"/>
      <c r="U629" s="1221"/>
      <c r="V629" s="1221"/>
      <c r="W629" s="1221"/>
      <c r="X629" s="1221"/>
      <c r="Y629" s="1221"/>
      <c r="Z629" s="1221"/>
    </row>
    <row r="630" ht="15.75" customHeight="1">
      <c r="A630" s="1221"/>
      <c r="B630" s="1221"/>
      <c r="C630" s="1221"/>
      <c r="D630" s="1221"/>
      <c r="E630" s="1221"/>
      <c r="F630" s="1221"/>
      <c r="G630" s="1221"/>
      <c r="H630" s="1221"/>
      <c r="I630" s="1221"/>
      <c r="J630" s="1221"/>
      <c r="K630" s="1221"/>
      <c r="L630" s="1221"/>
      <c r="M630" s="1221"/>
      <c r="N630" s="1221"/>
      <c r="O630" s="1221"/>
      <c r="P630" s="1221"/>
      <c r="Q630" s="1221"/>
      <c r="R630" s="1221"/>
      <c r="S630" s="1221"/>
      <c r="T630" s="1221"/>
      <c r="U630" s="1221"/>
      <c r="V630" s="1221"/>
      <c r="W630" s="1221"/>
      <c r="X630" s="1221"/>
      <c r="Y630" s="1221"/>
      <c r="Z630" s="1221"/>
    </row>
    <row r="631" ht="15.75" customHeight="1">
      <c r="A631" s="1221"/>
      <c r="B631" s="1221"/>
      <c r="C631" s="1221"/>
      <c r="D631" s="1221"/>
      <c r="E631" s="1221"/>
      <c r="F631" s="1221"/>
      <c r="G631" s="1221"/>
      <c r="H631" s="1221"/>
      <c r="I631" s="1221"/>
      <c r="J631" s="1221"/>
      <c r="K631" s="1221"/>
      <c r="L631" s="1221"/>
      <c r="M631" s="1221"/>
      <c r="N631" s="1221"/>
      <c r="O631" s="1221"/>
      <c r="P631" s="1221"/>
      <c r="Q631" s="1221"/>
      <c r="R631" s="1221"/>
      <c r="S631" s="1221"/>
      <c r="T631" s="1221"/>
      <c r="U631" s="1221"/>
      <c r="V631" s="1221"/>
      <c r="W631" s="1221"/>
      <c r="X631" s="1221"/>
      <c r="Y631" s="1221"/>
      <c r="Z631" s="1221"/>
    </row>
    <row r="632" ht="15.75" customHeight="1">
      <c r="A632" s="1221"/>
      <c r="B632" s="1221"/>
      <c r="C632" s="1221"/>
      <c r="D632" s="1221"/>
      <c r="E632" s="1221"/>
      <c r="F632" s="1221"/>
      <c r="G632" s="1221"/>
      <c r="H632" s="1221"/>
      <c r="I632" s="1221"/>
      <c r="J632" s="1221"/>
      <c r="K632" s="1221"/>
      <c r="L632" s="1221"/>
      <c r="M632" s="1221"/>
      <c r="N632" s="1221"/>
      <c r="O632" s="1221"/>
      <c r="P632" s="1221"/>
      <c r="Q632" s="1221"/>
      <c r="R632" s="1221"/>
      <c r="S632" s="1221"/>
      <c r="T632" s="1221"/>
      <c r="U632" s="1221"/>
      <c r="V632" s="1221"/>
      <c r="W632" s="1221"/>
      <c r="X632" s="1221"/>
      <c r="Y632" s="1221"/>
      <c r="Z632" s="1221"/>
    </row>
    <row r="633" ht="15.75" customHeight="1">
      <c r="A633" s="1221"/>
      <c r="B633" s="1221"/>
      <c r="C633" s="1221"/>
      <c r="D633" s="1221"/>
      <c r="E633" s="1221"/>
      <c r="F633" s="1221"/>
      <c r="G633" s="1221"/>
      <c r="H633" s="1221"/>
      <c r="I633" s="1221"/>
      <c r="J633" s="1221"/>
      <c r="K633" s="1221"/>
      <c r="L633" s="1221"/>
      <c r="M633" s="1221"/>
      <c r="N633" s="1221"/>
      <c r="O633" s="1221"/>
      <c r="P633" s="1221"/>
      <c r="Q633" s="1221"/>
      <c r="R633" s="1221"/>
      <c r="S633" s="1221"/>
      <c r="T633" s="1221"/>
      <c r="U633" s="1221"/>
      <c r="V633" s="1221"/>
      <c r="W633" s="1221"/>
      <c r="X633" s="1221"/>
      <c r="Y633" s="1221"/>
      <c r="Z633" s="1221"/>
    </row>
    <row r="634" ht="15.75" customHeight="1">
      <c r="A634" s="1221"/>
      <c r="B634" s="1221"/>
      <c r="C634" s="1221"/>
      <c r="D634" s="1221"/>
      <c r="E634" s="1221"/>
      <c r="F634" s="1221"/>
      <c r="G634" s="1221"/>
      <c r="H634" s="1221"/>
      <c r="I634" s="1221"/>
      <c r="J634" s="1221"/>
      <c r="K634" s="1221"/>
      <c r="L634" s="1221"/>
      <c r="M634" s="1221"/>
      <c r="N634" s="1221"/>
      <c r="O634" s="1221"/>
      <c r="P634" s="1221"/>
      <c r="Q634" s="1221"/>
      <c r="R634" s="1221"/>
      <c r="S634" s="1221"/>
      <c r="T634" s="1221"/>
      <c r="U634" s="1221"/>
      <c r="V634" s="1221"/>
      <c r="W634" s="1221"/>
      <c r="X634" s="1221"/>
      <c r="Y634" s="1221"/>
      <c r="Z634" s="1221"/>
    </row>
    <row r="635" ht="15.75" customHeight="1">
      <c r="A635" s="1221"/>
      <c r="B635" s="1221"/>
      <c r="C635" s="1221"/>
      <c r="D635" s="1221"/>
      <c r="E635" s="1221"/>
      <c r="F635" s="1221"/>
      <c r="G635" s="1221"/>
      <c r="H635" s="1221"/>
      <c r="I635" s="1221"/>
      <c r="J635" s="1221"/>
      <c r="K635" s="1221"/>
      <c r="L635" s="1221"/>
      <c r="M635" s="1221"/>
      <c r="N635" s="1221"/>
      <c r="O635" s="1221"/>
      <c r="P635" s="1221"/>
      <c r="Q635" s="1221"/>
      <c r="R635" s="1221"/>
      <c r="S635" s="1221"/>
      <c r="T635" s="1221"/>
      <c r="U635" s="1221"/>
      <c r="V635" s="1221"/>
      <c r="W635" s="1221"/>
      <c r="X635" s="1221"/>
      <c r="Y635" s="1221"/>
      <c r="Z635" s="1221"/>
    </row>
    <row r="636" ht="15.75" customHeight="1">
      <c r="A636" s="1221"/>
      <c r="B636" s="1221"/>
      <c r="C636" s="1221"/>
      <c r="D636" s="1221"/>
      <c r="E636" s="1221"/>
      <c r="F636" s="1221"/>
      <c r="G636" s="1221"/>
      <c r="H636" s="1221"/>
      <c r="I636" s="1221"/>
      <c r="J636" s="1221"/>
      <c r="K636" s="1221"/>
      <c r="L636" s="1221"/>
      <c r="M636" s="1221"/>
      <c r="N636" s="1221"/>
      <c r="O636" s="1221"/>
      <c r="P636" s="1221"/>
      <c r="Q636" s="1221"/>
      <c r="R636" s="1221"/>
      <c r="S636" s="1221"/>
      <c r="T636" s="1221"/>
      <c r="U636" s="1221"/>
      <c r="V636" s="1221"/>
      <c r="W636" s="1221"/>
      <c r="X636" s="1221"/>
      <c r="Y636" s="1221"/>
      <c r="Z636" s="1221"/>
    </row>
    <row r="637" ht="15.75" customHeight="1">
      <c r="A637" s="1221"/>
      <c r="B637" s="1221"/>
      <c r="C637" s="1221"/>
      <c r="D637" s="1221"/>
      <c r="E637" s="1221"/>
      <c r="F637" s="1221"/>
      <c r="G637" s="1221"/>
      <c r="H637" s="1221"/>
      <c r="I637" s="1221"/>
      <c r="J637" s="1221"/>
      <c r="K637" s="1221"/>
      <c r="L637" s="1221"/>
      <c r="M637" s="1221"/>
      <c r="N637" s="1221"/>
      <c r="O637" s="1221"/>
      <c r="P637" s="1221"/>
      <c r="Q637" s="1221"/>
      <c r="R637" s="1221"/>
      <c r="S637" s="1221"/>
      <c r="T637" s="1221"/>
      <c r="U637" s="1221"/>
      <c r="V637" s="1221"/>
      <c r="W637" s="1221"/>
      <c r="X637" s="1221"/>
      <c r="Y637" s="1221"/>
      <c r="Z637" s="1221"/>
    </row>
    <row r="638" ht="15.75" customHeight="1">
      <c r="A638" s="1221"/>
      <c r="B638" s="1221"/>
      <c r="C638" s="1221"/>
      <c r="D638" s="1221"/>
      <c r="E638" s="1221"/>
      <c r="F638" s="1221"/>
      <c r="G638" s="1221"/>
      <c r="H638" s="1221"/>
      <c r="I638" s="1221"/>
      <c r="J638" s="1221"/>
      <c r="K638" s="1221"/>
      <c r="L638" s="1221"/>
      <c r="M638" s="1221"/>
      <c r="N638" s="1221"/>
      <c r="O638" s="1221"/>
      <c r="P638" s="1221"/>
      <c r="Q638" s="1221"/>
      <c r="R638" s="1221"/>
      <c r="S638" s="1221"/>
      <c r="T638" s="1221"/>
      <c r="U638" s="1221"/>
      <c r="V638" s="1221"/>
      <c r="W638" s="1221"/>
      <c r="X638" s="1221"/>
      <c r="Y638" s="1221"/>
      <c r="Z638" s="1221"/>
    </row>
    <row r="639" ht="15.75" customHeight="1">
      <c r="A639" s="1221"/>
      <c r="B639" s="1221"/>
      <c r="C639" s="1221"/>
      <c r="D639" s="1221"/>
      <c r="E639" s="1221"/>
      <c r="F639" s="1221"/>
      <c r="G639" s="1221"/>
      <c r="H639" s="1221"/>
      <c r="I639" s="1221"/>
      <c r="J639" s="1221"/>
      <c r="K639" s="1221"/>
      <c r="L639" s="1221"/>
      <c r="M639" s="1221"/>
      <c r="N639" s="1221"/>
      <c r="O639" s="1221"/>
      <c r="P639" s="1221"/>
      <c r="Q639" s="1221"/>
      <c r="R639" s="1221"/>
      <c r="S639" s="1221"/>
      <c r="T639" s="1221"/>
      <c r="U639" s="1221"/>
      <c r="V639" s="1221"/>
      <c r="W639" s="1221"/>
      <c r="X639" s="1221"/>
      <c r="Y639" s="1221"/>
      <c r="Z639" s="1221"/>
    </row>
    <row r="640" ht="15.75" customHeight="1">
      <c r="A640" s="1221"/>
      <c r="B640" s="1221"/>
      <c r="C640" s="1221"/>
      <c r="D640" s="1221"/>
      <c r="E640" s="1221"/>
      <c r="F640" s="1221"/>
      <c r="G640" s="1221"/>
      <c r="H640" s="1221"/>
      <c r="I640" s="1221"/>
      <c r="J640" s="1221"/>
      <c r="K640" s="1221"/>
      <c r="L640" s="1221"/>
      <c r="M640" s="1221"/>
      <c r="N640" s="1221"/>
      <c r="O640" s="1221"/>
      <c r="P640" s="1221"/>
      <c r="Q640" s="1221"/>
      <c r="R640" s="1221"/>
      <c r="S640" s="1221"/>
      <c r="T640" s="1221"/>
      <c r="U640" s="1221"/>
      <c r="V640" s="1221"/>
      <c r="W640" s="1221"/>
      <c r="X640" s="1221"/>
      <c r="Y640" s="1221"/>
      <c r="Z640" s="1221"/>
    </row>
    <row r="641" ht="15.75" customHeight="1">
      <c r="A641" s="1221"/>
      <c r="B641" s="1221"/>
      <c r="C641" s="1221"/>
      <c r="D641" s="1221"/>
      <c r="E641" s="1221"/>
      <c r="F641" s="1221"/>
      <c r="G641" s="1221"/>
      <c r="H641" s="1221"/>
      <c r="I641" s="1221"/>
      <c r="J641" s="1221"/>
      <c r="K641" s="1221"/>
      <c r="L641" s="1221"/>
      <c r="M641" s="1221"/>
      <c r="N641" s="1221"/>
      <c r="O641" s="1221"/>
      <c r="P641" s="1221"/>
      <c r="Q641" s="1221"/>
      <c r="R641" s="1221"/>
      <c r="S641" s="1221"/>
      <c r="T641" s="1221"/>
      <c r="U641" s="1221"/>
      <c r="V641" s="1221"/>
      <c r="W641" s="1221"/>
      <c r="X641" s="1221"/>
      <c r="Y641" s="1221"/>
      <c r="Z641" s="1221"/>
    </row>
    <row r="642" ht="15.75" customHeight="1">
      <c r="A642" s="1221"/>
      <c r="B642" s="1221"/>
      <c r="C642" s="1221"/>
      <c r="D642" s="1221"/>
      <c r="E642" s="1221"/>
      <c r="F642" s="1221"/>
      <c r="G642" s="1221"/>
      <c r="H642" s="1221"/>
      <c r="I642" s="1221"/>
      <c r="J642" s="1221"/>
      <c r="K642" s="1221"/>
      <c r="L642" s="1221"/>
      <c r="M642" s="1221"/>
      <c r="N642" s="1221"/>
      <c r="O642" s="1221"/>
      <c r="P642" s="1221"/>
      <c r="Q642" s="1221"/>
      <c r="R642" s="1221"/>
      <c r="S642" s="1221"/>
      <c r="T642" s="1221"/>
      <c r="U642" s="1221"/>
      <c r="V642" s="1221"/>
      <c r="W642" s="1221"/>
      <c r="X642" s="1221"/>
      <c r="Y642" s="1221"/>
      <c r="Z642" s="1221"/>
    </row>
    <row r="643" ht="15.75" customHeight="1">
      <c r="A643" s="1221"/>
      <c r="B643" s="1221"/>
      <c r="C643" s="1221"/>
      <c r="D643" s="1221"/>
      <c r="E643" s="1221"/>
      <c r="F643" s="1221"/>
      <c r="G643" s="1221"/>
      <c r="H643" s="1221"/>
      <c r="I643" s="1221"/>
      <c r="J643" s="1221"/>
      <c r="K643" s="1221"/>
      <c r="L643" s="1221"/>
      <c r="M643" s="1221"/>
      <c r="N643" s="1221"/>
      <c r="O643" s="1221"/>
      <c r="P643" s="1221"/>
      <c r="Q643" s="1221"/>
      <c r="R643" s="1221"/>
      <c r="S643" s="1221"/>
      <c r="T643" s="1221"/>
      <c r="U643" s="1221"/>
      <c r="V643" s="1221"/>
      <c r="W643" s="1221"/>
      <c r="X643" s="1221"/>
      <c r="Y643" s="1221"/>
      <c r="Z643" s="1221"/>
    </row>
    <row r="644" ht="15.75" customHeight="1">
      <c r="A644" s="1221"/>
      <c r="B644" s="1221"/>
      <c r="C644" s="1221"/>
      <c r="D644" s="1221"/>
      <c r="E644" s="1221"/>
      <c r="F644" s="1221"/>
      <c r="G644" s="1221"/>
      <c r="H644" s="1221"/>
      <c r="I644" s="1221"/>
      <c r="J644" s="1221"/>
      <c r="K644" s="1221"/>
      <c r="L644" s="1221"/>
      <c r="M644" s="1221"/>
      <c r="N644" s="1221"/>
      <c r="O644" s="1221"/>
      <c r="P644" s="1221"/>
      <c r="Q644" s="1221"/>
      <c r="R644" s="1221"/>
      <c r="S644" s="1221"/>
      <c r="T644" s="1221"/>
      <c r="U644" s="1221"/>
      <c r="V644" s="1221"/>
      <c r="W644" s="1221"/>
      <c r="X644" s="1221"/>
      <c r="Y644" s="1221"/>
      <c r="Z644" s="1221"/>
    </row>
    <row r="645" ht="15.75" customHeight="1">
      <c r="A645" s="1221"/>
      <c r="B645" s="1221"/>
      <c r="C645" s="1221"/>
      <c r="D645" s="1221"/>
      <c r="E645" s="1221"/>
      <c r="F645" s="1221"/>
      <c r="G645" s="1221"/>
      <c r="H645" s="1221"/>
      <c r="I645" s="1221"/>
      <c r="J645" s="1221"/>
      <c r="K645" s="1221"/>
      <c r="L645" s="1221"/>
      <c r="M645" s="1221"/>
      <c r="N645" s="1221"/>
      <c r="O645" s="1221"/>
      <c r="P645" s="1221"/>
      <c r="Q645" s="1221"/>
      <c r="R645" s="1221"/>
      <c r="S645" s="1221"/>
      <c r="T645" s="1221"/>
      <c r="U645" s="1221"/>
      <c r="V645" s="1221"/>
      <c r="W645" s="1221"/>
      <c r="X645" s="1221"/>
      <c r="Y645" s="1221"/>
      <c r="Z645" s="1221"/>
    </row>
    <row r="646" ht="15.75" customHeight="1">
      <c r="A646" s="1221"/>
      <c r="B646" s="1221"/>
      <c r="C646" s="1221"/>
      <c r="D646" s="1221"/>
      <c r="E646" s="1221"/>
      <c r="F646" s="1221"/>
      <c r="G646" s="1221"/>
      <c r="H646" s="1221"/>
      <c r="I646" s="1221"/>
      <c r="J646" s="1221"/>
      <c r="K646" s="1221"/>
      <c r="L646" s="1221"/>
      <c r="M646" s="1221"/>
      <c r="N646" s="1221"/>
      <c r="O646" s="1221"/>
      <c r="P646" s="1221"/>
      <c r="Q646" s="1221"/>
      <c r="R646" s="1221"/>
      <c r="S646" s="1221"/>
      <c r="T646" s="1221"/>
      <c r="U646" s="1221"/>
      <c r="V646" s="1221"/>
      <c r="W646" s="1221"/>
      <c r="X646" s="1221"/>
      <c r="Y646" s="1221"/>
      <c r="Z646" s="1221"/>
    </row>
    <row r="647" ht="15.75" customHeight="1">
      <c r="A647" s="1221"/>
      <c r="B647" s="1221"/>
      <c r="C647" s="1221"/>
      <c r="D647" s="1221"/>
      <c r="E647" s="1221"/>
      <c r="F647" s="1221"/>
      <c r="G647" s="1221"/>
      <c r="H647" s="1221"/>
      <c r="I647" s="1221"/>
      <c r="J647" s="1221"/>
      <c r="K647" s="1221"/>
      <c r="L647" s="1221"/>
      <c r="M647" s="1221"/>
      <c r="N647" s="1221"/>
      <c r="O647" s="1221"/>
      <c r="P647" s="1221"/>
      <c r="Q647" s="1221"/>
      <c r="R647" s="1221"/>
      <c r="S647" s="1221"/>
      <c r="T647" s="1221"/>
      <c r="U647" s="1221"/>
      <c r="V647" s="1221"/>
      <c r="W647" s="1221"/>
      <c r="X647" s="1221"/>
      <c r="Y647" s="1221"/>
      <c r="Z647" s="1221"/>
    </row>
    <row r="648" ht="15.75" customHeight="1">
      <c r="A648" s="1221"/>
      <c r="B648" s="1221"/>
      <c r="C648" s="1221"/>
      <c r="D648" s="1221"/>
      <c r="E648" s="1221"/>
      <c r="F648" s="1221"/>
      <c r="G648" s="1221"/>
      <c r="H648" s="1221"/>
      <c r="I648" s="1221"/>
      <c r="J648" s="1221"/>
      <c r="K648" s="1221"/>
      <c r="L648" s="1221"/>
      <c r="M648" s="1221"/>
      <c r="N648" s="1221"/>
      <c r="O648" s="1221"/>
      <c r="P648" s="1221"/>
      <c r="Q648" s="1221"/>
      <c r="R648" s="1221"/>
      <c r="S648" s="1221"/>
      <c r="T648" s="1221"/>
      <c r="U648" s="1221"/>
      <c r="V648" s="1221"/>
      <c r="W648" s="1221"/>
      <c r="X648" s="1221"/>
      <c r="Y648" s="1221"/>
      <c r="Z648" s="1221"/>
    </row>
    <row r="649" ht="15.75" customHeight="1">
      <c r="A649" s="1221"/>
      <c r="B649" s="1221"/>
      <c r="C649" s="1221"/>
      <c r="D649" s="1221"/>
      <c r="E649" s="1221"/>
      <c r="F649" s="1221"/>
      <c r="G649" s="1221"/>
      <c r="H649" s="1221"/>
      <c r="I649" s="1221"/>
      <c r="J649" s="1221"/>
      <c r="K649" s="1221"/>
      <c r="L649" s="1221"/>
      <c r="M649" s="1221"/>
      <c r="N649" s="1221"/>
      <c r="O649" s="1221"/>
      <c r="P649" s="1221"/>
      <c r="Q649" s="1221"/>
      <c r="R649" s="1221"/>
      <c r="S649" s="1221"/>
      <c r="T649" s="1221"/>
      <c r="U649" s="1221"/>
      <c r="V649" s="1221"/>
      <c r="W649" s="1221"/>
      <c r="X649" s="1221"/>
      <c r="Y649" s="1221"/>
      <c r="Z649" s="1221"/>
    </row>
    <row r="650" ht="15.75" customHeight="1">
      <c r="A650" s="1221"/>
      <c r="B650" s="1221"/>
      <c r="C650" s="1221"/>
      <c r="D650" s="1221"/>
      <c r="E650" s="1221"/>
      <c r="F650" s="1221"/>
      <c r="G650" s="1221"/>
      <c r="H650" s="1221"/>
      <c r="I650" s="1221"/>
      <c r="J650" s="1221"/>
      <c r="K650" s="1221"/>
      <c r="L650" s="1221"/>
      <c r="M650" s="1221"/>
      <c r="N650" s="1221"/>
      <c r="O650" s="1221"/>
      <c r="P650" s="1221"/>
      <c r="Q650" s="1221"/>
      <c r="R650" s="1221"/>
      <c r="S650" s="1221"/>
      <c r="T650" s="1221"/>
      <c r="U650" s="1221"/>
      <c r="V650" s="1221"/>
      <c r="W650" s="1221"/>
      <c r="X650" s="1221"/>
      <c r="Y650" s="1221"/>
      <c r="Z650" s="1221"/>
    </row>
    <row r="651" ht="15.75" customHeight="1">
      <c r="A651" s="1221"/>
      <c r="B651" s="1221"/>
      <c r="C651" s="1221"/>
      <c r="D651" s="1221"/>
      <c r="E651" s="1221"/>
      <c r="F651" s="1221"/>
      <c r="G651" s="1221"/>
      <c r="H651" s="1221"/>
      <c r="I651" s="1221"/>
      <c r="J651" s="1221"/>
      <c r="K651" s="1221"/>
      <c r="L651" s="1221"/>
      <c r="M651" s="1221"/>
      <c r="N651" s="1221"/>
      <c r="O651" s="1221"/>
      <c r="P651" s="1221"/>
      <c r="Q651" s="1221"/>
      <c r="R651" s="1221"/>
      <c r="S651" s="1221"/>
      <c r="T651" s="1221"/>
      <c r="U651" s="1221"/>
      <c r="V651" s="1221"/>
      <c r="W651" s="1221"/>
      <c r="X651" s="1221"/>
      <c r="Y651" s="1221"/>
      <c r="Z651" s="1221"/>
    </row>
    <row r="652" ht="15.75" customHeight="1">
      <c r="A652" s="1221"/>
      <c r="B652" s="1221"/>
      <c r="C652" s="1221"/>
      <c r="D652" s="1221"/>
      <c r="E652" s="1221"/>
      <c r="F652" s="1221"/>
      <c r="G652" s="1221"/>
      <c r="H652" s="1221"/>
      <c r="I652" s="1221"/>
      <c r="J652" s="1221"/>
      <c r="K652" s="1221"/>
      <c r="L652" s="1221"/>
      <c r="M652" s="1221"/>
      <c r="N652" s="1221"/>
      <c r="O652" s="1221"/>
      <c r="P652" s="1221"/>
      <c r="Q652" s="1221"/>
      <c r="R652" s="1221"/>
      <c r="S652" s="1221"/>
      <c r="T652" s="1221"/>
      <c r="U652" s="1221"/>
      <c r="V652" s="1221"/>
      <c r="W652" s="1221"/>
      <c r="X652" s="1221"/>
      <c r="Y652" s="1221"/>
      <c r="Z652" s="1221"/>
    </row>
    <row r="653" ht="15.75" customHeight="1">
      <c r="A653" s="1221"/>
      <c r="B653" s="1221"/>
      <c r="C653" s="1221"/>
      <c r="D653" s="1221"/>
      <c r="E653" s="1221"/>
      <c r="F653" s="1221"/>
      <c r="G653" s="1221"/>
      <c r="H653" s="1221"/>
      <c r="I653" s="1221"/>
      <c r="J653" s="1221"/>
      <c r="K653" s="1221"/>
      <c r="L653" s="1221"/>
      <c r="M653" s="1221"/>
      <c r="N653" s="1221"/>
      <c r="O653" s="1221"/>
      <c r="P653" s="1221"/>
      <c r="Q653" s="1221"/>
      <c r="R653" s="1221"/>
      <c r="S653" s="1221"/>
      <c r="T653" s="1221"/>
      <c r="U653" s="1221"/>
      <c r="V653" s="1221"/>
      <c r="W653" s="1221"/>
      <c r="X653" s="1221"/>
      <c r="Y653" s="1221"/>
      <c r="Z653" s="1221"/>
    </row>
    <row r="654" ht="15.75" customHeight="1">
      <c r="A654" s="1221"/>
      <c r="B654" s="1221"/>
      <c r="C654" s="1221"/>
      <c r="D654" s="1221"/>
      <c r="E654" s="1221"/>
      <c r="F654" s="1221"/>
      <c r="G654" s="1221"/>
      <c r="H654" s="1221"/>
      <c r="I654" s="1221"/>
      <c r="J654" s="1221"/>
      <c r="K654" s="1221"/>
      <c r="L654" s="1221"/>
      <c r="M654" s="1221"/>
      <c r="N654" s="1221"/>
      <c r="O654" s="1221"/>
      <c r="P654" s="1221"/>
      <c r="Q654" s="1221"/>
      <c r="R654" s="1221"/>
      <c r="S654" s="1221"/>
      <c r="T654" s="1221"/>
      <c r="U654" s="1221"/>
      <c r="V654" s="1221"/>
      <c r="W654" s="1221"/>
      <c r="X654" s="1221"/>
      <c r="Y654" s="1221"/>
      <c r="Z654" s="1221"/>
    </row>
    <row r="655" ht="15.75" customHeight="1">
      <c r="A655" s="1221"/>
      <c r="B655" s="1221"/>
      <c r="C655" s="1221"/>
      <c r="D655" s="1221"/>
      <c r="E655" s="1221"/>
      <c r="F655" s="1221"/>
      <c r="G655" s="1221"/>
      <c r="H655" s="1221"/>
      <c r="I655" s="1221"/>
      <c r="J655" s="1221"/>
      <c r="K655" s="1221"/>
      <c r="L655" s="1221"/>
      <c r="M655" s="1221"/>
      <c r="N655" s="1221"/>
      <c r="O655" s="1221"/>
      <c r="P655" s="1221"/>
      <c r="Q655" s="1221"/>
      <c r="R655" s="1221"/>
      <c r="S655" s="1221"/>
      <c r="T655" s="1221"/>
      <c r="U655" s="1221"/>
      <c r="V655" s="1221"/>
      <c r="W655" s="1221"/>
      <c r="X655" s="1221"/>
      <c r="Y655" s="1221"/>
      <c r="Z655" s="1221"/>
    </row>
    <row r="656" ht="15.75" customHeight="1">
      <c r="A656" s="1221"/>
      <c r="B656" s="1221"/>
      <c r="C656" s="1221"/>
      <c r="D656" s="1221"/>
      <c r="E656" s="1221"/>
      <c r="F656" s="1221"/>
      <c r="G656" s="1221"/>
      <c r="H656" s="1221"/>
      <c r="I656" s="1221"/>
      <c r="J656" s="1221"/>
      <c r="K656" s="1221"/>
      <c r="L656" s="1221"/>
      <c r="M656" s="1221"/>
      <c r="N656" s="1221"/>
      <c r="O656" s="1221"/>
      <c r="P656" s="1221"/>
      <c r="Q656" s="1221"/>
      <c r="R656" s="1221"/>
      <c r="S656" s="1221"/>
      <c r="T656" s="1221"/>
      <c r="U656" s="1221"/>
      <c r="V656" s="1221"/>
      <c r="W656" s="1221"/>
      <c r="X656" s="1221"/>
      <c r="Y656" s="1221"/>
      <c r="Z656" s="1221"/>
    </row>
    <row r="657" ht="15.75" customHeight="1">
      <c r="A657" s="1221"/>
      <c r="B657" s="1221"/>
      <c r="C657" s="1221"/>
      <c r="D657" s="1221"/>
      <c r="E657" s="1221"/>
      <c r="F657" s="1221"/>
      <c r="G657" s="1221"/>
      <c r="H657" s="1221"/>
      <c r="I657" s="1221"/>
      <c r="J657" s="1221"/>
      <c r="K657" s="1221"/>
      <c r="L657" s="1221"/>
      <c r="M657" s="1221"/>
      <c r="N657" s="1221"/>
      <c r="O657" s="1221"/>
      <c r="P657" s="1221"/>
      <c r="Q657" s="1221"/>
      <c r="R657" s="1221"/>
      <c r="S657" s="1221"/>
      <c r="T657" s="1221"/>
      <c r="U657" s="1221"/>
      <c r="V657" s="1221"/>
      <c r="W657" s="1221"/>
      <c r="X657" s="1221"/>
      <c r="Y657" s="1221"/>
      <c r="Z657" s="1221"/>
    </row>
    <row r="658" ht="15.75" customHeight="1">
      <c r="A658" s="1221"/>
      <c r="B658" s="1221"/>
      <c r="C658" s="1221"/>
      <c r="D658" s="1221"/>
      <c r="E658" s="1221"/>
      <c r="F658" s="1221"/>
      <c r="G658" s="1221"/>
      <c r="H658" s="1221"/>
      <c r="I658" s="1221"/>
      <c r="J658" s="1221"/>
      <c r="K658" s="1221"/>
      <c r="L658" s="1221"/>
      <c r="M658" s="1221"/>
      <c r="N658" s="1221"/>
      <c r="O658" s="1221"/>
      <c r="P658" s="1221"/>
      <c r="Q658" s="1221"/>
      <c r="R658" s="1221"/>
      <c r="S658" s="1221"/>
      <c r="T658" s="1221"/>
      <c r="U658" s="1221"/>
      <c r="V658" s="1221"/>
      <c r="W658" s="1221"/>
      <c r="X658" s="1221"/>
      <c r="Y658" s="1221"/>
      <c r="Z658" s="1221"/>
    </row>
    <row r="659" ht="15.75" customHeight="1">
      <c r="A659" s="1221"/>
      <c r="B659" s="1221"/>
      <c r="C659" s="1221"/>
      <c r="D659" s="1221"/>
      <c r="E659" s="1221"/>
      <c r="F659" s="1221"/>
      <c r="G659" s="1221"/>
      <c r="H659" s="1221"/>
      <c r="I659" s="1221"/>
      <c r="J659" s="1221"/>
      <c r="K659" s="1221"/>
      <c r="L659" s="1221"/>
      <c r="M659" s="1221"/>
      <c r="N659" s="1221"/>
      <c r="O659" s="1221"/>
      <c r="P659" s="1221"/>
      <c r="Q659" s="1221"/>
      <c r="R659" s="1221"/>
      <c r="S659" s="1221"/>
      <c r="T659" s="1221"/>
      <c r="U659" s="1221"/>
      <c r="V659" s="1221"/>
      <c r="W659" s="1221"/>
      <c r="X659" s="1221"/>
      <c r="Y659" s="1221"/>
      <c r="Z659" s="1221"/>
    </row>
    <row r="660" ht="15.75" customHeight="1">
      <c r="A660" s="1221"/>
      <c r="B660" s="1221"/>
      <c r="C660" s="1221"/>
      <c r="D660" s="1221"/>
      <c r="E660" s="1221"/>
      <c r="F660" s="1221"/>
      <c r="G660" s="1221"/>
      <c r="H660" s="1221"/>
      <c r="I660" s="1221"/>
      <c r="J660" s="1221"/>
      <c r="K660" s="1221"/>
      <c r="L660" s="1221"/>
      <c r="M660" s="1221"/>
      <c r="N660" s="1221"/>
      <c r="O660" s="1221"/>
      <c r="P660" s="1221"/>
      <c r="Q660" s="1221"/>
      <c r="R660" s="1221"/>
      <c r="S660" s="1221"/>
      <c r="T660" s="1221"/>
      <c r="U660" s="1221"/>
      <c r="V660" s="1221"/>
      <c r="W660" s="1221"/>
      <c r="X660" s="1221"/>
      <c r="Y660" s="1221"/>
      <c r="Z660" s="1221"/>
    </row>
    <row r="661" ht="15.75" customHeight="1">
      <c r="A661" s="1221"/>
      <c r="B661" s="1221"/>
      <c r="C661" s="1221"/>
      <c r="D661" s="1221"/>
      <c r="E661" s="1221"/>
      <c r="F661" s="1221"/>
      <c r="G661" s="1221"/>
      <c r="H661" s="1221"/>
      <c r="I661" s="1221"/>
      <c r="J661" s="1221"/>
      <c r="K661" s="1221"/>
      <c r="L661" s="1221"/>
      <c r="M661" s="1221"/>
      <c r="N661" s="1221"/>
      <c r="O661" s="1221"/>
      <c r="P661" s="1221"/>
      <c r="Q661" s="1221"/>
      <c r="R661" s="1221"/>
      <c r="S661" s="1221"/>
      <c r="T661" s="1221"/>
      <c r="U661" s="1221"/>
      <c r="V661" s="1221"/>
      <c r="W661" s="1221"/>
      <c r="X661" s="1221"/>
      <c r="Y661" s="1221"/>
      <c r="Z661" s="1221"/>
    </row>
    <row r="662" ht="15.75" customHeight="1">
      <c r="A662" s="1221"/>
      <c r="B662" s="1221"/>
      <c r="C662" s="1221"/>
      <c r="D662" s="1221"/>
      <c r="E662" s="1221"/>
      <c r="F662" s="1221"/>
      <c r="G662" s="1221"/>
      <c r="H662" s="1221"/>
      <c r="I662" s="1221"/>
      <c r="J662" s="1221"/>
      <c r="K662" s="1221"/>
      <c r="L662" s="1221"/>
      <c r="M662" s="1221"/>
      <c r="N662" s="1221"/>
      <c r="O662" s="1221"/>
      <c r="P662" s="1221"/>
      <c r="Q662" s="1221"/>
      <c r="R662" s="1221"/>
      <c r="S662" s="1221"/>
      <c r="T662" s="1221"/>
      <c r="U662" s="1221"/>
      <c r="V662" s="1221"/>
      <c r="W662" s="1221"/>
      <c r="X662" s="1221"/>
      <c r="Y662" s="1221"/>
      <c r="Z662" s="1221"/>
    </row>
    <row r="663" ht="15.75" customHeight="1">
      <c r="A663" s="1221"/>
      <c r="B663" s="1221"/>
      <c r="C663" s="1221"/>
      <c r="D663" s="1221"/>
      <c r="E663" s="1221"/>
      <c r="F663" s="1221"/>
      <c r="G663" s="1221"/>
      <c r="H663" s="1221"/>
      <c r="I663" s="1221"/>
      <c r="J663" s="1221"/>
      <c r="K663" s="1221"/>
      <c r="L663" s="1221"/>
      <c r="M663" s="1221"/>
      <c r="N663" s="1221"/>
      <c r="O663" s="1221"/>
      <c r="P663" s="1221"/>
      <c r="Q663" s="1221"/>
      <c r="R663" s="1221"/>
      <c r="S663" s="1221"/>
      <c r="T663" s="1221"/>
      <c r="U663" s="1221"/>
      <c r="V663" s="1221"/>
      <c r="W663" s="1221"/>
      <c r="X663" s="1221"/>
      <c r="Y663" s="1221"/>
      <c r="Z663" s="1221"/>
    </row>
    <row r="664" ht="15.75" customHeight="1">
      <c r="A664" s="1221"/>
      <c r="B664" s="1221"/>
      <c r="C664" s="1221"/>
      <c r="D664" s="1221"/>
      <c r="E664" s="1221"/>
      <c r="F664" s="1221"/>
      <c r="G664" s="1221"/>
      <c r="H664" s="1221"/>
      <c r="I664" s="1221"/>
      <c r="J664" s="1221"/>
      <c r="K664" s="1221"/>
      <c r="L664" s="1221"/>
      <c r="M664" s="1221"/>
      <c r="N664" s="1221"/>
      <c r="O664" s="1221"/>
      <c r="P664" s="1221"/>
      <c r="Q664" s="1221"/>
      <c r="R664" s="1221"/>
      <c r="S664" s="1221"/>
      <c r="T664" s="1221"/>
      <c r="U664" s="1221"/>
      <c r="V664" s="1221"/>
      <c r="W664" s="1221"/>
      <c r="X664" s="1221"/>
      <c r="Y664" s="1221"/>
      <c r="Z664" s="1221"/>
    </row>
    <row r="665" ht="15.75" customHeight="1">
      <c r="A665" s="1221"/>
      <c r="B665" s="1221"/>
      <c r="C665" s="1221"/>
      <c r="D665" s="1221"/>
      <c r="E665" s="1221"/>
      <c r="F665" s="1221"/>
      <c r="G665" s="1221"/>
      <c r="H665" s="1221"/>
      <c r="I665" s="1221"/>
      <c r="J665" s="1221"/>
      <c r="K665" s="1221"/>
      <c r="L665" s="1221"/>
      <c r="M665" s="1221"/>
      <c r="N665" s="1221"/>
      <c r="O665" s="1221"/>
      <c r="P665" s="1221"/>
      <c r="Q665" s="1221"/>
      <c r="R665" s="1221"/>
      <c r="S665" s="1221"/>
      <c r="T665" s="1221"/>
      <c r="U665" s="1221"/>
      <c r="V665" s="1221"/>
      <c r="W665" s="1221"/>
      <c r="X665" s="1221"/>
      <c r="Y665" s="1221"/>
      <c r="Z665" s="1221"/>
    </row>
    <row r="666" ht="15.75" customHeight="1">
      <c r="A666" s="1221"/>
      <c r="B666" s="1221"/>
      <c r="C666" s="1221"/>
      <c r="D666" s="1221"/>
      <c r="E666" s="1221"/>
      <c r="F666" s="1221"/>
      <c r="G666" s="1221"/>
      <c r="H666" s="1221"/>
      <c r="I666" s="1221"/>
      <c r="J666" s="1221"/>
      <c r="K666" s="1221"/>
      <c r="L666" s="1221"/>
      <c r="M666" s="1221"/>
      <c r="N666" s="1221"/>
      <c r="O666" s="1221"/>
      <c r="P666" s="1221"/>
      <c r="Q666" s="1221"/>
      <c r="R666" s="1221"/>
      <c r="S666" s="1221"/>
      <c r="T666" s="1221"/>
      <c r="U666" s="1221"/>
      <c r="V666" s="1221"/>
      <c r="W666" s="1221"/>
      <c r="X666" s="1221"/>
      <c r="Y666" s="1221"/>
      <c r="Z666" s="1221"/>
    </row>
    <row r="667" ht="15.75" customHeight="1">
      <c r="A667" s="1221"/>
      <c r="B667" s="1221"/>
      <c r="C667" s="1221"/>
      <c r="D667" s="1221"/>
      <c r="E667" s="1221"/>
      <c r="F667" s="1221"/>
      <c r="G667" s="1221"/>
      <c r="H667" s="1221"/>
      <c r="I667" s="1221"/>
      <c r="J667" s="1221"/>
      <c r="K667" s="1221"/>
      <c r="L667" s="1221"/>
      <c r="M667" s="1221"/>
      <c r="N667" s="1221"/>
      <c r="O667" s="1221"/>
      <c r="P667" s="1221"/>
      <c r="Q667" s="1221"/>
      <c r="R667" s="1221"/>
      <c r="S667" s="1221"/>
      <c r="T667" s="1221"/>
      <c r="U667" s="1221"/>
      <c r="V667" s="1221"/>
      <c r="W667" s="1221"/>
      <c r="X667" s="1221"/>
      <c r="Y667" s="1221"/>
      <c r="Z667" s="1221"/>
    </row>
    <row r="668" ht="15.75" customHeight="1">
      <c r="A668" s="1221"/>
      <c r="B668" s="1221"/>
      <c r="C668" s="1221"/>
      <c r="D668" s="1221"/>
      <c r="E668" s="1221"/>
      <c r="F668" s="1221"/>
      <c r="G668" s="1221"/>
      <c r="H668" s="1221"/>
      <c r="I668" s="1221"/>
      <c r="J668" s="1221"/>
      <c r="K668" s="1221"/>
      <c r="L668" s="1221"/>
      <c r="M668" s="1221"/>
      <c r="N668" s="1221"/>
      <c r="O668" s="1221"/>
      <c r="P668" s="1221"/>
      <c r="Q668" s="1221"/>
      <c r="R668" s="1221"/>
      <c r="S668" s="1221"/>
      <c r="T668" s="1221"/>
      <c r="U668" s="1221"/>
      <c r="V668" s="1221"/>
      <c r="W668" s="1221"/>
      <c r="X668" s="1221"/>
      <c r="Y668" s="1221"/>
      <c r="Z668" s="1221"/>
    </row>
    <row r="669" ht="15.75" customHeight="1">
      <c r="A669" s="1221"/>
      <c r="B669" s="1221"/>
      <c r="C669" s="1221"/>
      <c r="D669" s="1221"/>
      <c r="E669" s="1221"/>
      <c r="F669" s="1221"/>
      <c r="G669" s="1221"/>
      <c r="H669" s="1221"/>
      <c r="I669" s="1221"/>
      <c r="J669" s="1221"/>
      <c r="K669" s="1221"/>
      <c r="L669" s="1221"/>
      <c r="M669" s="1221"/>
      <c r="N669" s="1221"/>
      <c r="O669" s="1221"/>
      <c r="P669" s="1221"/>
      <c r="Q669" s="1221"/>
      <c r="R669" s="1221"/>
      <c r="S669" s="1221"/>
      <c r="T669" s="1221"/>
      <c r="U669" s="1221"/>
      <c r="V669" s="1221"/>
      <c r="W669" s="1221"/>
      <c r="X669" s="1221"/>
      <c r="Y669" s="1221"/>
      <c r="Z669" s="1221"/>
    </row>
    <row r="670" ht="15.75" customHeight="1">
      <c r="A670" s="1221"/>
      <c r="B670" s="1221"/>
      <c r="C670" s="1221"/>
      <c r="D670" s="1221"/>
      <c r="E670" s="1221"/>
      <c r="F670" s="1221"/>
      <c r="G670" s="1221"/>
      <c r="H670" s="1221"/>
      <c r="I670" s="1221"/>
      <c r="J670" s="1221"/>
      <c r="K670" s="1221"/>
      <c r="L670" s="1221"/>
      <c r="M670" s="1221"/>
      <c r="N670" s="1221"/>
      <c r="O670" s="1221"/>
      <c r="P670" s="1221"/>
      <c r="Q670" s="1221"/>
      <c r="R670" s="1221"/>
      <c r="S670" s="1221"/>
      <c r="T670" s="1221"/>
      <c r="U670" s="1221"/>
      <c r="V670" s="1221"/>
      <c r="W670" s="1221"/>
      <c r="X670" s="1221"/>
      <c r="Y670" s="1221"/>
      <c r="Z670" s="1221"/>
    </row>
    <row r="671" ht="15.75" customHeight="1">
      <c r="A671" s="1221"/>
      <c r="B671" s="1221"/>
      <c r="C671" s="1221"/>
      <c r="D671" s="1221"/>
      <c r="E671" s="1221"/>
      <c r="F671" s="1221"/>
      <c r="G671" s="1221"/>
      <c r="H671" s="1221"/>
      <c r="I671" s="1221"/>
      <c r="J671" s="1221"/>
      <c r="K671" s="1221"/>
      <c r="L671" s="1221"/>
      <c r="M671" s="1221"/>
      <c r="N671" s="1221"/>
      <c r="O671" s="1221"/>
      <c r="P671" s="1221"/>
      <c r="Q671" s="1221"/>
      <c r="R671" s="1221"/>
      <c r="S671" s="1221"/>
      <c r="T671" s="1221"/>
      <c r="U671" s="1221"/>
      <c r="V671" s="1221"/>
      <c r="W671" s="1221"/>
      <c r="X671" s="1221"/>
      <c r="Y671" s="1221"/>
      <c r="Z671" s="1221"/>
    </row>
    <row r="672" ht="15.75" customHeight="1">
      <c r="A672" s="1221"/>
      <c r="B672" s="1221"/>
      <c r="C672" s="1221"/>
      <c r="D672" s="1221"/>
      <c r="E672" s="1221"/>
      <c r="F672" s="1221"/>
      <c r="G672" s="1221"/>
      <c r="H672" s="1221"/>
      <c r="I672" s="1221"/>
      <c r="J672" s="1221"/>
      <c r="K672" s="1221"/>
      <c r="L672" s="1221"/>
      <c r="M672" s="1221"/>
      <c r="N672" s="1221"/>
      <c r="O672" s="1221"/>
      <c r="P672" s="1221"/>
      <c r="Q672" s="1221"/>
      <c r="R672" s="1221"/>
      <c r="S672" s="1221"/>
      <c r="T672" s="1221"/>
      <c r="U672" s="1221"/>
      <c r="V672" s="1221"/>
      <c r="W672" s="1221"/>
      <c r="X672" s="1221"/>
      <c r="Y672" s="1221"/>
      <c r="Z672" s="1221"/>
    </row>
    <row r="673" ht="15.75" customHeight="1">
      <c r="A673" s="1221"/>
      <c r="B673" s="1221"/>
      <c r="C673" s="1221"/>
      <c r="D673" s="1221"/>
      <c r="E673" s="1221"/>
      <c r="F673" s="1221"/>
      <c r="G673" s="1221"/>
      <c r="H673" s="1221"/>
      <c r="I673" s="1221"/>
      <c r="J673" s="1221"/>
      <c r="K673" s="1221"/>
      <c r="L673" s="1221"/>
      <c r="M673" s="1221"/>
      <c r="N673" s="1221"/>
      <c r="O673" s="1221"/>
      <c r="P673" s="1221"/>
      <c r="Q673" s="1221"/>
      <c r="R673" s="1221"/>
      <c r="S673" s="1221"/>
      <c r="T673" s="1221"/>
      <c r="U673" s="1221"/>
      <c r="V673" s="1221"/>
      <c r="W673" s="1221"/>
      <c r="X673" s="1221"/>
      <c r="Y673" s="1221"/>
      <c r="Z673" s="1221"/>
    </row>
    <row r="674" ht="15.75" customHeight="1">
      <c r="A674" s="1221"/>
      <c r="B674" s="1221"/>
      <c r="C674" s="1221"/>
      <c r="D674" s="1221"/>
      <c r="E674" s="1221"/>
      <c r="F674" s="1221"/>
      <c r="G674" s="1221"/>
      <c r="H674" s="1221"/>
      <c r="I674" s="1221"/>
      <c r="J674" s="1221"/>
      <c r="K674" s="1221"/>
      <c r="L674" s="1221"/>
      <c r="M674" s="1221"/>
      <c r="N674" s="1221"/>
      <c r="O674" s="1221"/>
      <c r="P674" s="1221"/>
      <c r="Q674" s="1221"/>
      <c r="R674" s="1221"/>
      <c r="S674" s="1221"/>
      <c r="T674" s="1221"/>
      <c r="U674" s="1221"/>
      <c r="V674" s="1221"/>
      <c r="W674" s="1221"/>
      <c r="X674" s="1221"/>
      <c r="Y674" s="1221"/>
      <c r="Z674" s="1221"/>
    </row>
    <row r="675" ht="15.75" customHeight="1">
      <c r="A675" s="1221"/>
      <c r="B675" s="1221"/>
      <c r="C675" s="1221"/>
      <c r="D675" s="1221"/>
      <c r="E675" s="1221"/>
      <c r="F675" s="1221"/>
      <c r="G675" s="1221"/>
      <c r="H675" s="1221"/>
      <c r="I675" s="1221"/>
      <c r="J675" s="1221"/>
      <c r="K675" s="1221"/>
      <c r="L675" s="1221"/>
      <c r="M675" s="1221"/>
      <c r="N675" s="1221"/>
      <c r="O675" s="1221"/>
      <c r="P675" s="1221"/>
      <c r="Q675" s="1221"/>
      <c r="R675" s="1221"/>
      <c r="S675" s="1221"/>
      <c r="T675" s="1221"/>
      <c r="U675" s="1221"/>
      <c r="V675" s="1221"/>
      <c r="W675" s="1221"/>
      <c r="X675" s="1221"/>
      <c r="Y675" s="1221"/>
      <c r="Z675" s="1221"/>
    </row>
    <row r="676" ht="15.75" customHeight="1">
      <c r="A676" s="1221"/>
      <c r="B676" s="1221"/>
      <c r="C676" s="1221"/>
      <c r="D676" s="1221"/>
      <c r="E676" s="1221"/>
      <c r="F676" s="1221"/>
      <c r="G676" s="1221"/>
      <c r="H676" s="1221"/>
      <c r="I676" s="1221"/>
      <c r="J676" s="1221"/>
      <c r="K676" s="1221"/>
      <c r="L676" s="1221"/>
      <c r="M676" s="1221"/>
      <c r="N676" s="1221"/>
      <c r="O676" s="1221"/>
      <c r="P676" s="1221"/>
      <c r="Q676" s="1221"/>
      <c r="R676" s="1221"/>
      <c r="S676" s="1221"/>
      <c r="T676" s="1221"/>
      <c r="U676" s="1221"/>
      <c r="V676" s="1221"/>
      <c r="W676" s="1221"/>
      <c r="X676" s="1221"/>
      <c r="Y676" s="1221"/>
      <c r="Z676" s="1221"/>
    </row>
    <row r="677" ht="15.75" customHeight="1">
      <c r="A677" s="1221"/>
      <c r="B677" s="1221"/>
      <c r="C677" s="1221"/>
      <c r="D677" s="1221"/>
      <c r="E677" s="1221"/>
      <c r="F677" s="1221"/>
      <c r="G677" s="1221"/>
      <c r="H677" s="1221"/>
      <c r="I677" s="1221"/>
      <c r="J677" s="1221"/>
      <c r="K677" s="1221"/>
      <c r="L677" s="1221"/>
      <c r="M677" s="1221"/>
      <c r="N677" s="1221"/>
      <c r="O677" s="1221"/>
      <c r="P677" s="1221"/>
      <c r="Q677" s="1221"/>
      <c r="R677" s="1221"/>
      <c r="S677" s="1221"/>
      <c r="T677" s="1221"/>
      <c r="U677" s="1221"/>
      <c r="V677" s="1221"/>
      <c r="W677" s="1221"/>
      <c r="X677" s="1221"/>
      <c r="Y677" s="1221"/>
      <c r="Z677" s="1221"/>
    </row>
    <row r="678" ht="15.75" customHeight="1">
      <c r="A678" s="1221"/>
      <c r="B678" s="1221"/>
      <c r="C678" s="1221"/>
      <c r="D678" s="1221"/>
      <c r="E678" s="1221"/>
      <c r="F678" s="1221"/>
      <c r="G678" s="1221"/>
      <c r="H678" s="1221"/>
      <c r="I678" s="1221"/>
      <c r="J678" s="1221"/>
      <c r="K678" s="1221"/>
      <c r="L678" s="1221"/>
      <c r="M678" s="1221"/>
      <c r="N678" s="1221"/>
      <c r="O678" s="1221"/>
      <c r="P678" s="1221"/>
      <c r="Q678" s="1221"/>
      <c r="R678" s="1221"/>
      <c r="S678" s="1221"/>
      <c r="T678" s="1221"/>
      <c r="U678" s="1221"/>
      <c r="V678" s="1221"/>
      <c r="W678" s="1221"/>
      <c r="X678" s="1221"/>
      <c r="Y678" s="1221"/>
      <c r="Z678" s="1221"/>
    </row>
    <row r="679" ht="15.75" customHeight="1">
      <c r="A679" s="1221"/>
      <c r="B679" s="1221"/>
      <c r="C679" s="1221"/>
      <c r="D679" s="1221"/>
      <c r="E679" s="1221"/>
      <c r="F679" s="1221"/>
      <c r="G679" s="1221"/>
      <c r="H679" s="1221"/>
      <c r="I679" s="1221"/>
      <c r="J679" s="1221"/>
      <c r="K679" s="1221"/>
      <c r="L679" s="1221"/>
      <c r="M679" s="1221"/>
      <c r="N679" s="1221"/>
      <c r="O679" s="1221"/>
      <c r="P679" s="1221"/>
      <c r="Q679" s="1221"/>
      <c r="R679" s="1221"/>
      <c r="S679" s="1221"/>
      <c r="T679" s="1221"/>
      <c r="U679" s="1221"/>
      <c r="V679" s="1221"/>
      <c r="W679" s="1221"/>
      <c r="X679" s="1221"/>
      <c r="Y679" s="1221"/>
      <c r="Z679" s="1221"/>
    </row>
    <row r="680" ht="15.75" customHeight="1">
      <c r="A680" s="1221"/>
      <c r="B680" s="1221"/>
      <c r="C680" s="1221"/>
      <c r="D680" s="1221"/>
      <c r="E680" s="1221"/>
      <c r="F680" s="1221"/>
      <c r="G680" s="1221"/>
      <c r="H680" s="1221"/>
      <c r="I680" s="1221"/>
      <c r="J680" s="1221"/>
      <c r="K680" s="1221"/>
      <c r="L680" s="1221"/>
      <c r="M680" s="1221"/>
      <c r="N680" s="1221"/>
      <c r="O680" s="1221"/>
      <c r="P680" s="1221"/>
      <c r="Q680" s="1221"/>
      <c r="R680" s="1221"/>
      <c r="S680" s="1221"/>
      <c r="T680" s="1221"/>
      <c r="U680" s="1221"/>
      <c r="V680" s="1221"/>
      <c r="W680" s="1221"/>
      <c r="X680" s="1221"/>
      <c r="Y680" s="1221"/>
      <c r="Z680" s="1221"/>
    </row>
    <row r="681" ht="15.75" customHeight="1">
      <c r="A681" s="1221"/>
      <c r="B681" s="1221"/>
      <c r="C681" s="1221"/>
      <c r="D681" s="1221"/>
      <c r="E681" s="1221"/>
      <c r="F681" s="1221"/>
      <c r="G681" s="1221"/>
      <c r="H681" s="1221"/>
      <c r="I681" s="1221"/>
      <c r="J681" s="1221"/>
      <c r="K681" s="1221"/>
      <c r="L681" s="1221"/>
      <c r="M681" s="1221"/>
      <c r="N681" s="1221"/>
      <c r="O681" s="1221"/>
      <c r="P681" s="1221"/>
      <c r="Q681" s="1221"/>
      <c r="R681" s="1221"/>
      <c r="S681" s="1221"/>
      <c r="T681" s="1221"/>
      <c r="U681" s="1221"/>
      <c r="V681" s="1221"/>
      <c r="W681" s="1221"/>
      <c r="X681" s="1221"/>
      <c r="Y681" s="1221"/>
      <c r="Z681" s="1221"/>
    </row>
    <row r="682" ht="15.75" customHeight="1">
      <c r="A682" s="1221"/>
      <c r="B682" s="1221"/>
      <c r="C682" s="1221"/>
      <c r="D682" s="1221"/>
      <c r="E682" s="1221"/>
      <c r="F682" s="1221"/>
      <c r="G682" s="1221"/>
      <c r="H682" s="1221"/>
      <c r="I682" s="1221"/>
      <c r="J682" s="1221"/>
      <c r="K682" s="1221"/>
      <c r="L682" s="1221"/>
      <c r="M682" s="1221"/>
      <c r="N682" s="1221"/>
      <c r="O682" s="1221"/>
      <c r="P682" s="1221"/>
      <c r="Q682" s="1221"/>
      <c r="R682" s="1221"/>
      <c r="S682" s="1221"/>
      <c r="T682" s="1221"/>
      <c r="U682" s="1221"/>
      <c r="V682" s="1221"/>
      <c r="W682" s="1221"/>
      <c r="X682" s="1221"/>
      <c r="Y682" s="1221"/>
      <c r="Z682" s="1221"/>
    </row>
    <row r="683" ht="15.75" customHeight="1">
      <c r="A683" s="1221"/>
      <c r="B683" s="1221"/>
      <c r="C683" s="1221"/>
      <c r="D683" s="1221"/>
      <c r="E683" s="1221"/>
      <c r="F683" s="1221"/>
      <c r="G683" s="1221"/>
      <c r="H683" s="1221"/>
      <c r="I683" s="1221"/>
      <c r="J683" s="1221"/>
      <c r="K683" s="1221"/>
      <c r="L683" s="1221"/>
      <c r="M683" s="1221"/>
      <c r="N683" s="1221"/>
      <c r="O683" s="1221"/>
      <c r="P683" s="1221"/>
      <c r="Q683" s="1221"/>
      <c r="R683" s="1221"/>
      <c r="S683" s="1221"/>
      <c r="T683" s="1221"/>
      <c r="U683" s="1221"/>
      <c r="V683" s="1221"/>
      <c r="W683" s="1221"/>
      <c r="X683" s="1221"/>
      <c r="Y683" s="1221"/>
      <c r="Z683" s="1221"/>
    </row>
    <row r="684" ht="15.75" customHeight="1">
      <c r="A684" s="1221"/>
      <c r="B684" s="1221"/>
      <c r="C684" s="1221"/>
      <c r="D684" s="1221"/>
      <c r="E684" s="1221"/>
      <c r="F684" s="1221"/>
      <c r="G684" s="1221"/>
      <c r="H684" s="1221"/>
      <c r="I684" s="1221"/>
      <c r="J684" s="1221"/>
      <c r="K684" s="1221"/>
      <c r="L684" s="1221"/>
      <c r="M684" s="1221"/>
      <c r="N684" s="1221"/>
      <c r="O684" s="1221"/>
      <c r="P684" s="1221"/>
      <c r="Q684" s="1221"/>
      <c r="R684" s="1221"/>
      <c r="S684" s="1221"/>
      <c r="T684" s="1221"/>
      <c r="U684" s="1221"/>
      <c r="V684" s="1221"/>
      <c r="W684" s="1221"/>
      <c r="X684" s="1221"/>
      <c r="Y684" s="1221"/>
      <c r="Z684" s="1221"/>
    </row>
    <row r="685" ht="15.75" customHeight="1">
      <c r="A685" s="1221"/>
      <c r="B685" s="1221"/>
      <c r="C685" s="1221"/>
      <c r="D685" s="1221"/>
      <c r="E685" s="1221"/>
      <c r="F685" s="1221"/>
      <c r="G685" s="1221"/>
      <c r="H685" s="1221"/>
      <c r="I685" s="1221"/>
      <c r="J685" s="1221"/>
      <c r="K685" s="1221"/>
      <c r="L685" s="1221"/>
      <c r="M685" s="1221"/>
      <c r="N685" s="1221"/>
      <c r="O685" s="1221"/>
      <c r="P685" s="1221"/>
      <c r="Q685" s="1221"/>
      <c r="R685" s="1221"/>
      <c r="S685" s="1221"/>
      <c r="T685" s="1221"/>
      <c r="U685" s="1221"/>
      <c r="V685" s="1221"/>
      <c r="W685" s="1221"/>
      <c r="X685" s="1221"/>
      <c r="Y685" s="1221"/>
      <c r="Z685" s="1221"/>
    </row>
    <row r="686" ht="15.75" customHeight="1">
      <c r="A686" s="1221"/>
      <c r="B686" s="1221"/>
      <c r="C686" s="1221"/>
      <c r="D686" s="1221"/>
      <c r="E686" s="1221"/>
      <c r="F686" s="1221"/>
      <c r="G686" s="1221"/>
      <c r="H686" s="1221"/>
      <c r="I686" s="1221"/>
      <c r="J686" s="1221"/>
      <c r="K686" s="1221"/>
      <c r="L686" s="1221"/>
      <c r="M686" s="1221"/>
      <c r="N686" s="1221"/>
      <c r="O686" s="1221"/>
      <c r="P686" s="1221"/>
      <c r="Q686" s="1221"/>
      <c r="R686" s="1221"/>
      <c r="S686" s="1221"/>
      <c r="T686" s="1221"/>
      <c r="U686" s="1221"/>
      <c r="V686" s="1221"/>
      <c r="W686" s="1221"/>
      <c r="X686" s="1221"/>
      <c r="Y686" s="1221"/>
      <c r="Z686" s="1221"/>
    </row>
    <row r="687" ht="15.75" customHeight="1">
      <c r="A687" s="1221"/>
      <c r="B687" s="1221"/>
      <c r="C687" s="1221"/>
      <c r="D687" s="1221"/>
      <c r="E687" s="1221"/>
      <c r="F687" s="1221"/>
      <c r="G687" s="1221"/>
      <c r="H687" s="1221"/>
      <c r="I687" s="1221"/>
      <c r="J687" s="1221"/>
      <c r="K687" s="1221"/>
      <c r="L687" s="1221"/>
      <c r="M687" s="1221"/>
      <c r="N687" s="1221"/>
      <c r="O687" s="1221"/>
      <c r="P687" s="1221"/>
      <c r="Q687" s="1221"/>
      <c r="R687" s="1221"/>
      <c r="S687" s="1221"/>
      <c r="T687" s="1221"/>
      <c r="U687" s="1221"/>
      <c r="V687" s="1221"/>
      <c r="W687" s="1221"/>
      <c r="X687" s="1221"/>
      <c r="Y687" s="1221"/>
      <c r="Z687" s="1221"/>
    </row>
    <row r="688" ht="15.75" customHeight="1">
      <c r="A688" s="1221"/>
      <c r="B688" s="1221"/>
      <c r="C688" s="1221"/>
      <c r="D688" s="1221"/>
      <c r="E688" s="1221"/>
      <c r="F688" s="1221"/>
      <c r="G688" s="1221"/>
      <c r="H688" s="1221"/>
      <c r="I688" s="1221"/>
      <c r="J688" s="1221"/>
      <c r="K688" s="1221"/>
      <c r="L688" s="1221"/>
      <c r="M688" s="1221"/>
      <c r="N688" s="1221"/>
      <c r="O688" s="1221"/>
      <c r="P688" s="1221"/>
      <c r="Q688" s="1221"/>
      <c r="R688" s="1221"/>
      <c r="S688" s="1221"/>
      <c r="T688" s="1221"/>
      <c r="U688" s="1221"/>
      <c r="V688" s="1221"/>
      <c r="W688" s="1221"/>
      <c r="X688" s="1221"/>
      <c r="Y688" s="1221"/>
      <c r="Z688" s="1221"/>
    </row>
    <row r="689" ht="15.75" customHeight="1">
      <c r="A689" s="1221"/>
      <c r="B689" s="1221"/>
      <c r="C689" s="1221"/>
      <c r="D689" s="1221"/>
      <c r="E689" s="1221"/>
      <c r="F689" s="1221"/>
      <c r="G689" s="1221"/>
      <c r="H689" s="1221"/>
      <c r="I689" s="1221"/>
      <c r="J689" s="1221"/>
      <c r="K689" s="1221"/>
      <c r="L689" s="1221"/>
      <c r="M689" s="1221"/>
      <c r="N689" s="1221"/>
      <c r="O689" s="1221"/>
      <c r="P689" s="1221"/>
      <c r="Q689" s="1221"/>
      <c r="R689" s="1221"/>
      <c r="S689" s="1221"/>
      <c r="T689" s="1221"/>
      <c r="U689" s="1221"/>
      <c r="V689" s="1221"/>
      <c r="W689" s="1221"/>
      <c r="X689" s="1221"/>
      <c r="Y689" s="1221"/>
      <c r="Z689" s="1221"/>
    </row>
    <row r="690" ht="15.75" customHeight="1">
      <c r="A690" s="1221"/>
      <c r="B690" s="1221"/>
      <c r="C690" s="1221"/>
      <c r="D690" s="1221"/>
      <c r="E690" s="1221"/>
      <c r="F690" s="1221"/>
      <c r="G690" s="1221"/>
      <c r="H690" s="1221"/>
      <c r="I690" s="1221"/>
      <c r="J690" s="1221"/>
      <c r="K690" s="1221"/>
      <c r="L690" s="1221"/>
      <c r="M690" s="1221"/>
      <c r="N690" s="1221"/>
      <c r="O690" s="1221"/>
      <c r="P690" s="1221"/>
      <c r="Q690" s="1221"/>
      <c r="R690" s="1221"/>
      <c r="S690" s="1221"/>
      <c r="T690" s="1221"/>
      <c r="U690" s="1221"/>
      <c r="V690" s="1221"/>
      <c r="W690" s="1221"/>
      <c r="X690" s="1221"/>
      <c r="Y690" s="1221"/>
      <c r="Z690" s="1221"/>
    </row>
    <row r="691" ht="15.75" customHeight="1">
      <c r="A691" s="1221"/>
      <c r="B691" s="1221"/>
      <c r="C691" s="1221"/>
      <c r="D691" s="1221"/>
      <c r="E691" s="1221"/>
      <c r="F691" s="1221"/>
      <c r="G691" s="1221"/>
      <c r="H691" s="1221"/>
      <c r="I691" s="1221"/>
      <c r="J691" s="1221"/>
      <c r="K691" s="1221"/>
      <c r="L691" s="1221"/>
      <c r="M691" s="1221"/>
      <c r="N691" s="1221"/>
      <c r="O691" s="1221"/>
      <c r="P691" s="1221"/>
      <c r="Q691" s="1221"/>
      <c r="R691" s="1221"/>
      <c r="S691" s="1221"/>
      <c r="T691" s="1221"/>
      <c r="U691" s="1221"/>
      <c r="V691" s="1221"/>
      <c r="W691" s="1221"/>
      <c r="X691" s="1221"/>
      <c r="Y691" s="1221"/>
      <c r="Z691" s="1221"/>
    </row>
    <row r="692" ht="15.75" customHeight="1">
      <c r="A692" s="1221"/>
      <c r="B692" s="1221"/>
      <c r="C692" s="1221"/>
      <c r="D692" s="1221"/>
      <c r="E692" s="1221"/>
      <c r="F692" s="1221"/>
      <c r="G692" s="1221"/>
      <c r="H692" s="1221"/>
      <c r="I692" s="1221"/>
      <c r="J692" s="1221"/>
      <c r="K692" s="1221"/>
      <c r="L692" s="1221"/>
      <c r="M692" s="1221"/>
      <c r="N692" s="1221"/>
      <c r="O692" s="1221"/>
      <c r="P692" s="1221"/>
      <c r="Q692" s="1221"/>
      <c r="R692" s="1221"/>
      <c r="S692" s="1221"/>
      <c r="T692" s="1221"/>
      <c r="U692" s="1221"/>
      <c r="V692" s="1221"/>
      <c r="W692" s="1221"/>
      <c r="X692" s="1221"/>
      <c r="Y692" s="1221"/>
      <c r="Z692" s="1221"/>
    </row>
    <row r="693" ht="15.75" customHeight="1">
      <c r="A693" s="1221"/>
      <c r="B693" s="1221"/>
      <c r="C693" s="1221"/>
      <c r="D693" s="1221"/>
      <c r="E693" s="1221"/>
      <c r="F693" s="1221"/>
      <c r="G693" s="1221"/>
      <c r="H693" s="1221"/>
      <c r="I693" s="1221"/>
      <c r="J693" s="1221"/>
      <c r="K693" s="1221"/>
      <c r="L693" s="1221"/>
      <c r="M693" s="1221"/>
      <c r="N693" s="1221"/>
      <c r="O693" s="1221"/>
      <c r="P693" s="1221"/>
      <c r="Q693" s="1221"/>
      <c r="R693" s="1221"/>
      <c r="S693" s="1221"/>
      <c r="T693" s="1221"/>
      <c r="U693" s="1221"/>
      <c r="V693" s="1221"/>
      <c r="W693" s="1221"/>
      <c r="X693" s="1221"/>
      <c r="Y693" s="1221"/>
      <c r="Z693" s="1221"/>
    </row>
    <row r="694" ht="15.75" customHeight="1">
      <c r="A694" s="1221"/>
      <c r="B694" s="1221"/>
      <c r="C694" s="1221"/>
      <c r="D694" s="1221"/>
      <c r="E694" s="1221"/>
      <c r="F694" s="1221"/>
      <c r="G694" s="1221"/>
      <c r="H694" s="1221"/>
      <c r="I694" s="1221"/>
      <c r="J694" s="1221"/>
      <c r="K694" s="1221"/>
      <c r="L694" s="1221"/>
      <c r="M694" s="1221"/>
      <c r="N694" s="1221"/>
      <c r="O694" s="1221"/>
      <c r="P694" s="1221"/>
      <c r="Q694" s="1221"/>
      <c r="R694" s="1221"/>
      <c r="S694" s="1221"/>
      <c r="T694" s="1221"/>
      <c r="U694" s="1221"/>
      <c r="V694" s="1221"/>
      <c r="W694" s="1221"/>
      <c r="X694" s="1221"/>
      <c r="Y694" s="1221"/>
      <c r="Z694" s="1221"/>
    </row>
    <row r="695" ht="15.75" customHeight="1">
      <c r="A695" s="1221"/>
      <c r="B695" s="1221"/>
      <c r="C695" s="1221"/>
      <c r="D695" s="1221"/>
      <c r="E695" s="1221"/>
      <c r="F695" s="1221"/>
      <c r="G695" s="1221"/>
      <c r="H695" s="1221"/>
      <c r="I695" s="1221"/>
      <c r="J695" s="1221"/>
      <c r="K695" s="1221"/>
      <c r="L695" s="1221"/>
      <c r="M695" s="1221"/>
      <c r="N695" s="1221"/>
      <c r="O695" s="1221"/>
      <c r="P695" s="1221"/>
      <c r="Q695" s="1221"/>
      <c r="R695" s="1221"/>
      <c r="S695" s="1221"/>
      <c r="T695" s="1221"/>
      <c r="U695" s="1221"/>
      <c r="V695" s="1221"/>
      <c r="W695" s="1221"/>
      <c r="X695" s="1221"/>
      <c r="Y695" s="1221"/>
      <c r="Z695" s="1221"/>
    </row>
    <row r="696" ht="15.75" customHeight="1">
      <c r="A696" s="1221"/>
      <c r="B696" s="1221"/>
      <c r="C696" s="1221"/>
      <c r="D696" s="1221"/>
      <c r="E696" s="1221"/>
      <c r="F696" s="1221"/>
      <c r="G696" s="1221"/>
      <c r="H696" s="1221"/>
      <c r="I696" s="1221"/>
      <c r="J696" s="1221"/>
      <c r="K696" s="1221"/>
      <c r="L696" s="1221"/>
      <c r="M696" s="1221"/>
      <c r="N696" s="1221"/>
      <c r="O696" s="1221"/>
      <c r="P696" s="1221"/>
      <c r="Q696" s="1221"/>
      <c r="R696" s="1221"/>
      <c r="S696" s="1221"/>
      <c r="T696" s="1221"/>
      <c r="U696" s="1221"/>
      <c r="V696" s="1221"/>
      <c r="W696" s="1221"/>
      <c r="X696" s="1221"/>
      <c r="Y696" s="1221"/>
      <c r="Z696" s="1221"/>
    </row>
    <row r="697" ht="15.75" customHeight="1">
      <c r="A697" s="1221"/>
      <c r="B697" s="1221"/>
      <c r="C697" s="1221"/>
      <c r="D697" s="1221"/>
      <c r="E697" s="1221"/>
      <c r="F697" s="1221"/>
      <c r="G697" s="1221"/>
      <c r="H697" s="1221"/>
      <c r="I697" s="1221"/>
      <c r="J697" s="1221"/>
      <c r="K697" s="1221"/>
      <c r="L697" s="1221"/>
      <c r="M697" s="1221"/>
      <c r="N697" s="1221"/>
      <c r="O697" s="1221"/>
      <c r="P697" s="1221"/>
      <c r="Q697" s="1221"/>
      <c r="R697" s="1221"/>
      <c r="S697" s="1221"/>
      <c r="T697" s="1221"/>
      <c r="U697" s="1221"/>
      <c r="V697" s="1221"/>
      <c r="W697" s="1221"/>
      <c r="X697" s="1221"/>
      <c r="Y697" s="1221"/>
      <c r="Z697" s="1221"/>
    </row>
    <row r="698" ht="15.75" customHeight="1">
      <c r="A698" s="1221"/>
      <c r="B698" s="1221"/>
      <c r="C698" s="1221"/>
      <c r="D698" s="1221"/>
      <c r="E698" s="1221"/>
      <c r="F698" s="1221"/>
      <c r="G698" s="1221"/>
      <c r="H698" s="1221"/>
      <c r="I698" s="1221"/>
      <c r="J698" s="1221"/>
      <c r="K698" s="1221"/>
      <c r="L698" s="1221"/>
      <c r="M698" s="1221"/>
      <c r="N698" s="1221"/>
      <c r="O698" s="1221"/>
      <c r="P698" s="1221"/>
      <c r="Q698" s="1221"/>
      <c r="R698" s="1221"/>
      <c r="S698" s="1221"/>
      <c r="T698" s="1221"/>
      <c r="U698" s="1221"/>
      <c r="V698" s="1221"/>
      <c r="W698" s="1221"/>
      <c r="X698" s="1221"/>
      <c r="Y698" s="1221"/>
      <c r="Z698" s="1221"/>
    </row>
    <row r="699" ht="15.75" customHeight="1">
      <c r="A699" s="1221"/>
      <c r="B699" s="1221"/>
      <c r="C699" s="1221"/>
      <c r="D699" s="1221"/>
      <c r="E699" s="1221"/>
      <c r="F699" s="1221"/>
      <c r="G699" s="1221"/>
      <c r="H699" s="1221"/>
      <c r="I699" s="1221"/>
      <c r="J699" s="1221"/>
      <c r="K699" s="1221"/>
      <c r="L699" s="1221"/>
      <c r="M699" s="1221"/>
      <c r="N699" s="1221"/>
      <c r="O699" s="1221"/>
      <c r="P699" s="1221"/>
      <c r="Q699" s="1221"/>
      <c r="R699" s="1221"/>
      <c r="S699" s="1221"/>
      <c r="T699" s="1221"/>
      <c r="U699" s="1221"/>
      <c r="V699" s="1221"/>
      <c r="W699" s="1221"/>
      <c r="X699" s="1221"/>
      <c r="Y699" s="1221"/>
      <c r="Z699" s="1221"/>
    </row>
    <row r="700" ht="15.75" customHeight="1">
      <c r="A700" s="1221"/>
      <c r="B700" s="1221"/>
      <c r="C700" s="1221"/>
      <c r="D700" s="1221"/>
      <c r="E700" s="1221"/>
      <c r="F700" s="1221"/>
      <c r="G700" s="1221"/>
      <c r="H700" s="1221"/>
      <c r="I700" s="1221"/>
      <c r="J700" s="1221"/>
      <c r="K700" s="1221"/>
      <c r="L700" s="1221"/>
      <c r="M700" s="1221"/>
      <c r="N700" s="1221"/>
      <c r="O700" s="1221"/>
      <c r="P700" s="1221"/>
      <c r="Q700" s="1221"/>
      <c r="R700" s="1221"/>
      <c r="S700" s="1221"/>
      <c r="T700" s="1221"/>
      <c r="U700" s="1221"/>
      <c r="V700" s="1221"/>
      <c r="W700" s="1221"/>
      <c r="X700" s="1221"/>
      <c r="Y700" s="1221"/>
      <c r="Z700" s="1221"/>
    </row>
    <row r="701" ht="15.75" customHeight="1">
      <c r="A701" s="1221"/>
      <c r="B701" s="1221"/>
      <c r="C701" s="1221"/>
      <c r="D701" s="1221"/>
      <c r="E701" s="1221"/>
      <c r="F701" s="1221"/>
      <c r="G701" s="1221"/>
      <c r="H701" s="1221"/>
      <c r="I701" s="1221"/>
      <c r="J701" s="1221"/>
      <c r="K701" s="1221"/>
      <c r="L701" s="1221"/>
      <c r="M701" s="1221"/>
      <c r="N701" s="1221"/>
      <c r="O701" s="1221"/>
      <c r="P701" s="1221"/>
      <c r="Q701" s="1221"/>
      <c r="R701" s="1221"/>
      <c r="S701" s="1221"/>
      <c r="T701" s="1221"/>
      <c r="U701" s="1221"/>
      <c r="V701" s="1221"/>
      <c r="W701" s="1221"/>
      <c r="X701" s="1221"/>
      <c r="Y701" s="1221"/>
      <c r="Z701" s="1221"/>
    </row>
    <row r="702" ht="15.75" customHeight="1">
      <c r="A702" s="1221"/>
      <c r="B702" s="1221"/>
      <c r="C702" s="1221"/>
      <c r="D702" s="1221"/>
      <c r="E702" s="1221"/>
      <c r="F702" s="1221"/>
      <c r="G702" s="1221"/>
      <c r="H702" s="1221"/>
      <c r="I702" s="1221"/>
      <c r="J702" s="1221"/>
      <c r="K702" s="1221"/>
      <c r="L702" s="1221"/>
      <c r="M702" s="1221"/>
      <c r="N702" s="1221"/>
      <c r="O702" s="1221"/>
      <c r="P702" s="1221"/>
      <c r="Q702" s="1221"/>
      <c r="R702" s="1221"/>
      <c r="S702" s="1221"/>
      <c r="T702" s="1221"/>
      <c r="U702" s="1221"/>
      <c r="V702" s="1221"/>
      <c r="W702" s="1221"/>
      <c r="X702" s="1221"/>
      <c r="Y702" s="1221"/>
      <c r="Z702" s="1221"/>
    </row>
    <row r="703" ht="15.75" customHeight="1">
      <c r="A703" s="1221"/>
      <c r="B703" s="1221"/>
      <c r="C703" s="1221"/>
      <c r="D703" s="1221"/>
      <c r="E703" s="1221"/>
      <c r="F703" s="1221"/>
      <c r="G703" s="1221"/>
      <c r="H703" s="1221"/>
      <c r="I703" s="1221"/>
      <c r="J703" s="1221"/>
      <c r="K703" s="1221"/>
      <c r="L703" s="1221"/>
      <c r="M703" s="1221"/>
      <c r="N703" s="1221"/>
      <c r="O703" s="1221"/>
      <c r="P703" s="1221"/>
      <c r="Q703" s="1221"/>
      <c r="R703" s="1221"/>
      <c r="S703" s="1221"/>
      <c r="T703" s="1221"/>
      <c r="U703" s="1221"/>
      <c r="V703" s="1221"/>
      <c r="W703" s="1221"/>
      <c r="X703" s="1221"/>
      <c r="Y703" s="1221"/>
      <c r="Z703" s="1221"/>
    </row>
    <row r="704" ht="15.75" customHeight="1">
      <c r="A704" s="1221"/>
      <c r="B704" s="1221"/>
      <c r="C704" s="1221"/>
      <c r="D704" s="1221"/>
      <c r="E704" s="1221"/>
      <c r="F704" s="1221"/>
      <c r="G704" s="1221"/>
      <c r="H704" s="1221"/>
      <c r="I704" s="1221"/>
      <c r="J704" s="1221"/>
      <c r="K704" s="1221"/>
      <c r="L704" s="1221"/>
      <c r="M704" s="1221"/>
      <c r="N704" s="1221"/>
      <c r="O704" s="1221"/>
      <c r="P704" s="1221"/>
      <c r="Q704" s="1221"/>
      <c r="R704" s="1221"/>
      <c r="S704" s="1221"/>
      <c r="T704" s="1221"/>
      <c r="U704" s="1221"/>
      <c r="V704" s="1221"/>
      <c r="W704" s="1221"/>
      <c r="X704" s="1221"/>
      <c r="Y704" s="1221"/>
      <c r="Z704" s="1221"/>
    </row>
    <row r="705" ht="15.75" customHeight="1">
      <c r="A705" s="1221"/>
      <c r="B705" s="1221"/>
      <c r="C705" s="1221"/>
      <c r="D705" s="1221"/>
      <c r="E705" s="1221"/>
      <c r="F705" s="1221"/>
      <c r="G705" s="1221"/>
      <c r="H705" s="1221"/>
      <c r="I705" s="1221"/>
      <c r="J705" s="1221"/>
      <c r="K705" s="1221"/>
      <c r="L705" s="1221"/>
      <c r="M705" s="1221"/>
      <c r="N705" s="1221"/>
      <c r="O705" s="1221"/>
      <c r="P705" s="1221"/>
      <c r="Q705" s="1221"/>
      <c r="R705" s="1221"/>
      <c r="S705" s="1221"/>
      <c r="T705" s="1221"/>
      <c r="U705" s="1221"/>
      <c r="V705" s="1221"/>
      <c r="W705" s="1221"/>
      <c r="X705" s="1221"/>
      <c r="Y705" s="1221"/>
      <c r="Z705" s="1221"/>
    </row>
    <row r="706" ht="15.75" customHeight="1">
      <c r="A706" s="1221"/>
      <c r="B706" s="1221"/>
      <c r="C706" s="1221"/>
      <c r="D706" s="1221"/>
      <c r="E706" s="1221"/>
      <c r="F706" s="1221"/>
      <c r="G706" s="1221"/>
      <c r="H706" s="1221"/>
      <c r="I706" s="1221"/>
      <c r="J706" s="1221"/>
      <c r="K706" s="1221"/>
      <c r="L706" s="1221"/>
      <c r="M706" s="1221"/>
      <c r="N706" s="1221"/>
      <c r="O706" s="1221"/>
      <c r="P706" s="1221"/>
      <c r="Q706" s="1221"/>
      <c r="R706" s="1221"/>
      <c r="S706" s="1221"/>
      <c r="T706" s="1221"/>
      <c r="U706" s="1221"/>
      <c r="V706" s="1221"/>
      <c r="W706" s="1221"/>
      <c r="X706" s="1221"/>
      <c r="Y706" s="1221"/>
      <c r="Z706" s="1221"/>
    </row>
    <row r="707" ht="15.75" customHeight="1">
      <c r="A707" s="1221"/>
      <c r="B707" s="1221"/>
      <c r="C707" s="1221"/>
      <c r="D707" s="1221"/>
      <c r="E707" s="1221"/>
      <c r="F707" s="1221"/>
      <c r="G707" s="1221"/>
      <c r="H707" s="1221"/>
      <c r="I707" s="1221"/>
      <c r="J707" s="1221"/>
      <c r="K707" s="1221"/>
      <c r="L707" s="1221"/>
      <c r="M707" s="1221"/>
      <c r="N707" s="1221"/>
      <c r="O707" s="1221"/>
      <c r="P707" s="1221"/>
      <c r="Q707" s="1221"/>
      <c r="R707" s="1221"/>
      <c r="S707" s="1221"/>
      <c r="T707" s="1221"/>
      <c r="U707" s="1221"/>
      <c r="V707" s="1221"/>
      <c r="W707" s="1221"/>
      <c r="X707" s="1221"/>
      <c r="Y707" s="1221"/>
      <c r="Z707" s="1221"/>
    </row>
    <row r="708" ht="15.75" customHeight="1">
      <c r="A708" s="1221"/>
      <c r="B708" s="1221"/>
      <c r="C708" s="1221"/>
      <c r="D708" s="1221"/>
      <c r="E708" s="1221"/>
      <c r="F708" s="1221"/>
      <c r="G708" s="1221"/>
      <c r="H708" s="1221"/>
      <c r="I708" s="1221"/>
      <c r="J708" s="1221"/>
      <c r="K708" s="1221"/>
      <c r="L708" s="1221"/>
      <c r="M708" s="1221"/>
      <c r="N708" s="1221"/>
      <c r="O708" s="1221"/>
      <c r="P708" s="1221"/>
      <c r="Q708" s="1221"/>
      <c r="R708" s="1221"/>
      <c r="S708" s="1221"/>
      <c r="T708" s="1221"/>
      <c r="U708" s="1221"/>
      <c r="V708" s="1221"/>
      <c r="W708" s="1221"/>
      <c r="X708" s="1221"/>
      <c r="Y708" s="1221"/>
      <c r="Z708" s="1221"/>
    </row>
    <row r="709" ht="15.75" customHeight="1">
      <c r="A709" s="1221"/>
      <c r="B709" s="1221"/>
      <c r="C709" s="1221"/>
      <c r="D709" s="1221"/>
      <c r="E709" s="1221"/>
      <c r="F709" s="1221"/>
      <c r="G709" s="1221"/>
      <c r="H709" s="1221"/>
      <c r="I709" s="1221"/>
      <c r="J709" s="1221"/>
      <c r="K709" s="1221"/>
      <c r="L709" s="1221"/>
      <c r="M709" s="1221"/>
      <c r="N709" s="1221"/>
      <c r="O709" s="1221"/>
      <c r="P709" s="1221"/>
      <c r="Q709" s="1221"/>
      <c r="R709" s="1221"/>
      <c r="S709" s="1221"/>
      <c r="T709" s="1221"/>
      <c r="U709" s="1221"/>
      <c r="V709" s="1221"/>
      <c r="W709" s="1221"/>
      <c r="X709" s="1221"/>
      <c r="Y709" s="1221"/>
      <c r="Z709" s="1221"/>
    </row>
    <row r="710" ht="15.75" customHeight="1">
      <c r="A710" s="1221"/>
      <c r="B710" s="1221"/>
      <c r="C710" s="1221"/>
      <c r="D710" s="1221"/>
      <c r="E710" s="1221"/>
      <c r="F710" s="1221"/>
      <c r="G710" s="1221"/>
      <c r="H710" s="1221"/>
      <c r="I710" s="1221"/>
      <c r="J710" s="1221"/>
      <c r="K710" s="1221"/>
      <c r="L710" s="1221"/>
      <c r="M710" s="1221"/>
      <c r="N710" s="1221"/>
      <c r="O710" s="1221"/>
      <c r="P710" s="1221"/>
      <c r="Q710" s="1221"/>
      <c r="R710" s="1221"/>
      <c r="S710" s="1221"/>
      <c r="T710" s="1221"/>
      <c r="U710" s="1221"/>
      <c r="V710" s="1221"/>
      <c r="W710" s="1221"/>
      <c r="X710" s="1221"/>
      <c r="Y710" s="1221"/>
      <c r="Z710" s="1221"/>
    </row>
    <row r="711" ht="15.75" customHeight="1">
      <c r="A711" s="1221"/>
      <c r="B711" s="1221"/>
      <c r="C711" s="1221"/>
      <c r="D711" s="1221"/>
      <c r="E711" s="1221"/>
      <c r="F711" s="1221"/>
      <c r="G711" s="1221"/>
      <c r="H711" s="1221"/>
      <c r="I711" s="1221"/>
      <c r="J711" s="1221"/>
      <c r="K711" s="1221"/>
      <c r="L711" s="1221"/>
      <c r="M711" s="1221"/>
      <c r="N711" s="1221"/>
      <c r="O711" s="1221"/>
      <c r="P711" s="1221"/>
      <c r="Q711" s="1221"/>
      <c r="R711" s="1221"/>
      <c r="S711" s="1221"/>
      <c r="T711" s="1221"/>
      <c r="U711" s="1221"/>
      <c r="V711" s="1221"/>
      <c r="W711" s="1221"/>
      <c r="X711" s="1221"/>
      <c r="Y711" s="1221"/>
      <c r="Z711" s="1221"/>
    </row>
    <row r="712" ht="15.75" customHeight="1">
      <c r="A712" s="1221"/>
      <c r="B712" s="1221"/>
      <c r="C712" s="1221"/>
      <c r="D712" s="1221"/>
      <c r="E712" s="1221"/>
      <c r="F712" s="1221"/>
      <c r="G712" s="1221"/>
      <c r="H712" s="1221"/>
      <c r="I712" s="1221"/>
      <c r="J712" s="1221"/>
      <c r="K712" s="1221"/>
      <c r="L712" s="1221"/>
      <c r="M712" s="1221"/>
      <c r="N712" s="1221"/>
      <c r="O712" s="1221"/>
      <c r="P712" s="1221"/>
      <c r="Q712" s="1221"/>
      <c r="R712" s="1221"/>
      <c r="S712" s="1221"/>
      <c r="T712" s="1221"/>
      <c r="U712" s="1221"/>
      <c r="V712" s="1221"/>
      <c r="W712" s="1221"/>
      <c r="X712" s="1221"/>
      <c r="Y712" s="1221"/>
      <c r="Z712" s="1221"/>
    </row>
    <row r="713" ht="15.75" customHeight="1">
      <c r="A713" s="1221"/>
      <c r="B713" s="1221"/>
      <c r="C713" s="1221"/>
      <c r="D713" s="1221"/>
      <c r="E713" s="1221"/>
      <c r="F713" s="1221"/>
      <c r="G713" s="1221"/>
      <c r="H713" s="1221"/>
      <c r="I713" s="1221"/>
      <c r="J713" s="1221"/>
      <c r="K713" s="1221"/>
      <c r="L713" s="1221"/>
      <c r="M713" s="1221"/>
      <c r="N713" s="1221"/>
      <c r="O713" s="1221"/>
      <c r="P713" s="1221"/>
      <c r="Q713" s="1221"/>
      <c r="R713" s="1221"/>
      <c r="S713" s="1221"/>
      <c r="T713" s="1221"/>
      <c r="U713" s="1221"/>
      <c r="V713" s="1221"/>
      <c r="W713" s="1221"/>
      <c r="X713" s="1221"/>
      <c r="Y713" s="1221"/>
      <c r="Z713" s="1221"/>
    </row>
    <row r="714" ht="15.75" customHeight="1">
      <c r="A714" s="1221"/>
      <c r="B714" s="1221"/>
      <c r="C714" s="1221"/>
      <c r="D714" s="1221"/>
      <c r="E714" s="1221"/>
      <c r="F714" s="1221"/>
      <c r="G714" s="1221"/>
      <c r="H714" s="1221"/>
      <c r="I714" s="1221"/>
      <c r="J714" s="1221"/>
      <c r="K714" s="1221"/>
      <c r="L714" s="1221"/>
      <c r="M714" s="1221"/>
      <c r="N714" s="1221"/>
      <c r="O714" s="1221"/>
      <c r="P714" s="1221"/>
      <c r="Q714" s="1221"/>
      <c r="R714" s="1221"/>
      <c r="S714" s="1221"/>
      <c r="T714" s="1221"/>
      <c r="U714" s="1221"/>
      <c r="V714" s="1221"/>
      <c r="W714" s="1221"/>
      <c r="X714" s="1221"/>
      <c r="Y714" s="1221"/>
      <c r="Z714" s="1221"/>
    </row>
    <row r="715" ht="15.75" customHeight="1">
      <c r="A715" s="1221"/>
      <c r="B715" s="1221"/>
      <c r="C715" s="1221"/>
      <c r="D715" s="1221"/>
      <c r="E715" s="1221"/>
      <c r="F715" s="1221"/>
      <c r="G715" s="1221"/>
      <c r="H715" s="1221"/>
      <c r="I715" s="1221"/>
      <c r="J715" s="1221"/>
      <c r="K715" s="1221"/>
      <c r="L715" s="1221"/>
      <c r="M715" s="1221"/>
      <c r="N715" s="1221"/>
      <c r="O715" s="1221"/>
      <c r="P715" s="1221"/>
      <c r="Q715" s="1221"/>
      <c r="R715" s="1221"/>
      <c r="S715" s="1221"/>
      <c r="T715" s="1221"/>
      <c r="U715" s="1221"/>
      <c r="V715" s="1221"/>
      <c r="W715" s="1221"/>
      <c r="X715" s="1221"/>
      <c r="Y715" s="1221"/>
      <c r="Z715" s="1221"/>
    </row>
    <row r="716" ht="15.75" customHeight="1">
      <c r="A716" s="1221"/>
      <c r="B716" s="1221"/>
      <c r="C716" s="1221"/>
      <c r="D716" s="1221"/>
      <c r="E716" s="1221"/>
      <c r="F716" s="1221"/>
      <c r="G716" s="1221"/>
      <c r="H716" s="1221"/>
      <c r="I716" s="1221"/>
      <c r="J716" s="1221"/>
      <c r="K716" s="1221"/>
      <c r="L716" s="1221"/>
      <c r="M716" s="1221"/>
      <c r="N716" s="1221"/>
      <c r="O716" s="1221"/>
      <c r="P716" s="1221"/>
      <c r="Q716" s="1221"/>
      <c r="R716" s="1221"/>
      <c r="S716" s="1221"/>
      <c r="T716" s="1221"/>
      <c r="U716" s="1221"/>
      <c r="V716" s="1221"/>
      <c r="W716" s="1221"/>
      <c r="X716" s="1221"/>
      <c r="Y716" s="1221"/>
      <c r="Z716" s="1221"/>
    </row>
    <row r="717" ht="15.75" customHeight="1">
      <c r="A717" s="1221"/>
      <c r="B717" s="1221"/>
      <c r="C717" s="1221"/>
      <c r="D717" s="1221"/>
      <c r="E717" s="1221"/>
      <c r="F717" s="1221"/>
      <c r="G717" s="1221"/>
      <c r="H717" s="1221"/>
      <c r="I717" s="1221"/>
      <c r="J717" s="1221"/>
      <c r="K717" s="1221"/>
      <c r="L717" s="1221"/>
      <c r="M717" s="1221"/>
      <c r="N717" s="1221"/>
      <c r="O717" s="1221"/>
      <c r="P717" s="1221"/>
      <c r="Q717" s="1221"/>
      <c r="R717" s="1221"/>
      <c r="S717" s="1221"/>
      <c r="T717" s="1221"/>
      <c r="U717" s="1221"/>
      <c r="V717" s="1221"/>
      <c r="W717" s="1221"/>
      <c r="X717" s="1221"/>
      <c r="Y717" s="1221"/>
      <c r="Z717" s="1221"/>
    </row>
    <row r="718" ht="15.75" customHeight="1">
      <c r="A718" s="1221"/>
      <c r="B718" s="1221"/>
      <c r="C718" s="1221"/>
      <c r="D718" s="1221"/>
      <c r="E718" s="1221"/>
      <c r="F718" s="1221"/>
      <c r="G718" s="1221"/>
      <c r="H718" s="1221"/>
      <c r="I718" s="1221"/>
      <c r="J718" s="1221"/>
      <c r="K718" s="1221"/>
      <c r="L718" s="1221"/>
      <c r="M718" s="1221"/>
      <c r="N718" s="1221"/>
      <c r="O718" s="1221"/>
      <c r="P718" s="1221"/>
      <c r="Q718" s="1221"/>
      <c r="R718" s="1221"/>
      <c r="S718" s="1221"/>
      <c r="T718" s="1221"/>
      <c r="U718" s="1221"/>
      <c r="V718" s="1221"/>
      <c r="W718" s="1221"/>
      <c r="X718" s="1221"/>
      <c r="Y718" s="1221"/>
      <c r="Z718" s="1221"/>
    </row>
    <row r="719" ht="15.75" customHeight="1">
      <c r="A719" s="1221"/>
      <c r="B719" s="1221"/>
      <c r="C719" s="1221"/>
      <c r="D719" s="1221"/>
      <c r="E719" s="1221"/>
      <c r="F719" s="1221"/>
      <c r="G719" s="1221"/>
      <c r="H719" s="1221"/>
      <c r="I719" s="1221"/>
      <c r="J719" s="1221"/>
      <c r="K719" s="1221"/>
      <c r="L719" s="1221"/>
      <c r="M719" s="1221"/>
      <c r="N719" s="1221"/>
      <c r="O719" s="1221"/>
      <c r="P719" s="1221"/>
      <c r="Q719" s="1221"/>
      <c r="R719" s="1221"/>
      <c r="S719" s="1221"/>
      <c r="T719" s="1221"/>
      <c r="U719" s="1221"/>
      <c r="V719" s="1221"/>
      <c r="W719" s="1221"/>
      <c r="X719" s="1221"/>
      <c r="Y719" s="1221"/>
      <c r="Z719" s="1221"/>
    </row>
    <row r="720" ht="15.75" customHeight="1">
      <c r="A720" s="1221"/>
      <c r="B720" s="1221"/>
      <c r="C720" s="1221"/>
      <c r="D720" s="1221"/>
      <c r="E720" s="1221"/>
      <c r="F720" s="1221"/>
      <c r="G720" s="1221"/>
      <c r="H720" s="1221"/>
      <c r="I720" s="1221"/>
      <c r="J720" s="1221"/>
      <c r="K720" s="1221"/>
      <c r="L720" s="1221"/>
      <c r="M720" s="1221"/>
      <c r="N720" s="1221"/>
      <c r="O720" s="1221"/>
      <c r="P720" s="1221"/>
      <c r="Q720" s="1221"/>
      <c r="R720" s="1221"/>
      <c r="S720" s="1221"/>
      <c r="T720" s="1221"/>
      <c r="U720" s="1221"/>
      <c r="V720" s="1221"/>
      <c r="W720" s="1221"/>
      <c r="X720" s="1221"/>
      <c r="Y720" s="1221"/>
      <c r="Z720" s="1221"/>
    </row>
    <row r="721" ht="15.75" customHeight="1">
      <c r="A721" s="1221"/>
      <c r="B721" s="1221"/>
      <c r="C721" s="1221"/>
      <c r="D721" s="1221"/>
      <c r="E721" s="1221"/>
      <c r="F721" s="1221"/>
      <c r="G721" s="1221"/>
      <c r="H721" s="1221"/>
      <c r="I721" s="1221"/>
      <c r="J721" s="1221"/>
      <c r="K721" s="1221"/>
      <c r="L721" s="1221"/>
      <c r="M721" s="1221"/>
      <c r="N721" s="1221"/>
      <c r="O721" s="1221"/>
      <c r="P721" s="1221"/>
      <c r="Q721" s="1221"/>
      <c r="R721" s="1221"/>
      <c r="S721" s="1221"/>
      <c r="T721" s="1221"/>
      <c r="U721" s="1221"/>
      <c r="V721" s="1221"/>
      <c r="W721" s="1221"/>
      <c r="X721" s="1221"/>
      <c r="Y721" s="1221"/>
      <c r="Z721" s="1221"/>
    </row>
    <row r="722" ht="15.75" customHeight="1">
      <c r="A722" s="1221"/>
      <c r="B722" s="1221"/>
      <c r="C722" s="1221"/>
      <c r="D722" s="1221"/>
      <c r="E722" s="1221"/>
      <c r="F722" s="1221"/>
      <c r="G722" s="1221"/>
      <c r="H722" s="1221"/>
      <c r="I722" s="1221"/>
      <c r="J722" s="1221"/>
      <c r="K722" s="1221"/>
      <c r="L722" s="1221"/>
      <c r="M722" s="1221"/>
      <c r="N722" s="1221"/>
      <c r="O722" s="1221"/>
      <c r="P722" s="1221"/>
      <c r="Q722" s="1221"/>
      <c r="R722" s="1221"/>
      <c r="S722" s="1221"/>
      <c r="T722" s="1221"/>
      <c r="U722" s="1221"/>
      <c r="V722" s="1221"/>
      <c r="W722" s="1221"/>
      <c r="X722" s="1221"/>
      <c r="Y722" s="1221"/>
      <c r="Z722" s="1221"/>
    </row>
    <row r="723" ht="15.75" customHeight="1">
      <c r="A723" s="1221"/>
      <c r="B723" s="1221"/>
      <c r="C723" s="1221"/>
      <c r="D723" s="1221"/>
      <c r="E723" s="1221"/>
      <c r="F723" s="1221"/>
      <c r="G723" s="1221"/>
      <c r="H723" s="1221"/>
      <c r="I723" s="1221"/>
      <c r="J723" s="1221"/>
      <c r="K723" s="1221"/>
      <c r="L723" s="1221"/>
      <c r="M723" s="1221"/>
      <c r="N723" s="1221"/>
      <c r="O723" s="1221"/>
      <c r="P723" s="1221"/>
      <c r="Q723" s="1221"/>
      <c r="R723" s="1221"/>
      <c r="S723" s="1221"/>
      <c r="T723" s="1221"/>
      <c r="U723" s="1221"/>
      <c r="V723" s="1221"/>
      <c r="W723" s="1221"/>
      <c r="X723" s="1221"/>
      <c r="Y723" s="1221"/>
      <c r="Z723" s="1221"/>
    </row>
    <row r="724" ht="15.75" customHeight="1">
      <c r="A724" s="1221"/>
      <c r="B724" s="1221"/>
      <c r="C724" s="1221"/>
      <c r="D724" s="1221"/>
      <c r="E724" s="1221"/>
      <c r="F724" s="1221"/>
      <c r="G724" s="1221"/>
      <c r="H724" s="1221"/>
      <c r="I724" s="1221"/>
      <c r="J724" s="1221"/>
      <c r="K724" s="1221"/>
      <c r="L724" s="1221"/>
      <c r="M724" s="1221"/>
      <c r="N724" s="1221"/>
      <c r="O724" s="1221"/>
      <c r="P724" s="1221"/>
      <c r="Q724" s="1221"/>
      <c r="R724" s="1221"/>
      <c r="S724" s="1221"/>
      <c r="T724" s="1221"/>
      <c r="U724" s="1221"/>
      <c r="V724" s="1221"/>
      <c r="W724" s="1221"/>
      <c r="X724" s="1221"/>
      <c r="Y724" s="1221"/>
      <c r="Z724" s="1221"/>
    </row>
    <row r="725" ht="15.75" customHeight="1">
      <c r="A725" s="1221"/>
      <c r="B725" s="1221"/>
      <c r="C725" s="1221"/>
      <c r="D725" s="1221"/>
      <c r="E725" s="1221"/>
      <c r="F725" s="1221"/>
      <c r="G725" s="1221"/>
      <c r="H725" s="1221"/>
      <c r="I725" s="1221"/>
      <c r="J725" s="1221"/>
      <c r="K725" s="1221"/>
      <c r="L725" s="1221"/>
      <c r="M725" s="1221"/>
      <c r="N725" s="1221"/>
      <c r="O725" s="1221"/>
      <c r="P725" s="1221"/>
      <c r="Q725" s="1221"/>
      <c r="R725" s="1221"/>
      <c r="S725" s="1221"/>
      <c r="T725" s="1221"/>
      <c r="U725" s="1221"/>
      <c r="V725" s="1221"/>
      <c r="W725" s="1221"/>
      <c r="X725" s="1221"/>
      <c r="Y725" s="1221"/>
      <c r="Z725" s="1221"/>
    </row>
    <row r="726" ht="15.75" customHeight="1">
      <c r="A726" s="1221"/>
      <c r="B726" s="1221"/>
      <c r="C726" s="1221"/>
      <c r="D726" s="1221"/>
      <c r="E726" s="1221"/>
      <c r="F726" s="1221"/>
      <c r="G726" s="1221"/>
      <c r="H726" s="1221"/>
      <c r="I726" s="1221"/>
      <c r="J726" s="1221"/>
      <c r="K726" s="1221"/>
      <c r="L726" s="1221"/>
      <c r="M726" s="1221"/>
      <c r="N726" s="1221"/>
      <c r="O726" s="1221"/>
      <c r="P726" s="1221"/>
      <c r="Q726" s="1221"/>
      <c r="R726" s="1221"/>
      <c r="S726" s="1221"/>
      <c r="T726" s="1221"/>
      <c r="U726" s="1221"/>
      <c r="V726" s="1221"/>
      <c r="W726" s="1221"/>
      <c r="X726" s="1221"/>
      <c r="Y726" s="1221"/>
      <c r="Z726" s="1221"/>
    </row>
    <row r="727" ht="15.75" customHeight="1">
      <c r="A727" s="1221"/>
      <c r="B727" s="1221"/>
      <c r="C727" s="1221"/>
      <c r="D727" s="1221"/>
      <c r="E727" s="1221"/>
      <c r="F727" s="1221"/>
      <c r="G727" s="1221"/>
      <c r="H727" s="1221"/>
      <c r="I727" s="1221"/>
      <c r="J727" s="1221"/>
      <c r="K727" s="1221"/>
      <c r="L727" s="1221"/>
      <c r="M727" s="1221"/>
      <c r="N727" s="1221"/>
      <c r="O727" s="1221"/>
      <c r="P727" s="1221"/>
      <c r="Q727" s="1221"/>
      <c r="R727" s="1221"/>
      <c r="S727" s="1221"/>
      <c r="T727" s="1221"/>
      <c r="U727" s="1221"/>
      <c r="V727" s="1221"/>
      <c r="W727" s="1221"/>
      <c r="X727" s="1221"/>
      <c r="Y727" s="1221"/>
      <c r="Z727" s="1221"/>
    </row>
    <row r="728" ht="15.75" customHeight="1">
      <c r="A728" s="1221"/>
      <c r="B728" s="1221"/>
      <c r="C728" s="1221"/>
      <c r="D728" s="1221"/>
      <c r="E728" s="1221"/>
      <c r="F728" s="1221"/>
      <c r="G728" s="1221"/>
      <c r="H728" s="1221"/>
      <c r="I728" s="1221"/>
      <c r="J728" s="1221"/>
      <c r="K728" s="1221"/>
      <c r="L728" s="1221"/>
      <c r="M728" s="1221"/>
      <c r="N728" s="1221"/>
      <c r="O728" s="1221"/>
      <c r="P728" s="1221"/>
      <c r="Q728" s="1221"/>
      <c r="R728" s="1221"/>
      <c r="S728" s="1221"/>
      <c r="T728" s="1221"/>
      <c r="U728" s="1221"/>
      <c r="V728" s="1221"/>
      <c r="W728" s="1221"/>
      <c r="X728" s="1221"/>
      <c r="Y728" s="1221"/>
      <c r="Z728" s="1221"/>
    </row>
    <row r="729" ht="15.75" customHeight="1">
      <c r="A729" s="1221"/>
      <c r="B729" s="1221"/>
      <c r="C729" s="1221"/>
      <c r="D729" s="1221"/>
      <c r="E729" s="1221"/>
      <c r="F729" s="1221"/>
      <c r="G729" s="1221"/>
      <c r="H729" s="1221"/>
      <c r="I729" s="1221"/>
      <c r="J729" s="1221"/>
      <c r="K729" s="1221"/>
      <c r="L729" s="1221"/>
      <c r="M729" s="1221"/>
      <c r="N729" s="1221"/>
      <c r="O729" s="1221"/>
      <c r="P729" s="1221"/>
      <c r="Q729" s="1221"/>
      <c r="R729" s="1221"/>
      <c r="S729" s="1221"/>
      <c r="T729" s="1221"/>
      <c r="U729" s="1221"/>
      <c r="V729" s="1221"/>
      <c r="W729" s="1221"/>
      <c r="X729" s="1221"/>
      <c r="Y729" s="1221"/>
      <c r="Z729" s="1221"/>
    </row>
    <row r="730" ht="15.75" customHeight="1">
      <c r="A730" s="1221"/>
      <c r="B730" s="1221"/>
      <c r="C730" s="1221"/>
      <c r="D730" s="1221"/>
      <c r="E730" s="1221"/>
      <c r="F730" s="1221"/>
      <c r="G730" s="1221"/>
      <c r="H730" s="1221"/>
      <c r="I730" s="1221"/>
      <c r="J730" s="1221"/>
      <c r="K730" s="1221"/>
      <c r="L730" s="1221"/>
      <c r="M730" s="1221"/>
      <c r="N730" s="1221"/>
      <c r="O730" s="1221"/>
      <c r="P730" s="1221"/>
      <c r="Q730" s="1221"/>
      <c r="R730" s="1221"/>
      <c r="S730" s="1221"/>
      <c r="T730" s="1221"/>
      <c r="U730" s="1221"/>
      <c r="V730" s="1221"/>
      <c r="W730" s="1221"/>
      <c r="X730" s="1221"/>
      <c r="Y730" s="1221"/>
      <c r="Z730" s="1221"/>
    </row>
    <row r="731" ht="15.75" customHeight="1">
      <c r="A731" s="1221"/>
      <c r="B731" s="1221"/>
      <c r="C731" s="1221"/>
      <c r="D731" s="1221"/>
      <c r="E731" s="1221"/>
      <c r="F731" s="1221"/>
      <c r="G731" s="1221"/>
      <c r="H731" s="1221"/>
      <c r="I731" s="1221"/>
      <c r="J731" s="1221"/>
      <c r="K731" s="1221"/>
      <c r="L731" s="1221"/>
      <c r="M731" s="1221"/>
      <c r="N731" s="1221"/>
      <c r="O731" s="1221"/>
      <c r="P731" s="1221"/>
      <c r="Q731" s="1221"/>
      <c r="R731" s="1221"/>
      <c r="S731" s="1221"/>
      <c r="T731" s="1221"/>
      <c r="U731" s="1221"/>
      <c r="V731" s="1221"/>
      <c r="W731" s="1221"/>
      <c r="X731" s="1221"/>
      <c r="Y731" s="1221"/>
      <c r="Z731" s="1221"/>
    </row>
    <row r="732" ht="15.75" customHeight="1">
      <c r="A732" s="1221"/>
      <c r="B732" s="1221"/>
      <c r="C732" s="1221"/>
      <c r="D732" s="1221"/>
      <c r="E732" s="1221"/>
      <c r="F732" s="1221"/>
      <c r="G732" s="1221"/>
      <c r="H732" s="1221"/>
      <c r="I732" s="1221"/>
      <c r="J732" s="1221"/>
      <c r="K732" s="1221"/>
      <c r="L732" s="1221"/>
      <c r="M732" s="1221"/>
      <c r="N732" s="1221"/>
      <c r="O732" s="1221"/>
      <c r="P732" s="1221"/>
      <c r="Q732" s="1221"/>
      <c r="R732" s="1221"/>
      <c r="S732" s="1221"/>
      <c r="T732" s="1221"/>
      <c r="U732" s="1221"/>
      <c r="V732" s="1221"/>
      <c r="W732" s="1221"/>
      <c r="X732" s="1221"/>
      <c r="Y732" s="1221"/>
      <c r="Z732" s="1221"/>
    </row>
    <row r="733" ht="15.75" customHeight="1">
      <c r="A733" s="1221"/>
      <c r="B733" s="1221"/>
      <c r="C733" s="1221"/>
      <c r="D733" s="1221"/>
      <c r="E733" s="1221"/>
      <c r="F733" s="1221"/>
      <c r="G733" s="1221"/>
      <c r="H733" s="1221"/>
      <c r="I733" s="1221"/>
      <c r="J733" s="1221"/>
      <c r="K733" s="1221"/>
      <c r="L733" s="1221"/>
      <c r="M733" s="1221"/>
      <c r="N733" s="1221"/>
      <c r="O733" s="1221"/>
      <c r="P733" s="1221"/>
      <c r="Q733" s="1221"/>
      <c r="R733" s="1221"/>
      <c r="S733" s="1221"/>
      <c r="T733" s="1221"/>
      <c r="U733" s="1221"/>
      <c r="V733" s="1221"/>
      <c r="W733" s="1221"/>
      <c r="X733" s="1221"/>
      <c r="Y733" s="1221"/>
      <c r="Z733" s="1221"/>
    </row>
    <row r="734" ht="15.75" customHeight="1">
      <c r="A734" s="1221"/>
      <c r="B734" s="1221"/>
      <c r="C734" s="1221"/>
      <c r="D734" s="1221"/>
      <c r="E734" s="1221"/>
      <c r="F734" s="1221"/>
      <c r="G734" s="1221"/>
      <c r="H734" s="1221"/>
      <c r="I734" s="1221"/>
      <c r="J734" s="1221"/>
      <c r="K734" s="1221"/>
      <c r="L734" s="1221"/>
      <c r="M734" s="1221"/>
      <c r="N734" s="1221"/>
      <c r="O734" s="1221"/>
      <c r="P734" s="1221"/>
      <c r="Q734" s="1221"/>
      <c r="R734" s="1221"/>
      <c r="S734" s="1221"/>
      <c r="T734" s="1221"/>
      <c r="U734" s="1221"/>
      <c r="V734" s="1221"/>
      <c r="W734" s="1221"/>
      <c r="X734" s="1221"/>
      <c r="Y734" s="1221"/>
      <c r="Z734" s="1221"/>
    </row>
    <row r="735" ht="15.75" customHeight="1">
      <c r="A735" s="1221"/>
      <c r="B735" s="1221"/>
      <c r="C735" s="1221"/>
      <c r="D735" s="1221"/>
      <c r="E735" s="1221"/>
      <c r="F735" s="1221"/>
      <c r="G735" s="1221"/>
      <c r="H735" s="1221"/>
      <c r="I735" s="1221"/>
      <c r="J735" s="1221"/>
      <c r="K735" s="1221"/>
      <c r="L735" s="1221"/>
      <c r="M735" s="1221"/>
      <c r="N735" s="1221"/>
      <c r="O735" s="1221"/>
      <c r="P735" s="1221"/>
      <c r="Q735" s="1221"/>
      <c r="R735" s="1221"/>
      <c r="S735" s="1221"/>
      <c r="T735" s="1221"/>
      <c r="U735" s="1221"/>
      <c r="V735" s="1221"/>
      <c r="W735" s="1221"/>
      <c r="X735" s="1221"/>
      <c r="Y735" s="1221"/>
      <c r="Z735" s="1221"/>
    </row>
    <row r="736" ht="15.75" customHeight="1">
      <c r="A736" s="1221"/>
      <c r="B736" s="1221"/>
      <c r="C736" s="1221"/>
      <c r="D736" s="1221"/>
      <c r="E736" s="1221"/>
      <c r="F736" s="1221"/>
      <c r="G736" s="1221"/>
      <c r="H736" s="1221"/>
      <c r="I736" s="1221"/>
      <c r="J736" s="1221"/>
      <c r="K736" s="1221"/>
      <c r="L736" s="1221"/>
      <c r="M736" s="1221"/>
      <c r="N736" s="1221"/>
      <c r="O736" s="1221"/>
      <c r="P736" s="1221"/>
      <c r="Q736" s="1221"/>
      <c r="R736" s="1221"/>
      <c r="S736" s="1221"/>
      <c r="T736" s="1221"/>
      <c r="U736" s="1221"/>
      <c r="V736" s="1221"/>
      <c r="W736" s="1221"/>
      <c r="X736" s="1221"/>
      <c r="Y736" s="1221"/>
      <c r="Z736" s="1221"/>
    </row>
    <row r="737" ht="15.75" customHeight="1">
      <c r="A737" s="1221"/>
      <c r="B737" s="1221"/>
      <c r="C737" s="1221"/>
      <c r="D737" s="1221"/>
      <c r="E737" s="1221"/>
      <c r="F737" s="1221"/>
      <c r="G737" s="1221"/>
      <c r="H737" s="1221"/>
      <c r="I737" s="1221"/>
      <c r="J737" s="1221"/>
      <c r="K737" s="1221"/>
      <c r="L737" s="1221"/>
      <c r="M737" s="1221"/>
      <c r="N737" s="1221"/>
      <c r="O737" s="1221"/>
      <c r="P737" s="1221"/>
      <c r="Q737" s="1221"/>
      <c r="R737" s="1221"/>
      <c r="S737" s="1221"/>
      <c r="T737" s="1221"/>
      <c r="U737" s="1221"/>
      <c r="V737" s="1221"/>
      <c r="W737" s="1221"/>
      <c r="X737" s="1221"/>
      <c r="Y737" s="1221"/>
      <c r="Z737" s="1221"/>
    </row>
    <row r="738" ht="15.75" customHeight="1">
      <c r="A738" s="1221"/>
      <c r="B738" s="1221"/>
      <c r="C738" s="1221"/>
      <c r="D738" s="1221"/>
      <c r="E738" s="1221"/>
      <c r="F738" s="1221"/>
      <c r="G738" s="1221"/>
      <c r="H738" s="1221"/>
      <c r="I738" s="1221"/>
      <c r="J738" s="1221"/>
      <c r="K738" s="1221"/>
      <c r="L738" s="1221"/>
      <c r="M738" s="1221"/>
      <c r="N738" s="1221"/>
      <c r="O738" s="1221"/>
      <c r="P738" s="1221"/>
      <c r="Q738" s="1221"/>
      <c r="R738" s="1221"/>
      <c r="S738" s="1221"/>
      <c r="T738" s="1221"/>
      <c r="U738" s="1221"/>
      <c r="V738" s="1221"/>
      <c r="W738" s="1221"/>
      <c r="X738" s="1221"/>
      <c r="Y738" s="1221"/>
      <c r="Z738" s="1221"/>
    </row>
    <row r="739" ht="15.75" customHeight="1">
      <c r="A739" s="1221"/>
      <c r="B739" s="1221"/>
      <c r="C739" s="1221"/>
      <c r="D739" s="1221"/>
      <c r="E739" s="1221"/>
      <c r="F739" s="1221"/>
      <c r="G739" s="1221"/>
      <c r="H739" s="1221"/>
      <c r="I739" s="1221"/>
      <c r="J739" s="1221"/>
      <c r="K739" s="1221"/>
      <c r="L739" s="1221"/>
      <c r="M739" s="1221"/>
      <c r="N739" s="1221"/>
      <c r="O739" s="1221"/>
      <c r="P739" s="1221"/>
      <c r="Q739" s="1221"/>
      <c r="R739" s="1221"/>
      <c r="S739" s="1221"/>
      <c r="T739" s="1221"/>
      <c r="U739" s="1221"/>
      <c r="V739" s="1221"/>
      <c r="W739" s="1221"/>
      <c r="X739" s="1221"/>
      <c r="Y739" s="1221"/>
      <c r="Z739" s="1221"/>
    </row>
    <row r="740" ht="15.75" customHeight="1">
      <c r="A740" s="1221"/>
      <c r="B740" s="1221"/>
      <c r="C740" s="1221"/>
      <c r="D740" s="1221"/>
      <c r="E740" s="1221"/>
      <c r="F740" s="1221"/>
      <c r="G740" s="1221"/>
      <c r="H740" s="1221"/>
      <c r="I740" s="1221"/>
      <c r="J740" s="1221"/>
      <c r="K740" s="1221"/>
      <c r="L740" s="1221"/>
      <c r="M740" s="1221"/>
      <c r="N740" s="1221"/>
      <c r="O740" s="1221"/>
      <c r="P740" s="1221"/>
      <c r="Q740" s="1221"/>
      <c r="R740" s="1221"/>
      <c r="S740" s="1221"/>
      <c r="T740" s="1221"/>
      <c r="U740" s="1221"/>
      <c r="V740" s="1221"/>
      <c r="W740" s="1221"/>
      <c r="X740" s="1221"/>
      <c r="Y740" s="1221"/>
      <c r="Z740" s="1221"/>
    </row>
    <row r="741" ht="15.75" customHeight="1">
      <c r="A741" s="1221"/>
      <c r="B741" s="1221"/>
      <c r="C741" s="1221"/>
      <c r="D741" s="1221"/>
      <c r="E741" s="1221"/>
      <c r="F741" s="1221"/>
      <c r="G741" s="1221"/>
      <c r="H741" s="1221"/>
      <c r="I741" s="1221"/>
      <c r="J741" s="1221"/>
      <c r="K741" s="1221"/>
      <c r="L741" s="1221"/>
      <c r="M741" s="1221"/>
      <c r="N741" s="1221"/>
      <c r="O741" s="1221"/>
      <c r="P741" s="1221"/>
      <c r="Q741" s="1221"/>
      <c r="R741" s="1221"/>
      <c r="S741" s="1221"/>
      <c r="T741" s="1221"/>
      <c r="U741" s="1221"/>
      <c r="V741" s="1221"/>
      <c r="W741" s="1221"/>
      <c r="X741" s="1221"/>
      <c r="Y741" s="1221"/>
      <c r="Z741" s="1221"/>
    </row>
    <row r="742" ht="15.75" customHeight="1">
      <c r="A742" s="1221"/>
      <c r="B742" s="1221"/>
      <c r="C742" s="1221"/>
      <c r="D742" s="1221"/>
      <c r="E742" s="1221"/>
      <c r="F742" s="1221"/>
      <c r="G742" s="1221"/>
      <c r="H742" s="1221"/>
      <c r="I742" s="1221"/>
      <c r="J742" s="1221"/>
      <c r="K742" s="1221"/>
      <c r="L742" s="1221"/>
      <c r="M742" s="1221"/>
      <c r="N742" s="1221"/>
      <c r="O742" s="1221"/>
      <c r="P742" s="1221"/>
      <c r="Q742" s="1221"/>
      <c r="R742" s="1221"/>
      <c r="S742" s="1221"/>
      <c r="T742" s="1221"/>
      <c r="U742" s="1221"/>
      <c r="V742" s="1221"/>
      <c r="W742" s="1221"/>
      <c r="X742" s="1221"/>
      <c r="Y742" s="1221"/>
      <c r="Z742" s="1221"/>
    </row>
    <row r="743" ht="15.75" customHeight="1">
      <c r="A743" s="1221"/>
      <c r="B743" s="1221"/>
      <c r="C743" s="1221"/>
      <c r="D743" s="1221"/>
      <c r="E743" s="1221"/>
      <c r="F743" s="1221"/>
      <c r="G743" s="1221"/>
      <c r="H743" s="1221"/>
      <c r="I743" s="1221"/>
      <c r="J743" s="1221"/>
      <c r="K743" s="1221"/>
      <c r="L743" s="1221"/>
      <c r="M743" s="1221"/>
      <c r="N743" s="1221"/>
      <c r="O743" s="1221"/>
      <c r="P743" s="1221"/>
      <c r="Q743" s="1221"/>
      <c r="R743" s="1221"/>
      <c r="S743" s="1221"/>
      <c r="T743" s="1221"/>
      <c r="U743" s="1221"/>
      <c r="V743" s="1221"/>
      <c r="W743" s="1221"/>
      <c r="X743" s="1221"/>
      <c r="Y743" s="1221"/>
      <c r="Z743" s="1221"/>
    </row>
    <row r="744" ht="15.75" customHeight="1">
      <c r="A744" s="1221"/>
      <c r="B744" s="1221"/>
      <c r="C744" s="1221"/>
      <c r="D744" s="1221"/>
      <c r="E744" s="1221"/>
      <c r="F744" s="1221"/>
      <c r="G744" s="1221"/>
      <c r="H744" s="1221"/>
      <c r="I744" s="1221"/>
      <c r="J744" s="1221"/>
      <c r="K744" s="1221"/>
      <c r="L744" s="1221"/>
      <c r="M744" s="1221"/>
      <c r="N744" s="1221"/>
      <c r="O744" s="1221"/>
      <c r="P744" s="1221"/>
      <c r="Q744" s="1221"/>
      <c r="R744" s="1221"/>
      <c r="S744" s="1221"/>
      <c r="T744" s="1221"/>
      <c r="U744" s="1221"/>
      <c r="V744" s="1221"/>
      <c r="W744" s="1221"/>
      <c r="X744" s="1221"/>
      <c r="Y744" s="1221"/>
      <c r="Z744" s="1221"/>
    </row>
    <row r="745" ht="15.75" customHeight="1">
      <c r="A745" s="1221"/>
      <c r="B745" s="1221"/>
      <c r="C745" s="1221"/>
      <c r="D745" s="1221"/>
      <c r="E745" s="1221"/>
      <c r="F745" s="1221"/>
      <c r="G745" s="1221"/>
      <c r="H745" s="1221"/>
      <c r="I745" s="1221"/>
      <c r="J745" s="1221"/>
      <c r="K745" s="1221"/>
      <c r="L745" s="1221"/>
      <c r="M745" s="1221"/>
      <c r="N745" s="1221"/>
      <c r="O745" s="1221"/>
      <c r="P745" s="1221"/>
      <c r="Q745" s="1221"/>
      <c r="R745" s="1221"/>
      <c r="S745" s="1221"/>
      <c r="T745" s="1221"/>
      <c r="U745" s="1221"/>
      <c r="V745" s="1221"/>
      <c r="W745" s="1221"/>
      <c r="X745" s="1221"/>
      <c r="Y745" s="1221"/>
      <c r="Z745" s="1221"/>
    </row>
    <row r="746" ht="15.75" customHeight="1">
      <c r="A746" s="1221"/>
      <c r="B746" s="1221"/>
      <c r="C746" s="1221"/>
      <c r="D746" s="1221"/>
      <c r="E746" s="1221"/>
      <c r="F746" s="1221"/>
      <c r="G746" s="1221"/>
      <c r="H746" s="1221"/>
      <c r="I746" s="1221"/>
      <c r="J746" s="1221"/>
      <c r="K746" s="1221"/>
      <c r="L746" s="1221"/>
      <c r="M746" s="1221"/>
      <c r="N746" s="1221"/>
      <c r="O746" s="1221"/>
      <c r="P746" s="1221"/>
      <c r="Q746" s="1221"/>
      <c r="R746" s="1221"/>
      <c r="S746" s="1221"/>
      <c r="T746" s="1221"/>
      <c r="U746" s="1221"/>
      <c r="V746" s="1221"/>
      <c r="W746" s="1221"/>
      <c r="X746" s="1221"/>
      <c r="Y746" s="1221"/>
      <c r="Z746" s="1221"/>
    </row>
    <row r="747" ht="15.75" customHeight="1">
      <c r="A747" s="1221"/>
      <c r="B747" s="1221"/>
      <c r="C747" s="1221"/>
      <c r="D747" s="1221"/>
      <c r="E747" s="1221"/>
      <c r="F747" s="1221"/>
      <c r="G747" s="1221"/>
      <c r="H747" s="1221"/>
      <c r="I747" s="1221"/>
      <c r="J747" s="1221"/>
      <c r="K747" s="1221"/>
      <c r="L747" s="1221"/>
      <c r="M747" s="1221"/>
      <c r="N747" s="1221"/>
      <c r="O747" s="1221"/>
      <c r="P747" s="1221"/>
      <c r="Q747" s="1221"/>
      <c r="R747" s="1221"/>
      <c r="S747" s="1221"/>
      <c r="T747" s="1221"/>
      <c r="U747" s="1221"/>
      <c r="V747" s="1221"/>
      <c r="W747" s="1221"/>
      <c r="X747" s="1221"/>
      <c r="Y747" s="1221"/>
      <c r="Z747" s="1221"/>
    </row>
    <row r="748" ht="15.75" customHeight="1">
      <c r="A748" s="1221"/>
      <c r="B748" s="1221"/>
      <c r="C748" s="1221"/>
      <c r="D748" s="1221"/>
      <c r="E748" s="1221"/>
      <c r="F748" s="1221"/>
      <c r="G748" s="1221"/>
      <c r="H748" s="1221"/>
      <c r="I748" s="1221"/>
      <c r="J748" s="1221"/>
      <c r="K748" s="1221"/>
      <c r="L748" s="1221"/>
      <c r="M748" s="1221"/>
      <c r="N748" s="1221"/>
      <c r="O748" s="1221"/>
      <c r="P748" s="1221"/>
      <c r="Q748" s="1221"/>
      <c r="R748" s="1221"/>
      <c r="S748" s="1221"/>
      <c r="T748" s="1221"/>
      <c r="U748" s="1221"/>
      <c r="V748" s="1221"/>
      <c r="W748" s="1221"/>
      <c r="X748" s="1221"/>
      <c r="Y748" s="1221"/>
      <c r="Z748" s="1221"/>
    </row>
    <row r="749" ht="15.75" customHeight="1">
      <c r="A749" s="1221"/>
      <c r="B749" s="1221"/>
      <c r="C749" s="1221"/>
      <c r="D749" s="1221"/>
      <c r="E749" s="1221"/>
      <c r="F749" s="1221"/>
      <c r="G749" s="1221"/>
      <c r="H749" s="1221"/>
      <c r="I749" s="1221"/>
      <c r="J749" s="1221"/>
      <c r="K749" s="1221"/>
      <c r="L749" s="1221"/>
      <c r="M749" s="1221"/>
      <c r="N749" s="1221"/>
      <c r="O749" s="1221"/>
      <c r="P749" s="1221"/>
      <c r="Q749" s="1221"/>
      <c r="R749" s="1221"/>
      <c r="S749" s="1221"/>
      <c r="T749" s="1221"/>
      <c r="U749" s="1221"/>
      <c r="V749" s="1221"/>
      <c r="W749" s="1221"/>
      <c r="X749" s="1221"/>
      <c r="Y749" s="1221"/>
      <c r="Z749" s="1221"/>
    </row>
    <row r="750" ht="15.75" customHeight="1">
      <c r="A750" s="1221"/>
      <c r="B750" s="1221"/>
      <c r="C750" s="1221"/>
      <c r="D750" s="1221"/>
      <c r="E750" s="1221"/>
      <c r="F750" s="1221"/>
      <c r="G750" s="1221"/>
      <c r="H750" s="1221"/>
      <c r="I750" s="1221"/>
      <c r="J750" s="1221"/>
      <c r="K750" s="1221"/>
      <c r="L750" s="1221"/>
      <c r="M750" s="1221"/>
      <c r="N750" s="1221"/>
      <c r="O750" s="1221"/>
      <c r="P750" s="1221"/>
      <c r="Q750" s="1221"/>
      <c r="R750" s="1221"/>
      <c r="S750" s="1221"/>
      <c r="T750" s="1221"/>
      <c r="U750" s="1221"/>
      <c r="V750" s="1221"/>
      <c r="W750" s="1221"/>
      <c r="X750" s="1221"/>
      <c r="Y750" s="1221"/>
      <c r="Z750" s="1221"/>
    </row>
    <row r="751" ht="15.75" customHeight="1">
      <c r="A751" s="1221"/>
      <c r="B751" s="1221"/>
      <c r="C751" s="1221"/>
      <c r="D751" s="1221"/>
      <c r="E751" s="1221"/>
      <c r="F751" s="1221"/>
      <c r="G751" s="1221"/>
      <c r="H751" s="1221"/>
      <c r="I751" s="1221"/>
      <c r="J751" s="1221"/>
      <c r="K751" s="1221"/>
      <c r="L751" s="1221"/>
      <c r="M751" s="1221"/>
      <c r="N751" s="1221"/>
      <c r="O751" s="1221"/>
      <c r="P751" s="1221"/>
      <c r="Q751" s="1221"/>
      <c r="R751" s="1221"/>
      <c r="S751" s="1221"/>
      <c r="T751" s="1221"/>
      <c r="U751" s="1221"/>
      <c r="V751" s="1221"/>
      <c r="W751" s="1221"/>
      <c r="X751" s="1221"/>
      <c r="Y751" s="1221"/>
      <c r="Z751" s="1221"/>
    </row>
    <row r="752" ht="15.75" customHeight="1">
      <c r="A752" s="1221"/>
      <c r="B752" s="1221"/>
      <c r="C752" s="1221"/>
      <c r="D752" s="1221"/>
      <c r="E752" s="1221"/>
      <c r="F752" s="1221"/>
      <c r="G752" s="1221"/>
      <c r="H752" s="1221"/>
      <c r="I752" s="1221"/>
      <c r="J752" s="1221"/>
      <c r="K752" s="1221"/>
      <c r="L752" s="1221"/>
      <c r="M752" s="1221"/>
      <c r="N752" s="1221"/>
      <c r="O752" s="1221"/>
      <c r="P752" s="1221"/>
      <c r="Q752" s="1221"/>
      <c r="R752" s="1221"/>
      <c r="S752" s="1221"/>
      <c r="T752" s="1221"/>
      <c r="U752" s="1221"/>
      <c r="V752" s="1221"/>
      <c r="W752" s="1221"/>
      <c r="X752" s="1221"/>
      <c r="Y752" s="1221"/>
      <c r="Z752" s="1221"/>
    </row>
    <row r="753" ht="15.75" customHeight="1">
      <c r="A753" s="1221"/>
      <c r="B753" s="1221"/>
      <c r="C753" s="1221"/>
      <c r="D753" s="1221"/>
      <c r="E753" s="1221"/>
      <c r="F753" s="1221"/>
      <c r="G753" s="1221"/>
      <c r="H753" s="1221"/>
      <c r="I753" s="1221"/>
      <c r="J753" s="1221"/>
      <c r="K753" s="1221"/>
      <c r="L753" s="1221"/>
      <c r="M753" s="1221"/>
      <c r="N753" s="1221"/>
      <c r="O753" s="1221"/>
      <c r="P753" s="1221"/>
      <c r="Q753" s="1221"/>
      <c r="R753" s="1221"/>
      <c r="S753" s="1221"/>
      <c r="T753" s="1221"/>
      <c r="U753" s="1221"/>
      <c r="V753" s="1221"/>
      <c r="W753" s="1221"/>
      <c r="X753" s="1221"/>
      <c r="Y753" s="1221"/>
      <c r="Z753" s="1221"/>
    </row>
    <row r="754" ht="15.75" customHeight="1">
      <c r="A754" s="1221"/>
      <c r="B754" s="1221"/>
      <c r="C754" s="1221"/>
      <c r="D754" s="1221"/>
      <c r="E754" s="1221"/>
      <c r="F754" s="1221"/>
      <c r="G754" s="1221"/>
      <c r="H754" s="1221"/>
      <c r="I754" s="1221"/>
      <c r="J754" s="1221"/>
      <c r="K754" s="1221"/>
      <c r="L754" s="1221"/>
      <c r="M754" s="1221"/>
      <c r="N754" s="1221"/>
      <c r="O754" s="1221"/>
      <c r="P754" s="1221"/>
      <c r="Q754" s="1221"/>
      <c r="R754" s="1221"/>
      <c r="S754" s="1221"/>
      <c r="T754" s="1221"/>
      <c r="U754" s="1221"/>
      <c r="V754" s="1221"/>
      <c r="W754" s="1221"/>
      <c r="X754" s="1221"/>
      <c r="Y754" s="1221"/>
      <c r="Z754" s="1221"/>
    </row>
    <row r="755" ht="15.75" customHeight="1">
      <c r="A755" s="1221"/>
      <c r="B755" s="1221"/>
      <c r="C755" s="1221"/>
      <c r="D755" s="1221"/>
      <c r="E755" s="1221"/>
      <c r="F755" s="1221"/>
      <c r="G755" s="1221"/>
      <c r="H755" s="1221"/>
      <c r="I755" s="1221"/>
      <c r="J755" s="1221"/>
      <c r="K755" s="1221"/>
      <c r="L755" s="1221"/>
      <c r="M755" s="1221"/>
      <c r="N755" s="1221"/>
      <c r="O755" s="1221"/>
      <c r="P755" s="1221"/>
      <c r="Q755" s="1221"/>
      <c r="R755" s="1221"/>
      <c r="S755" s="1221"/>
      <c r="T755" s="1221"/>
      <c r="U755" s="1221"/>
      <c r="V755" s="1221"/>
      <c r="W755" s="1221"/>
      <c r="X755" s="1221"/>
      <c r="Y755" s="1221"/>
      <c r="Z755" s="1221"/>
    </row>
    <row r="756" ht="15.75" customHeight="1">
      <c r="A756" s="1221"/>
      <c r="B756" s="1221"/>
      <c r="C756" s="1221"/>
      <c r="D756" s="1221"/>
      <c r="E756" s="1221"/>
      <c r="F756" s="1221"/>
      <c r="G756" s="1221"/>
      <c r="H756" s="1221"/>
      <c r="I756" s="1221"/>
      <c r="J756" s="1221"/>
      <c r="K756" s="1221"/>
      <c r="L756" s="1221"/>
      <c r="M756" s="1221"/>
      <c r="N756" s="1221"/>
      <c r="O756" s="1221"/>
      <c r="P756" s="1221"/>
      <c r="Q756" s="1221"/>
      <c r="R756" s="1221"/>
      <c r="S756" s="1221"/>
      <c r="T756" s="1221"/>
      <c r="U756" s="1221"/>
      <c r="V756" s="1221"/>
      <c r="W756" s="1221"/>
      <c r="X756" s="1221"/>
      <c r="Y756" s="1221"/>
      <c r="Z756" s="1221"/>
    </row>
    <row r="757" ht="15.75" customHeight="1">
      <c r="A757" s="1221"/>
      <c r="B757" s="1221"/>
      <c r="C757" s="1221"/>
      <c r="D757" s="1221"/>
      <c r="E757" s="1221"/>
      <c r="F757" s="1221"/>
      <c r="G757" s="1221"/>
      <c r="H757" s="1221"/>
      <c r="I757" s="1221"/>
      <c r="J757" s="1221"/>
      <c r="K757" s="1221"/>
      <c r="L757" s="1221"/>
      <c r="M757" s="1221"/>
      <c r="N757" s="1221"/>
      <c r="O757" s="1221"/>
      <c r="P757" s="1221"/>
      <c r="Q757" s="1221"/>
      <c r="R757" s="1221"/>
      <c r="S757" s="1221"/>
      <c r="T757" s="1221"/>
      <c r="U757" s="1221"/>
      <c r="V757" s="1221"/>
      <c r="W757" s="1221"/>
      <c r="X757" s="1221"/>
      <c r="Y757" s="1221"/>
      <c r="Z757" s="1221"/>
    </row>
    <row r="758" ht="15.75" customHeight="1">
      <c r="A758" s="1221"/>
      <c r="B758" s="1221"/>
      <c r="C758" s="1221"/>
      <c r="D758" s="1221"/>
      <c r="E758" s="1221"/>
      <c r="F758" s="1221"/>
      <c r="G758" s="1221"/>
      <c r="H758" s="1221"/>
      <c r="I758" s="1221"/>
      <c r="J758" s="1221"/>
      <c r="K758" s="1221"/>
      <c r="L758" s="1221"/>
      <c r="M758" s="1221"/>
      <c r="N758" s="1221"/>
      <c r="O758" s="1221"/>
      <c r="P758" s="1221"/>
      <c r="Q758" s="1221"/>
      <c r="R758" s="1221"/>
      <c r="S758" s="1221"/>
      <c r="T758" s="1221"/>
      <c r="U758" s="1221"/>
      <c r="V758" s="1221"/>
      <c r="W758" s="1221"/>
      <c r="X758" s="1221"/>
      <c r="Y758" s="1221"/>
      <c r="Z758" s="1221"/>
    </row>
    <row r="759" ht="15.75" customHeight="1">
      <c r="A759" s="1221"/>
      <c r="B759" s="1221"/>
      <c r="C759" s="1221"/>
      <c r="D759" s="1221"/>
      <c r="E759" s="1221"/>
      <c r="F759" s="1221"/>
      <c r="G759" s="1221"/>
      <c r="H759" s="1221"/>
      <c r="I759" s="1221"/>
      <c r="J759" s="1221"/>
      <c r="K759" s="1221"/>
      <c r="L759" s="1221"/>
      <c r="M759" s="1221"/>
      <c r="N759" s="1221"/>
      <c r="O759" s="1221"/>
      <c r="P759" s="1221"/>
      <c r="Q759" s="1221"/>
      <c r="R759" s="1221"/>
      <c r="S759" s="1221"/>
      <c r="T759" s="1221"/>
      <c r="U759" s="1221"/>
      <c r="V759" s="1221"/>
      <c r="W759" s="1221"/>
      <c r="X759" s="1221"/>
      <c r="Y759" s="1221"/>
      <c r="Z759" s="1221"/>
    </row>
    <row r="760" ht="15.75" customHeight="1">
      <c r="A760" s="1221"/>
      <c r="B760" s="1221"/>
      <c r="C760" s="1221"/>
      <c r="D760" s="1221"/>
      <c r="E760" s="1221"/>
      <c r="F760" s="1221"/>
      <c r="G760" s="1221"/>
      <c r="H760" s="1221"/>
      <c r="I760" s="1221"/>
      <c r="J760" s="1221"/>
      <c r="K760" s="1221"/>
      <c r="L760" s="1221"/>
      <c r="M760" s="1221"/>
      <c r="N760" s="1221"/>
      <c r="O760" s="1221"/>
      <c r="P760" s="1221"/>
      <c r="Q760" s="1221"/>
      <c r="R760" s="1221"/>
      <c r="S760" s="1221"/>
      <c r="T760" s="1221"/>
      <c r="U760" s="1221"/>
      <c r="V760" s="1221"/>
      <c r="W760" s="1221"/>
      <c r="X760" s="1221"/>
      <c r="Y760" s="1221"/>
      <c r="Z760" s="1221"/>
    </row>
    <row r="761" ht="15.75" customHeight="1">
      <c r="A761" s="1221"/>
      <c r="B761" s="1221"/>
      <c r="C761" s="1221"/>
      <c r="D761" s="1221"/>
      <c r="E761" s="1221"/>
      <c r="F761" s="1221"/>
      <c r="G761" s="1221"/>
      <c r="H761" s="1221"/>
      <c r="I761" s="1221"/>
      <c r="J761" s="1221"/>
      <c r="K761" s="1221"/>
      <c r="L761" s="1221"/>
      <c r="M761" s="1221"/>
      <c r="N761" s="1221"/>
      <c r="O761" s="1221"/>
      <c r="P761" s="1221"/>
      <c r="Q761" s="1221"/>
      <c r="R761" s="1221"/>
      <c r="S761" s="1221"/>
      <c r="T761" s="1221"/>
      <c r="U761" s="1221"/>
      <c r="V761" s="1221"/>
      <c r="W761" s="1221"/>
      <c r="X761" s="1221"/>
      <c r="Y761" s="1221"/>
      <c r="Z761" s="1221"/>
    </row>
    <row r="762" ht="15.75" customHeight="1">
      <c r="A762" s="1221"/>
      <c r="B762" s="1221"/>
      <c r="C762" s="1221"/>
      <c r="D762" s="1221"/>
      <c r="E762" s="1221"/>
      <c r="F762" s="1221"/>
      <c r="G762" s="1221"/>
      <c r="H762" s="1221"/>
      <c r="I762" s="1221"/>
      <c r="J762" s="1221"/>
      <c r="K762" s="1221"/>
      <c r="L762" s="1221"/>
      <c r="M762" s="1221"/>
      <c r="N762" s="1221"/>
      <c r="O762" s="1221"/>
      <c r="P762" s="1221"/>
      <c r="Q762" s="1221"/>
      <c r="R762" s="1221"/>
      <c r="S762" s="1221"/>
      <c r="T762" s="1221"/>
      <c r="U762" s="1221"/>
      <c r="V762" s="1221"/>
      <c r="W762" s="1221"/>
      <c r="X762" s="1221"/>
      <c r="Y762" s="1221"/>
      <c r="Z762" s="1221"/>
    </row>
    <row r="763" ht="15.75" customHeight="1">
      <c r="A763" s="1221"/>
      <c r="B763" s="1221"/>
      <c r="C763" s="1221"/>
      <c r="D763" s="1221"/>
      <c r="E763" s="1221"/>
      <c r="F763" s="1221"/>
      <c r="G763" s="1221"/>
      <c r="H763" s="1221"/>
      <c r="I763" s="1221"/>
      <c r="J763" s="1221"/>
      <c r="K763" s="1221"/>
      <c r="L763" s="1221"/>
      <c r="M763" s="1221"/>
      <c r="N763" s="1221"/>
      <c r="O763" s="1221"/>
      <c r="P763" s="1221"/>
      <c r="Q763" s="1221"/>
      <c r="R763" s="1221"/>
      <c r="S763" s="1221"/>
      <c r="T763" s="1221"/>
      <c r="U763" s="1221"/>
      <c r="V763" s="1221"/>
      <c r="W763" s="1221"/>
      <c r="X763" s="1221"/>
      <c r="Y763" s="1221"/>
      <c r="Z763" s="1221"/>
    </row>
    <row r="764" ht="15.75" customHeight="1">
      <c r="A764" s="1221"/>
      <c r="B764" s="1221"/>
      <c r="C764" s="1221"/>
      <c r="D764" s="1221"/>
      <c r="E764" s="1221"/>
      <c r="F764" s="1221"/>
      <c r="G764" s="1221"/>
      <c r="H764" s="1221"/>
      <c r="I764" s="1221"/>
      <c r="J764" s="1221"/>
      <c r="K764" s="1221"/>
      <c r="L764" s="1221"/>
      <c r="M764" s="1221"/>
      <c r="N764" s="1221"/>
      <c r="O764" s="1221"/>
      <c r="P764" s="1221"/>
      <c r="Q764" s="1221"/>
      <c r="R764" s="1221"/>
      <c r="S764" s="1221"/>
      <c r="T764" s="1221"/>
      <c r="U764" s="1221"/>
      <c r="V764" s="1221"/>
      <c r="W764" s="1221"/>
      <c r="X764" s="1221"/>
      <c r="Y764" s="1221"/>
      <c r="Z764" s="1221"/>
    </row>
    <row r="765" ht="15.75" customHeight="1">
      <c r="A765" s="1221"/>
      <c r="B765" s="1221"/>
      <c r="C765" s="1221"/>
      <c r="D765" s="1221"/>
      <c r="E765" s="1221"/>
      <c r="F765" s="1221"/>
      <c r="G765" s="1221"/>
      <c r="H765" s="1221"/>
      <c r="I765" s="1221"/>
      <c r="J765" s="1221"/>
      <c r="K765" s="1221"/>
      <c r="L765" s="1221"/>
      <c r="M765" s="1221"/>
      <c r="N765" s="1221"/>
      <c r="O765" s="1221"/>
      <c r="P765" s="1221"/>
      <c r="Q765" s="1221"/>
      <c r="R765" s="1221"/>
      <c r="S765" s="1221"/>
      <c r="T765" s="1221"/>
      <c r="U765" s="1221"/>
      <c r="V765" s="1221"/>
      <c r="W765" s="1221"/>
      <c r="X765" s="1221"/>
      <c r="Y765" s="1221"/>
      <c r="Z765" s="1221"/>
    </row>
    <row r="766" ht="15.75" customHeight="1">
      <c r="A766" s="1221"/>
      <c r="B766" s="1221"/>
      <c r="C766" s="1221"/>
      <c r="D766" s="1221"/>
      <c r="E766" s="1221"/>
      <c r="F766" s="1221"/>
      <c r="G766" s="1221"/>
      <c r="H766" s="1221"/>
      <c r="I766" s="1221"/>
      <c r="J766" s="1221"/>
      <c r="K766" s="1221"/>
      <c r="L766" s="1221"/>
      <c r="M766" s="1221"/>
      <c r="N766" s="1221"/>
      <c r="O766" s="1221"/>
      <c r="P766" s="1221"/>
      <c r="Q766" s="1221"/>
      <c r="R766" s="1221"/>
      <c r="S766" s="1221"/>
      <c r="T766" s="1221"/>
      <c r="U766" s="1221"/>
      <c r="V766" s="1221"/>
      <c r="W766" s="1221"/>
      <c r="X766" s="1221"/>
      <c r="Y766" s="1221"/>
      <c r="Z766" s="1221"/>
    </row>
    <row r="767" ht="15.75" customHeight="1">
      <c r="A767" s="1221"/>
      <c r="B767" s="1221"/>
      <c r="C767" s="1221"/>
      <c r="D767" s="1221"/>
      <c r="E767" s="1221"/>
      <c r="F767" s="1221"/>
      <c r="G767" s="1221"/>
      <c r="H767" s="1221"/>
      <c r="I767" s="1221"/>
      <c r="J767" s="1221"/>
      <c r="K767" s="1221"/>
      <c r="L767" s="1221"/>
      <c r="M767" s="1221"/>
      <c r="N767" s="1221"/>
      <c r="O767" s="1221"/>
      <c r="P767" s="1221"/>
      <c r="Q767" s="1221"/>
      <c r="R767" s="1221"/>
      <c r="S767" s="1221"/>
      <c r="T767" s="1221"/>
      <c r="U767" s="1221"/>
      <c r="V767" s="1221"/>
      <c r="W767" s="1221"/>
      <c r="X767" s="1221"/>
      <c r="Y767" s="1221"/>
      <c r="Z767" s="1221"/>
    </row>
    <row r="768" ht="15.75" customHeight="1">
      <c r="A768" s="1221"/>
      <c r="B768" s="1221"/>
      <c r="C768" s="1221"/>
      <c r="D768" s="1221"/>
      <c r="E768" s="1221"/>
      <c r="F768" s="1221"/>
      <c r="G768" s="1221"/>
      <c r="H768" s="1221"/>
      <c r="I768" s="1221"/>
      <c r="J768" s="1221"/>
      <c r="K768" s="1221"/>
      <c r="L768" s="1221"/>
      <c r="M768" s="1221"/>
      <c r="N768" s="1221"/>
      <c r="O768" s="1221"/>
      <c r="P768" s="1221"/>
      <c r="Q768" s="1221"/>
      <c r="R768" s="1221"/>
      <c r="S768" s="1221"/>
      <c r="T768" s="1221"/>
      <c r="U768" s="1221"/>
      <c r="V768" s="1221"/>
      <c r="W768" s="1221"/>
      <c r="X768" s="1221"/>
      <c r="Y768" s="1221"/>
      <c r="Z768" s="1221"/>
    </row>
    <row r="769" ht="15.75" customHeight="1">
      <c r="A769" s="1221"/>
      <c r="B769" s="1221"/>
      <c r="C769" s="1221"/>
      <c r="D769" s="1221"/>
      <c r="E769" s="1221"/>
      <c r="F769" s="1221"/>
      <c r="G769" s="1221"/>
      <c r="H769" s="1221"/>
      <c r="I769" s="1221"/>
      <c r="J769" s="1221"/>
      <c r="K769" s="1221"/>
      <c r="L769" s="1221"/>
      <c r="M769" s="1221"/>
      <c r="N769" s="1221"/>
      <c r="O769" s="1221"/>
      <c r="P769" s="1221"/>
      <c r="Q769" s="1221"/>
      <c r="R769" s="1221"/>
      <c r="S769" s="1221"/>
      <c r="T769" s="1221"/>
      <c r="U769" s="1221"/>
      <c r="V769" s="1221"/>
      <c r="W769" s="1221"/>
      <c r="X769" s="1221"/>
      <c r="Y769" s="1221"/>
      <c r="Z769" s="1221"/>
    </row>
    <row r="770" ht="15.75" customHeight="1">
      <c r="A770" s="1221"/>
      <c r="B770" s="1221"/>
      <c r="C770" s="1221"/>
      <c r="D770" s="1221"/>
      <c r="E770" s="1221"/>
      <c r="F770" s="1221"/>
      <c r="G770" s="1221"/>
      <c r="H770" s="1221"/>
      <c r="I770" s="1221"/>
      <c r="J770" s="1221"/>
      <c r="K770" s="1221"/>
      <c r="L770" s="1221"/>
      <c r="M770" s="1221"/>
      <c r="N770" s="1221"/>
      <c r="O770" s="1221"/>
      <c r="P770" s="1221"/>
      <c r="Q770" s="1221"/>
      <c r="R770" s="1221"/>
      <c r="S770" s="1221"/>
      <c r="T770" s="1221"/>
      <c r="U770" s="1221"/>
      <c r="V770" s="1221"/>
      <c r="W770" s="1221"/>
      <c r="X770" s="1221"/>
      <c r="Y770" s="1221"/>
      <c r="Z770" s="1221"/>
    </row>
    <row r="771" ht="15.75" customHeight="1">
      <c r="A771" s="1221"/>
      <c r="B771" s="1221"/>
      <c r="C771" s="1221"/>
      <c r="D771" s="1221"/>
      <c r="E771" s="1221"/>
      <c r="F771" s="1221"/>
      <c r="G771" s="1221"/>
      <c r="H771" s="1221"/>
      <c r="I771" s="1221"/>
      <c r="J771" s="1221"/>
      <c r="K771" s="1221"/>
      <c r="L771" s="1221"/>
      <c r="M771" s="1221"/>
      <c r="N771" s="1221"/>
      <c r="O771" s="1221"/>
      <c r="P771" s="1221"/>
      <c r="Q771" s="1221"/>
      <c r="R771" s="1221"/>
      <c r="S771" s="1221"/>
      <c r="T771" s="1221"/>
      <c r="U771" s="1221"/>
      <c r="V771" s="1221"/>
      <c r="W771" s="1221"/>
      <c r="X771" s="1221"/>
      <c r="Y771" s="1221"/>
      <c r="Z771" s="1221"/>
    </row>
    <row r="772" ht="15.75" customHeight="1">
      <c r="A772" s="1221"/>
      <c r="B772" s="1221"/>
      <c r="C772" s="1221"/>
      <c r="D772" s="1221"/>
      <c r="E772" s="1221"/>
      <c r="F772" s="1221"/>
      <c r="G772" s="1221"/>
      <c r="H772" s="1221"/>
      <c r="I772" s="1221"/>
      <c r="J772" s="1221"/>
      <c r="K772" s="1221"/>
      <c r="L772" s="1221"/>
      <c r="M772" s="1221"/>
      <c r="N772" s="1221"/>
      <c r="O772" s="1221"/>
      <c r="P772" s="1221"/>
      <c r="Q772" s="1221"/>
      <c r="R772" s="1221"/>
      <c r="S772" s="1221"/>
      <c r="T772" s="1221"/>
      <c r="U772" s="1221"/>
      <c r="V772" s="1221"/>
      <c r="W772" s="1221"/>
      <c r="X772" s="1221"/>
      <c r="Y772" s="1221"/>
      <c r="Z772" s="1221"/>
    </row>
    <row r="773" ht="15.75" customHeight="1">
      <c r="A773" s="1221"/>
      <c r="B773" s="1221"/>
      <c r="C773" s="1221"/>
      <c r="D773" s="1221"/>
      <c r="E773" s="1221"/>
      <c r="F773" s="1221"/>
      <c r="G773" s="1221"/>
      <c r="H773" s="1221"/>
      <c r="I773" s="1221"/>
      <c r="J773" s="1221"/>
      <c r="K773" s="1221"/>
      <c r="L773" s="1221"/>
      <c r="M773" s="1221"/>
      <c r="N773" s="1221"/>
      <c r="O773" s="1221"/>
      <c r="P773" s="1221"/>
      <c r="Q773" s="1221"/>
      <c r="R773" s="1221"/>
      <c r="S773" s="1221"/>
      <c r="T773" s="1221"/>
      <c r="U773" s="1221"/>
      <c r="V773" s="1221"/>
      <c r="W773" s="1221"/>
      <c r="X773" s="1221"/>
      <c r="Y773" s="1221"/>
      <c r="Z773" s="1221"/>
    </row>
    <row r="774" ht="15.75" customHeight="1">
      <c r="A774" s="1221"/>
      <c r="B774" s="1221"/>
      <c r="C774" s="1221"/>
      <c r="D774" s="1221"/>
      <c r="E774" s="1221"/>
      <c r="F774" s="1221"/>
      <c r="G774" s="1221"/>
      <c r="H774" s="1221"/>
      <c r="I774" s="1221"/>
      <c r="J774" s="1221"/>
      <c r="K774" s="1221"/>
      <c r="L774" s="1221"/>
      <c r="M774" s="1221"/>
      <c r="N774" s="1221"/>
      <c r="O774" s="1221"/>
      <c r="P774" s="1221"/>
      <c r="Q774" s="1221"/>
      <c r="R774" s="1221"/>
      <c r="S774" s="1221"/>
      <c r="T774" s="1221"/>
      <c r="U774" s="1221"/>
      <c r="V774" s="1221"/>
      <c r="W774" s="1221"/>
      <c r="X774" s="1221"/>
      <c r="Y774" s="1221"/>
      <c r="Z774" s="1221"/>
    </row>
    <row r="775" ht="15.75" customHeight="1">
      <c r="A775" s="1221"/>
      <c r="B775" s="1221"/>
      <c r="C775" s="1221"/>
      <c r="D775" s="1221"/>
      <c r="E775" s="1221"/>
      <c r="F775" s="1221"/>
      <c r="G775" s="1221"/>
      <c r="H775" s="1221"/>
      <c r="I775" s="1221"/>
      <c r="J775" s="1221"/>
      <c r="K775" s="1221"/>
      <c r="L775" s="1221"/>
      <c r="M775" s="1221"/>
      <c r="N775" s="1221"/>
      <c r="O775" s="1221"/>
      <c r="P775" s="1221"/>
      <c r="Q775" s="1221"/>
      <c r="R775" s="1221"/>
      <c r="S775" s="1221"/>
      <c r="T775" s="1221"/>
      <c r="U775" s="1221"/>
      <c r="V775" s="1221"/>
      <c r="W775" s="1221"/>
      <c r="X775" s="1221"/>
      <c r="Y775" s="1221"/>
      <c r="Z775" s="1221"/>
    </row>
    <row r="776" ht="15.75" customHeight="1">
      <c r="A776" s="1221"/>
      <c r="B776" s="1221"/>
      <c r="C776" s="1221"/>
      <c r="D776" s="1221"/>
      <c r="E776" s="1221"/>
      <c r="F776" s="1221"/>
      <c r="G776" s="1221"/>
      <c r="H776" s="1221"/>
      <c r="I776" s="1221"/>
      <c r="J776" s="1221"/>
      <c r="K776" s="1221"/>
      <c r="L776" s="1221"/>
      <c r="M776" s="1221"/>
      <c r="N776" s="1221"/>
      <c r="O776" s="1221"/>
      <c r="P776" s="1221"/>
      <c r="Q776" s="1221"/>
      <c r="R776" s="1221"/>
      <c r="S776" s="1221"/>
      <c r="T776" s="1221"/>
      <c r="U776" s="1221"/>
      <c r="V776" s="1221"/>
      <c r="W776" s="1221"/>
      <c r="X776" s="1221"/>
      <c r="Y776" s="1221"/>
      <c r="Z776" s="1221"/>
    </row>
    <row r="777" ht="15.75" customHeight="1">
      <c r="A777" s="1221"/>
      <c r="B777" s="1221"/>
      <c r="C777" s="1221"/>
      <c r="D777" s="1221"/>
      <c r="E777" s="1221"/>
      <c r="F777" s="1221"/>
      <c r="G777" s="1221"/>
      <c r="H777" s="1221"/>
      <c r="I777" s="1221"/>
      <c r="J777" s="1221"/>
      <c r="K777" s="1221"/>
      <c r="L777" s="1221"/>
      <c r="M777" s="1221"/>
      <c r="N777" s="1221"/>
      <c r="O777" s="1221"/>
      <c r="P777" s="1221"/>
      <c r="Q777" s="1221"/>
      <c r="R777" s="1221"/>
      <c r="S777" s="1221"/>
      <c r="T777" s="1221"/>
      <c r="U777" s="1221"/>
      <c r="V777" s="1221"/>
      <c r="W777" s="1221"/>
      <c r="X777" s="1221"/>
      <c r="Y777" s="1221"/>
      <c r="Z777" s="1221"/>
    </row>
    <row r="778" ht="15.75" customHeight="1">
      <c r="A778" s="1221"/>
      <c r="B778" s="1221"/>
      <c r="C778" s="1221"/>
      <c r="D778" s="1221"/>
      <c r="E778" s="1221"/>
      <c r="F778" s="1221"/>
      <c r="G778" s="1221"/>
      <c r="H778" s="1221"/>
      <c r="I778" s="1221"/>
      <c r="J778" s="1221"/>
      <c r="K778" s="1221"/>
      <c r="L778" s="1221"/>
      <c r="M778" s="1221"/>
      <c r="N778" s="1221"/>
      <c r="O778" s="1221"/>
      <c r="P778" s="1221"/>
      <c r="Q778" s="1221"/>
      <c r="R778" s="1221"/>
      <c r="S778" s="1221"/>
      <c r="T778" s="1221"/>
      <c r="U778" s="1221"/>
      <c r="V778" s="1221"/>
      <c r="W778" s="1221"/>
      <c r="X778" s="1221"/>
      <c r="Y778" s="1221"/>
      <c r="Z778" s="1221"/>
    </row>
    <row r="779" ht="15.75" customHeight="1">
      <c r="A779" s="1221"/>
      <c r="B779" s="1221"/>
      <c r="C779" s="1221"/>
      <c r="D779" s="1221"/>
      <c r="E779" s="1221"/>
      <c r="F779" s="1221"/>
      <c r="G779" s="1221"/>
      <c r="H779" s="1221"/>
      <c r="I779" s="1221"/>
      <c r="J779" s="1221"/>
      <c r="K779" s="1221"/>
      <c r="L779" s="1221"/>
      <c r="M779" s="1221"/>
      <c r="N779" s="1221"/>
      <c r="O779" s="1221"/>
      <c r="P779" s="1221"/>
      <c r="Q779" s="1221"/>
      <c r="R779" s="1221"/>
      <c r="S779" s="1221"/>
      <c r="T779" s="1221"/>
      <c r="U779" s="1221"/>
      <c r="V779" s="1221"/>
      <c r="W779" s="1221"/>
      <c r="X779" s="1221"/>
      <c r="Y779" s="1221"/>
      <c r="Z779" s="1221"/>
    </row>
    <row r="780" ht="15.75" customHeight="1">
      <c r="A780" s="1221"/>
      <c r="B780" s="1221"/>
      <c r="C780" s="1221"/>
      <c r="D780" s="1221"/>
      <c r="E780" s="1221"/>
      <c r="F780" s="1221"/>
      <c r="G780" s="1221"/>
      <c r="H780" s="1221"/>
      <c r="I780" s="1221"/>
      <c r="J780" s="1221"/>
      <c r="K780" s="1221"/>
      <c r="L780" s="1221"/>
      <c r="M780" s="1221"/>
      <c r="N780" s="1221"/>
      <c r="O780" s="1221"/>
      <c r="P780" s="1221"/>
      <c r="Q780" s="1221"/>
      <c r="R780" s="1221"/>
      <c r="S780" s="1221"/>
      <c r="T780" s="1221"/>
      <c r="U780" s="1221"/>
      <c r="V780" s="1221"/>
      <c r="W780" s="1221"/>
      <c r="X780" s="1221"/>
      <c r="Y780" s="1221"/>
      <c r="Z780" s="1221"/>
    </row>
    <row r="781" ht="15.75" customHeight="1">
      <c r="A781" s="1221"/>
      <c r="B781" s="1221"/>
      <c r="C781" s="1221"/>
      <c r="D781" s="1221"/>
      <c r="E781" s="1221"/>
      <c r="F781" s="1221"/>
      <c r="G781" s="1221"/>
      <c r="H781" s="1221"/>
      <c r="I781" s="1221"/>
      <c r="J781" s="1221"/>
      <c r="K781" s="1221"/>
      <c r="L781" s="1221"/>
      <c r="M781" s="1221"/>
      <c r="N781" s="1221"/>
      <c r="O781" s="1221"/>
      <c r="P781" s="1221"/>
      <c r="Q781" s="1221"/>
      <c r="R781" s="1221"/>
      <c r="S781" s="1221"/>
      <c r="T781" s="1221"/>
      <c r="U781" s="1221"/>
      <c r="V781" s="1221"/>
      <c r="W781" s="1221"/>
      <c r="X781" s="1221"/>
      <c r="Y781" s="1221"/>
      <c r="Z781" s="1221"/>
    </row>
    <row r="782" ht="15.75" customHeight="1">
      <c r="A782" s="1221"/>
      <c r="B782" s="1221"/>
      <c r="C782" s="1221"/>
      <c r="D782" s="1221"/>
      <c r="E782" s="1221"/>
      <c r="F782" s="1221"/>
      <c r="G782" s="1221"/>
      <c r="H782" s="1221"/>
      <c r="I782" s="1221"/>
      <c r="J782" s="1221"/>
      <c r="K782" s="1221"/>
      <c r="L782" s="1221"/>
      <c r="M782" s="1221"/>
      <c r="N782" s="1221"/>
      <c r="O782" s="1221"/>
      <c r="P782" s="1221"/>
      <c r="Q782" s="1221"/>
      <c r="R782" s="1221"/>
      <c r="S782" s="1221"/>
      <c r="T782" s="1221"/>
      <c r="U782" s="1221"/>
      <c r="V782" s="1221"/>
      <c r="W782" s="1221"/>
      <c r="X782" s="1221"/>
      <c r="Y782" s="1221"/>
      <c r="Z782" s="1221"/>
    </row>
    <row r="783" ht="15.75" customHeight="1">
      <c r="A783" s="1221"/>
      <c r="B783" s="1221"/>
      <c r="C783" s="1221"/>
      <c r="D783" s="1221"/>
      <c r="E783" s="1221"/>
      <c r="F783" s="1221"/>
      <c r="G783" s="1221"/>
      <c r="H783" s="1221"/>
      <c r="I783" s="1221"/>
      <c r="J783" s="1221"/>
      <c r="K783" s="1221"/>
      <c r="L783" s="1221"/>
      <c r="M783" s="1221"/>
      <c r="N783" s="1221"/>
      <c r="O783" s="1221"/>
      <c r="P783" s="1221"/>
      <c r="Q783" s="1221"/>
      <c r="R783" s="1221"/>
      <c r="S783" s="1221"/>
      <c r="T783" s="1221"/>
      <c r="U783" s="1221"/>
      <c r="V783" s="1221"/>
      <c r="W783" s="1221"/>
      <c r="X783" s="1221"/>
      <c r="Y783" s="1221"/>
      <c r="Z783" s="1221"/>
    </row>
    <row r="784" ht="15.75" customHeight="1">
      <c r="A784" s="1221"/>
      <c r="B784" s="1221"/>
      <c r="C784" s="1221"/>
      <c r="D784" s="1221"/>
      <c r="E784" s="1221"/>
      <c r="F784" s="1221"/>
      <c r="G784" s="1221"/>
      <c r="H784" s="1221"/>
      <c r="I784" s="1221"/>
      <c r="J784" s="1221"/>
      <c r="K784" s="1221"/>
      <c r="L784" s="1221"/>
      <c r="M784" s="1221"/>
      <c r="N784" s="1221"/>
      <c r="O784" s="1221"/>
      <c r="P784" s="1221"/>
      <c r="Q784" s="1221"/>
      <c r="R784" s="1221"/>
      <c r="S784" s="1221"/>
      <c r="T784" s="1221"/>
      <c r="U784" s="1221"/>
      <c r="V784" s="1221"/>
      <c r="W784" s="1221"/>
      <c r="X784" s="1221"/>
      <c r="Y784" s="1221"/>
      <c r="Z784" s="1221"/>
    </row>
    <row r="785" ht="15.75" customHeight="1">
      <c r="A785" s="1221"/>
      <c r="B785" s="1221"/>
      <c r="C785" s="1221"/>
      <c r="D785" s="1221"/>
      <c r="E785" s="1221"/>
      <c r="F785" s="1221"/>
      <c r="G785" s="1221"/>
      <c r="H785" s="1221"/>
      <c r="I785" s="1221"/>
      <c r="J785" s="1221"/>
      <c r="K785" s="1221"/>
      <c r="L785" s="1221"/>
      <c r="M785" s="1221"/>
      <c r="N785" s="1221"/>
      <c r="O785" s="1221"/>
      <c r="P785" s="1221"/>
      <c r="Q785" s="1221"/>
      <c r="R785" s="1221"/>
      <c r="S785" s="1221"/>
      <c r="T785" s="1221"/>
      <c r="U785" s="1221"/>
      <c r="V785" s="1221"/>
      <c r="W785" s="1221"/>
      <c r="X785" s="1221"/>
      <c r="Y785" s="1221"/>
      <c r="Z785" s="1221"/>
    </row>
    <row r="786" ht="15.75" customHeight="1">
      <c r="A786" s="1221"/>
      <c r="B786" s="1221"/>
      <c r="C786" s="1221"/>
      <c r="D786" s="1221"/>
      <c r="E786" s="1221"/>
      <c r="F786" s="1221"/>
      <c r="G786" s="1221"/>
      <c r="H786" s="1221"/>
      <c r="I786" s="1221"/>
      <c r="J786" s="1221"/>
      <c r="K786" s="1221"/>
      <c r="L786" s="1221"/>
      <c r="M786" s="1221"/>
      <c r="N786" s="1221"/>
      <c r="O786" s="1221"/>
      <c r="P786" s="1221"/>
      <c r="Q786" s="1221"/>
      <c r="R786" s="1221"/>
      <c r="S786" s="1221"/>
      <c r="T786" s="1221"/>
      <c r="U786" s="1221"/>
      <c r="V786" s="1221"/>
      <c r="W786" s="1221"/>
      <c r="X786" s="1221"/>
      <c r="Y786" s="1221"/>
      <c r="Z786" s="1221"/>
    </row>
    <row r="787" ht="15.75" customHeight="1">
      <c r="A787" s="1221"/>
      <c r="B787" s="1221"/>
      <c r="C787" s="1221"/>
      <c r="D787" s="1221"/>
      <c r="E787" s="1221"/>
      <c r="F787" s="1221"/>
      <c r="G787" s="1221"/>
      <c r="H787" s="1221"/>
      <c r="I787" s="1221"/>
      <c r="J787" s="1221"/>
      <c r="K787" s="1221"/>
      <c r="L787" s="1221"/>
      <c r="M787" s="1221"/>
      <c r="N787" s="1221"/>
      <c r="O787" s="1221"/>
      <c r="P787" s="1221"/>
      <c r="Q787" s="1221"/>
      <c r="R787" s="1221"/>
      <c r="S787" s="1221"/>
      <c r="T787" s="1221"/>
      <c r="U787" s="1221"/>
      <c r="V787" s="1221"/>
      <c r="W787" s="1221"/>
      <c r="X787" s="1221"/>
      <c r="Y787" s="1221"/>
      <c r="Z787" s="1221"/>
    </row>
    <row r="788" ht="15.75" customHeight="1">
      <c r="A788" s="1221"/>
      <c r="B788" s="1221"/>
      <c r="C788" s="1221"/>
      <c r="D788" s="1221"/>
      <c r="E788" s="1221"/>
      <c r="F788" s="1221"/>
      <c r="G788" s="1221"/>
      <c r="H788" s="1221"/>
      <c r="I788" s="1221"/>
      <c r="J788" s="1221"/>
      <c r="K788" s="1221"/>
      <c r="L788" s="1221"/>
      <c r="M788" s="1221"/>
      <c r="N788" s="1221"/>
      <c r="O788" s="1221"/>
      <c r="P788" s="1221"/>
      <c r="Q788" s="1221"/>
      <c r="R788" s="1221"/>
      <c r="S788" s="1221"/>
      <c r="T788" s="1221"/>
      <c r="U788" s="1221"/>
      <c r="V788" s="1221"/>
      <c r="W788" s="1221"/>
      <c r="X788" s="1221"/>
      <c r="Y788" s="1221"/>
      <c r="Z788" s="1221"/>
    </row>
    <row r="789" ht="15.75" customHeight="1">
      <c r="A789" s="1221"/>
      <c r="B789" s="1221"/>
      <c r="C789" s="1221"/>
      <c r="D789" s="1221"/>
      <c r="E789" s="1221"/>
      <c r="F789" s="1221"/>
      <c r="G789" s="1221"/>
      <c r="H789" s="1221"/>
      <c r="I789" s="1221"/>
      <c r="J789" s="1221"/>
      <c r="K789" s="1221"/>
      <c r="L789" s="1221"/>
      <c r="M789" s="1221"/>
      <c r="N789" s="1221"/>
      <c r="O789" s="1221"/>
      <c r="P789" s="1221"/>
      <c r="Q789" s="1221"/>
      <c r="R789" s="1221"/>
      <c r="S789" s="1221"/>
      <c r="T789" s="1221"/>
      <c r="U789" s="1221"/>
      <c r="V789" s="1221"/>
      <c r="W789" s="1221"/>
      <c r="X789" s="1221"/>
      <c r="Y789" s="1221"/>
      <c r="Z789" s="1221"/>
    </row>
    <row r="790" ht="15.75" customHeight="1">
      <c r="A790" s="1221"/>
      <c r="B790" s="1221"/>
      <c r="C790" s="1221"/>
      <c r="D790" s="1221"/>
      <c r="E790" s="1221"/>
      <c r="F790" s="1221"/>
      <c r="G790" s="1221"/>
      <c r="H790" s="1221"/>
      <c r="I790" s="1221"/>
      <c r="J790" s="1221"/>
      <c r="K790" s="1221"/>
      <c r="L790" s="1221"/>
      <c r="M790" s="1221"/>
      <c r="N790" s="1221"/>
      <c r="O790" s="1221"/>
      <c r="P790" s="1221"/>
      <c r="Q790" s="1221"/>
      <c r="R790" s="1221"/>
      <c r="S790" s="1221"/>
      <c r="T790" s="1221"/>
      <c r="U790" s="1221"/>
      <c r="V790" s="1221"/>
      <c r="W790" s="1221"/>
      <c r="X790" s="1221"/>
      <c r="Y790" s="1221"/>
      <c r="Z790" s="1221"/>
    </row>
    <row r="791" ht="15.75" customHeight="1">
      <c r="A791" s="1221"/>
      <c r="B791" s="1221"/>
      <c r="C791" s="1221"/>
      <c r="D791" s="1221"/>
      <c r="E791" s="1221"/>
      <c r="F791" s="1221"/>
      <c r="G791" s="1221"/>
      <c r="H791" s="1221"/>
      <c r="I791" s="1221"/>
      <c r="J791" s="1221"/>
      <c r="K791" s="1221"/>
      <c r="L791" s="1221"/>
      <c r="M791" s="1221"/>
      <c r="N791" s="1221"/>
      <c r="O791" s="1221"/>
      <c r="P791" s="1221"/>
      <c r="Q791" s="1221"/>
      <c r="R791" s="1221"/>
      <c r="S791" s="1221"/>
      <c r="T791" s="1221"/>
      <c r="U791" s="1221"/>
      <c r="V791" s="1221"/>
      <c r="W791" s="1221"/>
      <c r="X791" s="1221"/>
      <c r="Y791" s="1221"/>
      <c r="Z791" s="1221"/>
    </row>
    <row r="792" ht="15.75" customHeight="1">
      <c r="A792" s="1221"/>
      <c r="B792" s="1221"/>
      <c r="C792" s="1221"/>
      <c r="D792" s="1221"/>
      <c r="E792" s="1221"/>
      <c r="F792" s="1221"/>
      <c r="G792" s="1221"/>
      <c r="H792" s="1221"/>
      <c r="I792" s="1221"/>
      <c r="J792" s="1221"/>
      <c r="K792" s="1221"/>
      <c r="L792" s="1221"/>
      <c r="M792" s="1221"/>
      <c r="N792" s="1221"/>
      <c r="O792" s="1221"/>
      <c r="P792" s="1221"/>
      <c r="Q792" s="1221"/>
      <c r="R792" s="1221"/>
      <c r="S792" s="1221"/>
      <c r="T792" s="1221"/>
      <c r="U792" s="1221"/>
      <c r="V792" s="1221"/>
      <c r="W792" s="1221"/>
      <c r="X792" s="1221"/>
      <c r="Y792" s="1221"/>
      <c r="Z792" s="1221"/>
    </row>
    <row r="793" ht="15.75" customHeight="1">
      <c r="A793" s="1221"/>
      <c r="B793" s="1221"/>
      <c r="C793" s="1221"/>
      <c r="D793" s="1221"/>
      <c r="E793" s="1221"/>
      <c r="F793" s="1221"/>
      <c r="G793" s="1221"/>
      <c r="H793" s="1221"/>
      <c r="I793" s="1221"/>
      <c r="J793" s="1221"/>
      <c r="K793" s="1221"/>
      <c r="L793" s="1221"/>
      <c r="M793" s="1221"/>
      <c r="N793" s="1221"/>
      <c r="O793" s="1221"/>
      <c r="P793" s="1221"/>
      <c r="Q793" s="1221"/>
      <c r="R793" s="1221"/>
      <c r="S793" s="1221"/>
      <c r="T793" s="1221"/>
      <c r="U793" s="1221"/>
      <c r="V793" s="1221"/>
      <c r="W793" s="1221"/>
      <c r="X793" s="1221"/>
      <c r="Y793" s="1221"/>
      <c r="Z793" s="1221"/>
    </row>
    <row r="794" ht="15.75" customHeight="1">
      <c r="A794" s="1221"/>
      <c r="B794" s="1221"/>
      <c r="C794" s="1221"/>
      <c r="D794" s="1221"/>
      <c r="E794" s="1221"/>
      <c r="F794" s="1221"/>
      <c r="G794" s="1221"/>
      <c r="H794" s="1221"/>
      <c r="I794" s="1221"/>
      <c r="J794" s="1221"/>
      <c r="K794" s="1221"/>
      <c r="L794" s="1221"/>
      <c r="M794" s="1221"/>
      <c r="N794" s="1221"/>
      <c r="O794" s="1221"/>
      <c r="P794" s="1221"/>
      <c r="Q794" s="1221"/>
      <c r="R794" s="1221"/>
      <c r="S794" s="1221"/>
      <c r="T794" s="1221"/>
      <c r="U794" s="1221"/>
      <c r="V794" s="1221"/>
      <c r="W794" s="1221"/>
      <c r="X794" s="1221"/>
      <c r="Y794" s="1221"/>
      <c r="Z794" s="1221"/>
    </row>
    <row r="795" ht="15.75" customHeight="1">
      <c r="A795" s="1221"/>
      <c r="B795" s="1221"/>
      <c r="C795" s="1221"/>
      <c r="D795" s="1221"/>
      <c r="E795" s="1221"/>
      <c r="F795" s="1221"/>
      <c r="G795" s="1221"/>
      <c r="H795" s="1221"/>
      <c r="I795" s="1221"/>
      <c r="J795" s="1221"/>
      <c r="K795" s="1221"/>
      <c r="L795" s="1221"/>
      <c r="M795" s="1221"/>
      <c r="N795" s="1221"/>
      <c r="O795" s="1221"/>
      <c r="P795" s="1221"/>
      <c r="Q795" s="1221"/>
      <c r="R795" s="1221"/>
      <c r="S795" s="1221"/>
      <c r="T795" s="1221"/>
      <c r="U795" s="1221"/>
      <c r="V795" s="1221"/>
      <c r="W795" s="1221"/>
      <c r="X795" s="1221"/>
      <c r="Y795" s="1221"/>
      <c r="Z795" s="1221"/>
    </row>
    <row r="796" ht="15.75" customHeight="1">
      <c r="A796" s="1221"/>
      <c r="B796" s="1221"/>
      <c r="C796" s="1221"/>
      <c r="D796" s="1221"/>
      <c r="E796" s="1221"/>
      <c r="F796" s="1221"/>
      <c r="G796" s="1221"/>
      <c r="H796" s="1221"/>
      <c r="I796" s="1221"/>
      <c r="J796" s="1221"/>
      <c r="K796" s="1221"/>
      <c r="L796" s="1221"/>
      <c r="M796" s="1221"/>
      <c r="N796" s="1221"/>
      <c r="O796" s="1221"/>
      <c r="P796" s="1221"/>
      <c r="Q796" s="1221"/>
      <c r="R796" s="1221"/>
      <c r="S796" s="1221"/>
      <c r="T796" s="1221"/>
      <c r="U796" s="1221"/>
      <c r="V796" s="1221"/>
      <c r="W796" s="1221"/>
      <c r="X796" s="1221"/>
      <c r="Y796" s="1221"/>
      <c r="Z796" s="1221"/>
    </row>
    <row r="797" ht="15.75" customHeight="1">
      <c r="A797" s="1221"/>
      <c r="B797" s="1221"/>
      <c r="C797" s="1221"/>
      <c r="D797" s="1221"/>
      <c r="E797" s="1221"/>
      <c r="F797" s="1221"/>
      <c r="G797" s="1221"/>
      <c r="H797" s="1221"/>
      <c r="I797" s="1221"/>
      <c r="J797" s="1221"/>
      <c r="K797" s="1221"/>
      <c r="L797" s="1221"/>
      <c r="M797" s="1221"/>
      <c r="N797" s="1221"/>
      <c r="O797" s="1221"/>
      <c r="P797" s="1221"/>
      <c r="Q797" s="1221"/>
      <c r="R797" s="1221"/>
      <c r="S797" s="1221"/>
      <c r="T797" s="1221"/>
      <c r="U797" s="1221"/>
      <c r="V797" s="1221"/>
      <c r="W797" s="1221"/>
      <c r="X797" s="1221"/>
      <c r="Y797" s="1221"/>
      <c r="Z797" s="1221"/>
    </row>
    <row r="798" ht="15.75" customHeight="1">
      <c r="A798" s="1221"/>
      <c r="B798" s="1221"/>
      <c r="C798" s="1221"/>
      <c r="D798" s="1221"/>
      <c r="E798" s="1221"/>
      <c r="F798" s="1221"/>
      <c r="G798" s="1221"/>
      <c r="H798" s="1221"/>
      <c r="I798" s="1221"/>
      <c r="J798" s="1221"/>
      <c r="K798" s="1221"/>
      <c r="L798" s="1221"/>
      <c r="M798" s="1221"/>
      <c r="N798" s="1221"/>
      <c r="O798" s="1221"/>
      <c r="P798" s="1221"/>
      <c r="Q798" s="1221"/>
      <c r="R798" s="1221"/>
      <c r="S798" s="1221"/>
      <c r="T798" s="1221"/>
      <c r="U798" s="1221"/>
      <c r="V798" s="1221"/>
      <c r="W798" s="1221"/>
      <c r="X798" s="1221"/>
      <c r="Y798" s="1221"/>
      <c r="Z798" s="1221"/>
    </row>
    <row r="799" ht="15.75" customHeight="1">
      <c r="A799" s="1221"/>
      <c r="B799" s="1221"/>
      <c r="C799" s="1221"/>
      <c r="D799" s="1221"/>
      <c r="E799" s="1221"/>
      <c r="F799" s="1221"/>
      <c r="G799" s="1221"/>
      <c r="H799" s="1221"/>
      <c r="I799" s="1221"/>
      <c r="J799" s="1221"/>
      <c r="K799" s="1221"/>
      <c r="L799" s="1221"/>
      <c r="M799" s="1221"/>
      <c r="N799" s="1221"/>
      <c r="O799" s="1221"/>
      <c r="P799" s="1221"/>
      <c r="Q799" s="1221"/>
      <c r="R799" s="1221"/>
      <c r="S799" s="1221"/>
      <c r="T799" s="1221"/>
      <c r="U799" s="1221"/>
      <c r="V799" s="1221"/>
      <c r="W799" s="1221"/>
      <c r="X799" s="1221"/>
      <c r="Y799" s="1221"/>
      <c r="Z799" s="1221"/>
    </row>
    <row r="800" ht="15.75" customHeight="1">
      <c r="A800" s="1221"/>
      <c r="B800" s="1221"/>
      <c r="C800" s="1221"/>
      <c r="D800" s="1221"/>
      <c r="E800" s="1221"/>
      <c r="F800" s="1221"/>
      <c r="G800" s="1221"/>
      <c r="H800" s="1221"/>
      <c r="I800" s="1221"/>
      <c r="J800" s="1221"/>
      <c r="K800" s="1221"/>
      <c r="L800" s="1221"/>
      <c r="M800" s="1221"/>
      <c r="N800" s="1221"/>
      <c r="O800" s="1221"/>
      <c r="P800" s="1221"/>
      <c r="Q800" s="1221"/>
      <c r="R800" s="1221"/>
      <c r="S800" s="1221"/>
      <c r="T800" s="1221"/>
      <c r="U800" s="1221"/>
      <c r="V800" s="1221"/>
      <c r="W800" s="1221"/>
      <c r="X800" s="1221"/>
      <c r="Y800" s="1221"/>
      <c r="Z800" s="1221"/>
    </row>
    <row r="801" ht="15.75" customHeight="1">
      <c r="A801" s="1221"/>
      <c r="B801" s="1221"/>
      <c r="C801" s="1221"/>
      <c r="D801" s="1221"/>
      <c r="E801" s="1221"/>
      <c r="F801" s="1221"/>
      <c r="G801" s="1221"/>
      <c r="H801" s="1221"/>
      <c r="I801" s="1221"/>
      <c r="J801" s="1221"/>
      <c r="K801" s="1221"/>
      <c r="L801" s="1221"/>
      <c r="M801" s="1221"/>
      <c r="N801" s="1221"/>
      <c r="O801" s="1221"/>
      <c r="P801" s="1221"/>
      <c r="Q801" s="1221"/>
      <c r="R801" s="1221"/>
      <c r="S801" s="1221"/>
      <c r="T801" s="1221"/>
      <c r="U801" s="1221"/>
      <c r="V801" s="1221"/>
      <c r="W801" s="1221"/>
      <c r="X801" s="1221"/>
      <c r="Y801" s="1221"/>
      <c r="Z801" s="1221"/>
    </row>
    <row r="802" ht="15.75" customHeight="1">
      <c r="A802" s="1221"/>
      <c r="B802" s="1221"/>
      <c r="C802" s="1221"/>
      <c r="D802" s="1221"/>
      <c r="E802" s="1221"/>
      <c r="F802" s="1221"/>
      <c r="G802" s="1221"/>
      <c r="H802" s="1221"/>
      <c r="I802" s="1221"/>
      <c r="J802" s="1221"/>
      <c r="K802" s="1221"/>
      <c r="L802" s="1221"/>
      <c r="M802" s="1221"/>
      <c r="N802" s="1221"/>
      <c r="O802" s="1221"/>
      <c r="P802" s="1221"/>
      <c r="Q802" s="1221"/>
      <c r="R802" s="1221"/>
      <c r="S802" s="1221"/>
      <c r="T802" s="1221"/>
      <c r="U802" s="1221"/>
      <c r="V802" s="1221"/>
      <c r="W802" s="1221"/>
      <c r="X802" s="1221"/>
      <c r="Y802" s="1221"/>
      <c r="Z802" s="1221"/>
    </row>
    <row r="803" ht="15.75" customHeight="1">
      <c r="A803" s="1221"/>
      <c r="B803" s="1221"/>
      <c r="C803" s="1221"/>
      <c r="D803" s="1221"/>
      <c r="E803" s="1221"/>
      <c r="F803" s="1221"/>
      <c r="G803" s="1221"/>
      <c r="H803" s="1221"/>
      <c r="I803" s="1221"/>
      <c r="J803" s="1221"/>
      <c r="K803" s="1221"/>
      <c r="L803" s="1221"/>
      <c r="M803" s="1221"/>
      <c r="N803" s="1221"/>
      <c r="O803" s="1221"/>
      <c r="P803" s="1221"/>
      <c r="Q803" s="1221"/>
      <c r="R803" s="1221"/>
      <c r="S803" s="1221"/>
      <c r="T803" s="1221"/>
      <c r="U803" s="1221"/>
      <c r="V803" s="1221"/>
      <c r="W803" s="1221"/>
      <c r="X803" s="1221"/>
      <c r="Y803" s="1221"/>
      <c r="Z803" s="1221"/>
    </row>
    <row r="804" ht="15.75" customHeight="1">
      <c r="A804" s="1221"/>
      <c r="B804" s="1221"/>
      <c r="C804" s="1221"/>
      <c r="D804" s="1221"/>
      <c r="E804" s="1221"/>
      <c r="F804" s="1221"/>
      <c r="G804" s="1221"/>
      <c r="H804" s="1221"/>
      <c r="I804" s="1221"/>
      <c r="J804" s="1221"/>
      <c r="K804" s="1221"/>
      <c r="L804" s="1221"/>
      <c r="M804" s="1221"/>
      <c r="N804" s="1221"/>
      <c r="O804" s="1221"/>
      <c r="P804" s="1221"/>
      <c r="Q804" s="1221"/>
      <c r="R804" s="1221"/>
      <c r="S804" s="1221"/>
      <c r="T804" s="1221"/>
      <c r="U804" s="1221"/>
      <c r="V804" s="1221"/>
      <c r="W804" s="1221"/>
      <c r="X804" s="1221"/>
      <c r="Y804" s="1221"/>
      <c r="Z804" s="1221"/>
    </row>
    <row r="805" ht="15.75" customHeight="1">
      <c r="A805" s="1221"/>
      <c r="B805" s="1221"/>
      <c r="C805" s="1221"/>
      <c r="D805" s="1221"/>
      <c r="E805" s="1221"/>
      <c r="F805" s="1221"/>
      <c r="G805" s="1221"/>
      <c r="H805" s="1221"/>
      <c r="I805" s="1221"/>
      <c r="J805" s="1221"/>
      <c r="K805" s="1221"/>
      <c r="L805" s="1221"/>
      <c r="M805" s="1221"/>
      <c r="N805" s="1221"/>
      <c r="O805" s="1221"/>
      <c r="P805" s="1221"/>
      <c r="Q805" s="1221"/>
      <c r="R805" s="1221"/>
      <c r="S805" s="1221"/>
      <c r="T805" s="1221"/>
      <c r="U805" s="1221"/>
      <c r="V805" s="1221"/>
      <c r="W805" s="1221"/>
      <c r="X805" s="1221"/>
      <c r="Y805" s="1221"/>
      <c r="Z805" s="1221"/>
    </row>
    <row r="806" ht="15.75" customHeight="1">
      <c r="A806" s="1221"/>
      <c r="B806" s="1221"/>
      <c r="C806" s="1221"/>
      <c r="D806" s="1221"/>
      <c r="E806" s="1221"/>
      <c r="F806" s="1221"/>
      <c r="G806" s="1221"/>
      <c r="H806" s="1221"/>
      <c r="I806" s="1221"/>
      <c r="J806" s="1221"/>
      <c r="K806" s="1221"/>
      <c r="L806" s="1221"/>
      <c r="M806" s="1221"/>
      <c r="N806" s="1221"/>
      <c r="O806" s="1221"/>
      <c r="P806" s="1221"/>
      <c r="Q806" s="1221"/>
      <c r="R806" s="1221"/>
      <c r="S806" s="1221"/>
      <c r="T806" s="1221"/>
      <c r="U806" s="1221"/>
      <c r="V806" s="1221"/>
      <c r="W806" s="1221"/>
      <c r="X806" s="1221"/>
      <c r="Y806" s="1221"/>
      <c r="Z806" s="1221"/>
    </row>
    <row r="807" ht="15.75" customHeight="1">
      <c r="A807" s="1221"/>
      <c r="B807" s="1221"/>
      <c r="C807" s="1221"/>
      <c r="D807" s="1221"/>
      <c r="E807" s="1221"/>
      <c r="F807" s="1221"/>
      <c r="G807" s="1221"/>
      <c r="H807" s="1221"/>
      <c r="I807" s="1221"/>
      <c r="J807" s="1221"/>
      <c r="K807" s="1221"/>
      <c r="L807" s="1221"/>
      <c r="M807" s="1221"/>
      <c r="N807" s="1221"/>
      <c r="O807" s="1221"/>
      <c r="P807" s="1221"/>
      <c r="Q807" s="1221"/>
      <c r="R807" s="1221"/>
      <c r="S807" s="1221"/>
      <c r="T807" s="1221"/>
      <c r="U807" s="1221"/>
      <c r="V807" s="1221"/>
      <c r="W807" s="1221"/>
      <c r="X807" s="1221"/>
      <c r="Y807" s="1221"/>
      <c r="Z807" s="1221"/>
    </row>
    <row r="808" ht="15.75" customHeight="1">
      <c r="A808" s="1221"/>
      <c r="B808" s="1221"/>
      <c r="C808" s="1221"/>
      <c r="D808" s="1221"/>
      <c r="E808" s="1221"/>
      <c r="F808" s="1221"/>
      <c r="G808" s="1221"/>
      <c r="H808" s="1221"/>
      <c r="I808" s="1221"/>
      <c r="J808" s="1221"/>
      <c r="K808" s="1221"/>
      <c r="L808" s="1221"/>
      <c r="M808" s="1221"/>
      <c r="N808" s="1221"/>
      <c r="O808" s="1221"/>
      <c r="P808" s="1221"/>
      <c r="Q808" s="1221"/>
      <c r="R808" s="1221"/>
      <c r="S808" s="1221"/>
      <c r="T808" s="1221"/>
      <c r="U808" s="1221"/>
      <c r="V808" s="1221"/>
      <c r="W808" s="1221"/>
      <c r="X808" s="1221"/>
      <c r="Y808" s="1221"/>
      <c r="Z808" s="1221"/>
    </row>
    <row r="809" ht="15.75" customHeight="1">
      <c r="A809" s="1221"/>
      <c r="B809" s="1221"/>
      <c r="C809" s="1221"/>
      <c r="D809" s="1221"/>
      <c r="E809" s="1221"/>
      <c r="F809" s="1221"/>
      <c r="G809" s="1221"/>
      <c r="H809" s="1221"/>
      <c r="I809" s="1221"/>
      <c r="J809" s="1221"/>
      <c r="K809" s="1221"/>
      <c r="L809" s="1221"/>
      <c r="M809" s="1221"/>
      <c r="N809" s="1221"/>
      <c r="O809" s="1221"/>
      <c r="P809" s="1221"/>
      <c r="Q809" s="1221"/>
      <c r="R809" s="1221"/>
      <c r="S809" s="1221"/>
      <c r="T809" s="1221"/>
      <c r="U809" s="1221"/>
      <c r="V809" s="1221"/>
      <c r="W809" s="1221"/>
      <c r="X809" s="1221"/>
      <c r="Y809" s="1221"/>
      <c r="Z809" s="1221"/>
    </row>
    <row r="810" ht="15.75" customHeight="1">
      <c r="A810" s="1221"/>
      <c r="B810" s="1221"/>
      <c r="C810" s="1221"/>
      <c r="D810" s="1221"/>
      <c r="E810" s="1221"/>
      <c r="F810" s="1221"/>
      <c r="G810" s="1221"/>
      <c r="H810" s="1221"/>
      <c r="I810" s="1221"/>
      <c r="J810" s="1221"/>
      <c r="K810" s="1221"/>
      <c r="L810" s="1221"/>
      <c r="M810" s="1221"/>
      <c r="N810" s="1221"/>
      <c r="O810" s="1221"/>
      <c r="P810" s="1221"/>
      <c r="Q810" s="1221"/>
      <c r="R810" s="1221"/>
      <c r="S810" s="1221"/>
      <c r="T810" s="1221"/>
      <c r="U810" s="1221"/>
      <c r="V810" s="1221"/>
      <c r="W810" s="1221"/>
      <c r="X810" s="1221"/>
      <c r="Y810" s="1221"/>
      <c r="Z810" s="1221"/>
    </row>
    <row r="811" ht="15.75" customHeight="1">
      <c r="A811" s="1221"/>
      <c r="B811" s="1221"/>
      <c r="C811" s="1221"/>
      <c r="D811" s="1221"/>
      <c r="E811" s="1221"/>
      <c r="F811" s="1221"/>
      <c r="G811" s="1221"/>
      <c r="H811" s="1221"/>
      <c r="I811" s="1221"/>
      <c r="J811" s="1221"/>
      <c r="K811" s="1221"/>
      <c r="L811" s="1221"/>
      <c r="M811" s="1221"/>
      <c r="N811" s="1221"/>
      <c r="O811" s="1221"/>
      <c r="P811" s="1221"/>
      <c r="Q811" s="1221"/>
      <c r="R811" s="1221"/>
      <c r="S811" s="1221"/>
      <c r="T811" s="1221"/>
      <c r="U811" s="1221"/>
      <c r="V811" s="1221"/>
      <c r="W811" s="1221"/>
      <c r="X811" s="1221"/>
      <c r="Y811" s="1221"/>
      <c r="Z811" s="1221"/>
    </row>
    <row r="812" ht="15.75" customHeight="1">
      <c r="A812" s="1221"/>
      <c r="B812" s="1221"/>
      <c r="C812" s="1221"/>
      <c r="D812" s="1221"/>
      <c r="E812" s="1221"/>
      <c r="F812" s="1221"/>
      <c r="G812" s="1221"/>
      <c r="H812" s="1221"/>
      <c r="I812" s="1221"/>
      <c r="J812" s="1221"/>
      <c r="K812" s="1221"/>
      <c r="L812" s="1221"/>
      <c r="M812" s="1221"/>
      <c r="N812" s="1221"/>
      <c r="O812" s="1221"/>
      <c r="P812" s="1221"/>
      <c r="Q812" s="1221"/>
      <c r="R812" s="1221"/>
      <c r="S812" s="1221"/>
      <c r="T812" s="1221"/>
      <c r="U812" s="1221"/>
      <c r="V812" s="1221"/>
      <c r="W812" s="1221"/>
      <c r="X812" s="1221"/>
      <c r="Y812" s="1221"/>
      <c r="Z812" s="1221"/>
    </row>
    <row r="813" ht="15.75" customHeight="1">
      <c r="A813" s="1221"/>
      <c r="B813" s="1221"/>
      <c r="C813" s="1221"/>
      <c r="D813" s="1221"/>
      <c r="E813" s="1221"/>
      <c r="F813" s="1221"/>
      <c r="G813" s="1221"/>
      <c r="H813" s="1221"/>
      <c r="I813" s="1221"/>
      <c r="J813" s="1221"/>
      <c r="K813" s="1221"/>
      <c r="L813" s="1221"/>
      <c r="M813" s="1221"/>
      <c r="N813" s="1221"/>
      <c r="O813" s="1221"/>
      <c r="P813" s="1221"/>
      <c r="Q813" s="1221"/>
      <c r="R813" s="1221"/>
      <c r="S813" s="1221"/>
      <c r="T813" s="1221"/>
      <c r="U813" s="1221"/>
      <c r="V813" s="1221"/>
      <c r="W813" s="1221"/>
      <c r="X813" s="1221"/>
      <c r="Y813" s="1221"/>
      <c r="Z813" s="1221"/>
    </row>
    <row r="814" ht="15.75" customHeight="1">
      <c r="A814" s="1221"/>
      <c r="B814" s="1221"/>
      <c r="C814" s="1221"/>
      <c r="D814" s="1221"/>
      <c r="E814" s="1221"/>
      <c r="F814" s="1221"/>
      <c r="G814" s="1221"/>
      <c r="H814" s="1221"/>
      <c r="I814" s="1221"/>
      <c r="J814" s="1221"/>
      <c r="K814" s="1221"/>
      <c r="L814" s="1221"/>
      <c r="M814" s="1221"/>
      <c r="N814" s="1221"/>
      <c r="O814" s="1221"/>
      <c r="P814" s="1221"/>
      <c r="Q814" s="1221"/>
      <c r="R814" s="1221"/>
      <c r="S814" s="1221"/>
      <c r="T814" s="1221"/>
      <c r="U814" s="1221"/>
      <c r="V814" s="1221"/>
      <c r="W814" s="1221"/>
      <c r="X814" s="1221"/>
      <c r="Y814" s="1221"/>
      <c r="Z814" s="1221"/>
    </row>
    <row r="815" ht="15.75" customHeight="1">
      <c r="A815" s="1221"/>
      <c r="B815" s="1221"/>
      <c r="C815" s="1221"/>
      <c r="D815" s="1221"/>
      <c r="E815" s="1221"/>
      <c r="F815" s="1221"/>
      <c r="G815" s="1221"/>
      <c r="H815" s="1221"/>
      <c r="I815" s="1221"/>
      <c r="J815" s="1221"/>
      <c r="K815" s="1221"/>
      <c r="L815" s="1221"/>
      <c r="M815" s="1221"/>
      <c r="N815" s="1221"/>
      <c r="O815" s="1221"/>
      <c r="P815" s="1221"/>
      <c r="Q815" s="1221"/>
      <c r="R815" s="1221"/>
      <c r="S815" s="1221"/>
      <c r="T815" s="1221"/>
      <c r="U815" s="1221"/>
      <c r="V815" s="1221"/>
      <c r="W815" s="1221"/>
      <c r="X815" s="1221"/>
      <c r="Y815" s="1221"/>
      <c r="Z815" s="1221"/>
    </row>
    <row r="816" ht="15.75" customHeight="1">
      <c r="A816" s="1221"/>
      <c r="B816" s="1221"/>
      <c r="C816" s="1221"/>
      <c r="D816" s="1221"/>
      <c r="E816" s="1221"/>
      <c r="F816" s="1221"/>
      <c r="G816" s="1221"/>
      <c r="H816" s="1221"/>
      <c r="I816" s="1221"/>
      <c r="J816" s="1221"/>
      <c r="K816" s="1221"/>
      <c r="L816" s="1221"/>
      <c r="M816" s="1221"/>
      <c r="N816" s="1221"/>
      <c r="O816" s="1221"/>
      <c r="P816" s="1221"/>
      <c r="Q816" s="1221"/>
      <c r="R816" s="1221"/>
      <c r="S816" s="1221"/>
      <c r="T816" s="1221"/>
      <c r="U816" s="1221"/>
      <c r="V816" s="1221"/>
      <c r="W816" s="1221"/>
      <c r="X816" s="1221"/>
      <c r="Y816" s="1221"/>
      <c r="Z816" s="1221"/>
    </row>
    <row r="817" ht="15.75" customHeight="1">
      <c r="A817" s="1221"/>
      <c r="B817" s="1221"/>
      <c r="C817" s="1221"/>
      <c r="D817" s="1221"/>
      <c r="E817" s="1221"/>
      <c r="F817" s="1221"/>
      <c r="G817" s="1221"/>
      <c r="H817" s="1221"/>
      <c r="I817" s="1221"/>
      <c r="J817" s="1221"/>
      <c r="K817" s="1221"/>
      <c r="L817" s="1221"/>
      <c r="M817" s="1221"/>
      <c r="N817" s="1221"/>
      <c r="O817" s="1221"/>
      <c r="P817" s="1221"/>
      <c r="Q817" s="1221"/>
      <c r="R817" s="1221"/>
      <c r="S817" s="1221"/>
      <c r="T817" s="1221"/>
      <c r="U817" s="1221"/>
      <c r="V817" s="1221"/>
      <c r="W817" s="1221"/>
      <c r="X817" s="1221"/>
      <c r="Y817" s="1221"/>
      <c r="Z817" s="1221"/>
    </row>
    <row r="818" ht="15.75" customHeight="1">
      <c r="A818" s="1221"/>
      <c r="B818" s="1221"/>
      <c r="C818" s="1221"/>
      <c r="D818" s="1221"/>
      <c r="E818" s="1221"/>
      <c r="F818" s="1221"/>
      <c r="G818" s="1221"/>
      <c r="H818" s="1221"/>
      <c r="I818" s="1221"/>
      <c r="J818" s="1221"/>
      <c r="K818" s="1221"/>
      <c r="L818" s="1221"/>
      <c r="M818" s="1221"/>
      <c r="N818" s="1221"/>
      <c r="O818" s="1221"/>
      <c r="P818" s="1221"/>
      <c r="Q818" s="1221"/>
      <c r="R818" s="1221"/>
      <c r="S818" s="1221"/>
      <c r="T818" s="1221"/>
      <c r="U818" s="1221"/>
      <c r="V818" s="1221"/>
      <c r="W818" s="1221"/>
      <c r="X818" s="1221"/>
      <c r="Y818" s="1221"/>
      <c r="Z818" s="1221"/>
    </row>
    <row r="819" ht="15.75" customHeight="1">
      <c r="A819" s="1221"/>
      <c r="B819" s="1221"/>
      <c r="C819" s="1221"/>
      <c r="D819" s="1221"/>
      <c r="E819" s="1221"/>
      <c r="F819" s="1221"/>
      <c r="G819" s="1221"/>
      <c r="H819" s="1221"/>
      <c r="I819" s="1221"/>
      <c r="J819" s="1221"/>
      <c r="K819" s="1221"/>
      <c r="L819" s="1221"/>
      <c r="M819" s="1221"/>
      <c r="N819" s="1221"/>
      <c r="O819" s="1221"/>
      <c r="P819" s="1221"/>
      <c r="Q819" s="1221"/>
      <c r="R819" s="1221"/>
      <c r="S819" s="1221"/>
      <c r="T819" s="1221"/>
      <c r="U819" s="1221"/>
      <c r="V819" s="1221"/>
      <c r="W819" s="1221"/>
      <c r="X819" s="1221"/>
      <c r="Y819" s="1221"/>
      <c r="Z819" s="1221"/>
    </row>
    <row r="820" ht="15.75" customHeight="1">
      <c r="A820" s="1221"/>
      <c r="B820" s="1221"/>
      <c r="C820" s="1221"/>
      <c r="D820" s="1221"/>
      <c r="E820" s="1221"/>
      <c r="F820" s="1221"/>
      <c r="G820" s="1221"/>
      <c r="H820" s="1221"/>
      <c r="I820" s="1221"/>
      <c r="J820" s="1221"/>
      <c r="K820" s="1221"/>
      <c r="L820" s="1221"/>
      <c r="M820" s="1221"/>
      <c r="N820" s="1221"/>
      <c r="O820" s="1221"/>
      <c r="P820" s="1221"/>
      <c r="Q820" s="1221"/>
      <c r="R820" s="1221"/>
      <c r="S820" s="1221"/>
      <c r="T820" s="1221"/>
      <c r="U820" s="1221"/>
      <c r="V820" s="1221"/>
      <c r="W820" s="1221"/>
      <c r="X820" s="1221"/>
      <c r="Y820" s="1221"/>
      <c r="Z820" s="1221"/>
    </row>
    <row r="821" ht="15.75" customHeight="1">
      <c r="A821" s="1221"/>
      <c r="B821" s="1221"/>
      <c r="C821" s="1221"/>
      <c r="D821" s="1221"/>
      <c r="E821" s="1221"/>
      <c r="F821" s="1221"/>
      <c r="G821" s="1221"/>
      <c r="H821" s="1221"/>
      <c r="I821" s="1221"/>
      <c r="J821" s="1221"/>
      <c r="K821" s="1221"/>
      <c r="L821" s="1221"/>
      <c r="M821" s="1221"/>
      <c r="N821" s="1221"/>
      <c r="O821" s="1221"/>
      <c r="P821" s="1221"/>
      <c r="Q821" s="1221"/>
      <c r="R821" s="1221"/>
      <c r="S821" s="1221"/>
      <c r="T821" s="1221"/>
      <c r="U821" s="1221"/>
      <c r="V821" s="1221"/>
      <c r="W821" s="1221"/>
      <c r="X821" s="1221"/>
      <c r="Y821" s="1221"/>
      <c r="Z821" s="1221"/>
    </row>
    <row r="822" ht="15.75" customHeight="1">
      <c r="A822" s="1221"/>
      <c r="B822" s="1221"/>
      <c r="C822" s="1221"/>
      <c r="D822" s="1221"/>
      <c r="E822" s="1221"/>
      <c r="F822" s="1221"/>
      <c r="G822" s="1221"/>
      <c r="H822" s="1221"/>
      <c r="I822" s="1221"/>
      <c r="J822" s="1221"/>
      <c r="K822" s="1221"/>
      <c r="L822" s="1221"/>
      <c r="M822" s="1221"/>
      <c r="N822" s="1221"/>
      <c r="O822" s="1221"/>
      <c r="P822" s="1221"/>
      <c r="Q822" s="1221"/>
      <c r="R822" s="1221"/>
      <c r="S822" s="1221"/>
      <c r="T822" s="1221"/>
      <c r="U822" s="1221"/>
      <c r="V822" s="1221"/>
      <c r="W822" s="1221"/>
      <c r="X822" s="1221"/>
      <c r="Y822" s="1221"/>
      <c r="Z822" s="1221"/>
    </row>
    <row r="823" ht="15.75" customHeight="1">
      <c r="A823" s="1221"/>
      <c r="B823" s="1221"/>
      <c r="C823" s="1221"/>
      <c r="D823" s="1221"/>
      <c r="E823" s="1221"/>
      <c r="F823" s="1221"/>
      <c r="G823" s="1221"/>
      <c r="H823" s="1221"/>
      <c r="I823" s="1221"/>
      <c r="J823" s="1221"/>
      <c r="K823" s="1221"/>
      <c r="L823" s="1221"/>
      <c r="M823" s="1221"/>
      <c r="N823" s="1221"/>
      <c r="O823" s="1221"/>
      <c r="P823" s="1221"/>
      <c r="Q823" s="1221"/>
      <c r="R823" s="1221"/>
      <c r="S823" s="1221"/>
      <c r="T823" s="1221"/>
      <c r="U823" s="1221"/>
      <c r="V823" s="1221"/>
      <c r="W823" s="1221"/>
      <c r="X823" s="1221"/>
      <c r="Y823" s="1221"/>
      <c r="Z823" s="1221"/>
    </row>
    <row r="824" ht="15.75" customHeight="1">
      <c r="A824" s="1221"/>
      <c r="B824" s="1221"/>
      <c r="C824" s="1221"/>
      <c r="D824" s="1221"/>
      <c r="E824" s="1221"/>
      <c r="F824" s="1221"/>
      <c r="G824" s="1221"/>
      <c r="H824" s="1221"/>
      <c r="I824" s="1221"/>
      <c r="J824" s="1221"/>
      <c r="K824" s="1221"/>
      <c r="L824" s="1221"/>
      <c r="M824" s="1221"/>
      <c r="N824" s="1221"/>
      <c r="O824" s="1221"/>
      <c r="P824" s="1221"/>
      <c r="Q824" s="1221"/>
      <c r="R824" s="1221"/>
      <c r="S824" s="1221"/>
      <c r="T824" s="1221"/>
      <c r="U824" s="1221"/>
      <c r="V824" s="1221"/>
      <c r="W824" s="1221"/>
      <c r="X824" s="1221"/>
      <c r="Y824" s="1221"/>
      <c r="Z824" s="1221"/>
    </row>
    <row r="825" ht="15.75" customHeight="1">
      <c r="A825" s="1221"/>
      <c r="B825" s="1221"/>
      <c r="C825" s="1221"/>
      <c r="D825" s="1221"/>
      <c r="E825" s="1221"/>
      <c r="F825" s="1221"/>
      <c r="G825" s="1221"/>
      <c r="H825" s="1221"/>
      <c r="I825" s="1221"/>
      <c r="J825" s="1221"/>
      <c r="K825" s="1221"/>
      <c r="L825" s="1221"/>
      <c r="M825" s="1221"/>
      <c r="N825" s="1221"/>
      <c r="O825" s="1221"/>
      <c r="P825" s="1221"/>
      <c r="Q825" s="1221"/>
      <c r="R825" s="1221"/>
      <c r="S825" s="1221"/>
      <c r="T825" s="1221"/>
      <c r="U825" s="1221"/>
      <c r="V825" s="1221"/>
      <c r="W825" s="1221"/>
      <c r="X825" s="1221"/>
      <c r="Y825" s="1221"/>
      <c r="Z825" s="1221"/>
    </row>
    <row r="826" ht="15.75" customHeight="1">
      <c r="A826" s="1221"/>
      <c r="B826" s="1221"/>
      <c r="C826" s="1221"/>
      <c r="D826" s="1221"/>
      <c r="E826" s="1221"/>
      <c r="F826" s="1221"/>
      <c r="G826" s="1221"/>
      <c r="H826" s="1221"/>
      <c r="I826" s="1221"/>
      <c r="J826" s="1221"/>
      <c r="K826" s="1221"/>
      <c r="L826" s="1221"/>
      <c r="M826" s="1221"/>
      <c r="N826" s="1221"/>
      <c r="O826" s="1221"/>
      <c r="P826" s="1221"/>
      <c r="Q826" s="1221"/>
      <c r="R826" s="1221"/>
      <c r="S826" s="1221"/>
      <c r="T826" s="1221"/>
      <c r="U826" s="1221"/>
      <c r="V826" s="1221"/>
      <c r="W826" s="1221"/>
      <c r="X826" s="1221"/>
      <c r="Y826" s="1221"/>
      <c r="Z826" s="1221"/>
    </row>
    <row r="827" ht="15.75" customHeight="1">
      <c r="A827" s="1221"/>
      <c r="B827" s="1221"/>
      <c r="C827" s="1221"/>
      <c r="D827" s="1221"/>
      <c r="E827" s="1221"/>
      <c r="F827" s="1221"/>
      <c r="G827" s="1221"/>
      <c r="H827" s="1221"/>
      <c r="I827" s="1221"/>
      <c r="J827" s="1221"/>
      <c r="K827" s="1221"/>
      <c r="L827" s="1221"/>
      <c r="M827" s="1221"/>
      <c r="N827" s="1221"/>
      <c r="O827" s="1221"/>
      <c r="P827" s="1221"/>
      <c r="Q827" s="1221"/>
      <c r="R827" s="1221"/>
      <c r="S827" s="1221"/>
      <c r="T827" s="1221"/>
      <c r="U827" s="1221"/>
      <c r="V827" s="1221"/>
      <c r="W827" s="1221"/>
      <c r="X827" s="1221"/>
      <c r="Y827" s="1221"/>
      <c r="Z827" s="1221"/>
    </row>
    <row r="828" ht="15.75" customHeight="1">
      <c r="A828" s="1221"/>
      <c r="B828" s="1221"/>
      <c r="C828" s="1221"/>
      <c r="D828" s="1221"/>
      <c r="E828" s="1221"/>
      <c r="F828" s="1221"/>
      <c r="G828" s="1221"/>
      <c r="H828" s="1221"/>
      <c r="I828" s="1221"/>
      <c r="J828" s="1221"/>
      <c r="K828" s="1221"/>
      <c r="L828" s="1221"/>
      <c r="M828" s="1221"/>
      <c r="N828" s="1221"/>
      <c r="O828" s="1221"/>
      <c r="P828" s="1221"/>
      <c r="Q828" s="1221"/>
      <c r="R828" s="1221"/>
      <c r="S828" s="1221"/>
      <c r="T828" s="1221"/>
      <c r="U828" s="1221"/>
      <c r="V828" s="1221"/>
      <c r="W828" s="1221"/>
      <c r="X828" s="1221"/>
      <c r="Y828" s="1221"/>
      <c r="Z828" s="1221"/>
    </row>
    <row r="829" ht="15.75" customHeight="1">
      <c r="A829" s="1221"/>
      <c r="B829" s="1221"/>
      <c r="C829" s="1221"/>
      <c r="D829" s="1221"/>
      <c r="E829" s="1221"/>
      <c r="F829" s="1221"/>
      <c r="G829" s="1221"/>
      <c r="H829" s="1221"/>
      <c r="I829" s="1221"/>
      <c r="J829" s="1221"/>
      <c r="K829" s="1221"/>
      <c r="L829" s="1221"/>
      <c r="M829" s="1221"/>
      <c r="N829" s="1221"/>
      <c r="O829" s="1221"/>
      <c r="P829" s="1221"/>
      <c r="Q829" s="1221"/>
      <c r="R829" s="1221"/>
      <c r="S829" s="1221"/>
      <c r="T829" s="1221"/>
      <c r="U829" s="1221"/>
      <c r="V829" s="1221"/>
      <c r="W829" s="1221"/>
      <c r="X829" s="1221"/>
      <c r="Y829" s="1221"/>
      <c r="Z829" s="1221"/>
    </row>
    <row r="830" ht="15.75" customHeight="1">
      <c r="A830" s="1221"/>
      <c r="B830" s="1221"/>
      <c r="C830" s="1221"/>
      <c r="D830" s="1221"/>
      <c r="E830" s="1221"/>
      <c r="F830" s="1221"/>
      <c r="G830" s="1221"/>
      <c r="H830" s="1221"/>
      <c r="I830" s="1221"/>
      <c r="J830" s="1221"/>
      <c r="K830" s="1221"/>
      <c r="L830" s="1221"/>
      <c r="M830" s="1221"/>
      <c r="N830" s="1221"/>
      <c r="O830" s="1221"/>
      <c r="P830" s="1221"/>
      <c r="Q830" s="1221"/>
      <c r="R830" s="1221"/>
      <c r="S830" s="1221"/>
      <c r="T830" s="1221"/>
      <c r="U830" s="1221"/>
      <c r="V830" s="1221"/>
      <c r="W830" s="1221"/>
      <c r="X830" s="1221"/>
      <c r="Y830" s="1221"/>
      <c r="Z830" s="1221"/>
    </row>
    <row r="831" ht="15.75" customHeight="1">
      <c r="A831" s="1221"/>
      <c r="B831" s="1221"/>
      <c r="C831" s="1221"/>
      <c r="D831" s="1221"/>
      <c r="E831" s="1221"/>
      <c r="F831" s="1221"/>
      <c r="G831" s="1221"/>
      <c r="H831" s="1221"/>
      <c r="I831" s="1221"/>
      <c r="J831" s="1221"/>
      <c r="K831" s="1221"/>
      <c r="L831" s="1221"/>
      <c r="M831" s="1221"/>
      <c r="N831" s="1221"/>
      <c r="O831" s="1221"/>
      <c r="P831" s="1221"/>
      <c r="Q831" s="1221"/>
      <c r="R831" s="1221"/>
      <c r="S831" s="1221"/>
      <c r="T831" s="1221"/>
      <c r="U831" s="1221"/>
      <c r="V831" s="1221"/>
      <c r="W831" s="1221"/>
      <c r="X831" s="1221"/>
      <c r="Y831" s="1221"/>
      <c r="Z831" s="1221"/>
    </row>
    <row r="832" ht="15.75" customHeight="1">
      <c r="A832" s="1221"/>
      <c r="B832" s="1221"/>
      <c r="C832" s="1221"/>
      <c r="D832" s="1221"/>
      <c r="E832" s="1221"/>
      <c r="F832" s="1221"/>
      <c r="G832" s="1221"/>
      <c r="H832" s="1221"/>
      <c r="I832" s="1221"/>
      <c r="J832" s="1221"/>
      <c r="K832" s="1221"/>
      <c r="L832" s="1221"/>
      <c r="M832" s="1221"/>
      <c r="N832" s="1221"/>
      <c r="O832" s="1221"/>
      <c r="P832" s="1221"/>
      <c r="Q832" s="1221"/>
      <c r="R832" s="1221"/>
      <c r="S832" s="1221"/>
      <c r="T832" s="1221"/>
      <c r="U832" s="1221"/>
      <c r="V832" s="1221"/>
      <c r="W832" s="1221"/>
      <c r="X832" s="1221"/>
      <c r="Y832" s="1221"/>
      <c r="Z832" s="1221"/>
    </row>
    <row r="833" ht="15.75" customHeight="1">
      <c r="A833" s="1221"/>
      <c r="B833" s="1221"/>
      <c r="C833" s="1221"/>
      <c r="D833" s="1221"/>
      <c r="E833" s="1221"/>
      <c r="F833" s="1221"/>
      <c r="G833" s="1221"/>
      <c r="H833" s="1221"/>
      <c r="I833" s="1221"/>
      <c r="J833" s="1221"/>
      <c r="K833" s="1221"/>
      <c r="L833" s="1221"/>
      <c r="M833" s="1221"/>
      <c r="N833" s="1221"/>
      <c r="O833" s="1221"/>
      <c r="P833" s="1221"/>
      <c r="Q833" s="1221"/>
      <c r="R833" s="1221"/>
      <c r="S833" s="1221"/>
      <c r="T833" s="1221"/>
      <c r="U833" s="1221"/>
      <c r="V833" s="1221"/>
      <c r="W833" s="1221"/>
      <c r="X833" s="1221"/>
      <c r="Y833" s="1221"/>
      <c r="Z833" s="1221"/>
    </row>
    <row r="834" ht="15.75" customHeight="1">
      <c r="A834" s="1221"/>
      <c r="B834" s="1221"/>
      <c r="C834" s="1221"/>
      <c r="D834" s="1221"/>
      <c r="E834" s="1221"/>
      <c r="F834" s="1221"/>
      <c r="G834" s="1221"/>
      <c r="H834" s="1221"/>
      <c r="I834" s="1221"/>
      <c r="J834" s="1221"/>
      <c r="K834" s="1221"/>
      <c r="L834" s="1221"/>
      <c r="M834" s="1221"/>
      <c r="N834" s="1221"/>
      <c r="O834" s="1221"/>
      <c r="P834" s="1221"/>
      <c r="Q834" s="1221"/>
      <c r="R834" s="1221"/>
      <c r="S834" s="1221"/>
      <c r="T834" s="1221"/>
      <c r="U834" s="1221"/>
      <c r="V834" s="1221"/>
      <c r="W834" s="1221"/>
      <c r="X834" s="1221"/>
      <c r="Y834" s="1221"/>
      <c r="Z834" s="1221"/>
    </row>
    <row r="835" ht="15.75" customHeight="1">
      <c r="A835" s="1221"/>
      <c r="B835" s="1221"/>
      <c r="C835" s="1221"/>
      <c r="D835" s="1221"/>
      <c r="E835" s="1221"/>
      <c r="F835" s="1221"/>
      <c r="G835" s="1221"/>
      <c r="H835" s="1221"/>
      <c r="I835" s="1221"/>
      <c r="J835" s="1221"/>
      <c r="K835" s="1221"/>
      <c r="L835" s="1221"/>
      <c r="M835" s="1221"/>
      <c r="N835" s="1221"/>
      <c r="O835" s="1221"/>
      <c r="P835" s="1221"/>
      <c r="Q835" s="1221"/>
      <c r="R835" s="1221"/>
      <c r="S835" s="1221"/>
      <c r="T835" s="1221"/>
      <c r="U835" s="1221"/>
      <c r="V835" s="1221"/>
      <c r="W835" s="1221"/>
      <c r="X835" s="1221"/>
      <c r="Y835" s="1221"/>
      <c r="Z835" s="1221"/>
    </row>
    <row r="836" ht="15.75" customHeight="1">
      <c r="A836" s="1221"/>
      <c r="B836" s="1221"/>
      <c r="C836" s="1221"/>
      <c r="D836" s="1221"/>
      <c r="E836" s="1221"/>
      <c r="F836" s="1221"/>
      <c r="G836" s="1221"/>
      <c r="H836" s="1221"/>
      <c r="I836" s="1221"/>
      <c r="J836" s="1221"/>
      <c r="K836" s="1221"/>
      <c r="L836" s="1221"/>
      <c r="M836" s="1221"/>
      <c r="N836" s="1221"/>
      <c r="O836" s="1221"/>
      <c r="P836" s="1221"/>
      <c r="Q836" s="1221"/>
      <c r="R836" s="1221"/>
      <c r="S836" s="1221"/>
      <c r="T836" s="1221"/>
      <c r="U836" s="1221"/>
      <c r="V836" s="1221"/>
      <c r="W836" s="1221"/>
      <c r="X836" s="1221"/>
      <c r="Y836" s="1221"/>
      <c r="Z836" s="1221"/>
    </row>
    <row r="837" ht="15.75" customHeight="1">
      <c r="A837" s="1221"/>
      <c r="B837" s="1221"/>
      <c r="C837" s="1221"/>
      <c r="D837" s="1221"/>
      <c r="E837" s="1221"/>
      <c r="F837" s="1221"/>
      <c r="G837" s="1221"/>
      <c r="H837" s="1221"/>
      <c r="I837" s="1221"/>
      <c r="J837" s="1221"/>
      <c r="K837" s="1221"/>
      <c r="L837" s="1221"/>
      <c r="M837" s="1221"/>
      <c r="N837" s="1221"/>
      <c r="O837" s="1221"/>
      <c r="P837" s="1221"/>
      <c r="Q837" s="1221"/>
      <c r="R837" s="1221"/>
      <c r="S837" s="1221"/>
      <c r="T837" s="1221"/>
      <c r="U837" s="1221"/>
      <c r="V837" s="1221"/>
      <c r="W837" s="1221"/>
      <c r="X837" s="1221"/>
      <c r="Y837" s="1221"/>
      <c r="Z837" s="1221"/>
    </row>
    <row r="838" ht="15.75" customHeight="1">
      <c r="A838" s="1221"/>
      <c r="B838" s="1221"/>
      <c r="C838" s="1221"/>
      <c r="D838" s="1221"/>
      <c r="E838" s="1221"/>
      <c r="F838" s="1221"/>
      <c r="G838" s="1221"/>
      <c r="H838" s="1221"/>
      <c r="I838" s="1221"/>
      <c r="J838" s="1221"/>
      <c r="K838" s="1221"/>
      <c r="L838" s="1221"/>
      <c r="M838" s="1221"/>
      <c r="N838" s="1221"/>
      <c r="O838" s="1221"/>
      <c r="P838" s="1221"/>
      <c r="Q838" s="1221"/>
      <c r="R838" s="1221"/>
      <c r="S838" s="1221"/>
      <c r="T838" s="1221"/>
      <c r="U838" s="1221"/>
      <c r="V838" s="1221"/>
      <c r="W838" s="1221"/>
      <c r="X838" s="1221"/>
      <c r="Y838" s="1221"/>
      <c r="Z838" s="1221"/>
    </row>
    <row r="839" ht="15.75" customHeight="1">
      <c r="A839" s="1221"/>
      <c r="B839" s="1221"/>
      <c r="C839" s="1221"/>
      <c r="D839" s="1221"/>
      <c r="E839" s="1221"/>
      <c r="F839" s="1221"/>
      <c r="G839" s="1221"/>
      <c r="H839" s="1221"/>
      <c r="I839" s="1221"/>
      <c r="J839" s="1221"/>
      <c r="K839" s="1221"/>
      <c r="L839" s="1221"/>
      <c r="M839" s="1221"/>
      <c r="N839" s="1221"/>
      <c r="O839" s="1221"/>
      <c r="P839" s="1221"/>
      <c r="Q839" s="1221"/>
      <c r="R839" s="1221"/>
      <c r="S839" s="1221"/>
      <c r="T839" s="1221"/>
      <c r="U839" s="1221"/>
      <c r="V839" s="1221"/>
      <c r="W839" s="1221"/>
      <c r="X839" s="1221"/>
      <c r="Y839" s="1221"/>
      <c r="Z839" s="1221"/>
    </row>
    <row r="840" ht="15.75" customHeight="1">
      <c r="A840" s="1221"/>
      <c r="B840" s="1221"/>
      <c r="C840" s="1221"/>
      <c r="D840" s="1221"/>
      <c r="E840" s="1221"/>
      <c r="F840" s="1221"/>
      <c r="G840" s="1221"/>
      <c r="H840" s="1221"/>
      <c r="I840" s="1221"/>
      <c r="J840" s="1221"/>
      <c r="K840" s="1221"/>
      <c r="L840" s="1221"/>
      <c r="M840" s="1221"/>
      <c r="N840" s="1221"/>
      <c r="O840" s="1221"/>
      <c r="P840" s="1221"/>
      <c r="Q840" s="1221"/>
      <c r="R840" s="1221"/>
      <c r="S840" s="1221"/>
      <c r="T840" s="1221"/>
      <c r="U840" s="1221"/>
      <c r="V840" s="1221"/>
      <c r="W840" s="1221"/>
      <c r="X840" s="1221"/>
      <c r="Y840" s="1221"/>
      <c r="Z840" s="1221"/>
    </row>
    <row r="841" ht="15.75" customHeight="1">
      <c r="A841" s="1221"/>
      <c r="B841" s="1221"/>
      <c r="C841" s="1221"/>
      <c r="D841" s="1221"/>
      <c r="E841" s="1221"/>
      <c r="F841" s="1221"/>
      <c r="G841" s="1221"/>
      <c r="H841" s="1221"/>
      <c r="I841" s="1221"/>
      <c r="J841" s="1221"/>
      <c r="K841" s="1221"/>
      <c r="L841" s="1221"/>
      <c r="M841" s="1221"/>
      <c r="N841" s="1221"/>
      <c r="O841" s="1221"/>
      <c r="P841" s="1221"/>
      <c r="Q841" s="1221"/>
      <c r="R841" s="1221"/>
      <c r="S841" s="1221"/>
      <c r="T841" s="1221"/>
      <c r="U841" s="1221"/>
      <c r="V841" s="1221"/>
      <c r="W841" s="1221"/>
      <c r="X841" s="1221"/>
      <c r="Y841" s="1221"/>
      <c r="Z841" s="1221"/>
    </row>
    <row r="842" ht="15.75" customHeight="1">
      <c r="A842" s="1221"/>
      <c r="B842" s="1221"/>
      <c r="C842" s="1221"/>
      <c r="D842" s="1221"/>
      <c r="E842" s="1221"/>
      <c r="F842" s="1221"/>
      <c r="G842" s="1221"/>
      <c r="H842" s="1221"/>
      <c r="I842" s="1221"/>
      <c r="J842" s="1221"/>
      <c r="K842" s="1221"/>
      <c r="L842" s="1221"/>
      <c r="M842" s="1221"/>
      <c r="N842" s="1221"/>
      <c r="O842" s="1221"/>
      <c r="P842" s="1221"/>
      <c r="Q842" s="1221"/>
      <c r="R842" s="1221"/>
      <c r="S842" s="1221"/>
      <c r="T842" s="1221"/>
      <c r="U842" s="1221"/>
      <c r="V842" s="1221"/>
      <c r="W842" s="1221"/>
      <c r="X842" s="1221"/>
      <c r="Y842" s="1221"/>
      <c r="Z842" s="1221"/>
    </row>
    <row r="843" ht="15.75" customHeight="1">
      <c r="A843" s="1221"/>
      <c r="B843" s="1221"/>
      <c r="C843" s="1221"/>
      <c r="D843" s="1221"/>
      <c r="E843" s="1221"/>
      <c r="F843" s="1221"/>
      <c r="G843" s="1221"/>
      <c r="H843" s="1221"/>
      <c r="I843" s="1221"/>
      <c r="J843" s="1221"/>
      <c r="K843" s="1221"/>
      <c r="L843" s="1221"/>
      <c r="M843" s="1221"/>
      <c r="N843" s="1221"/>
      <c r="O843" s="1221"/>
      <c r="P843" s="1221"/>
      <c r="Q843" s="1221"/>
      <c r="R843" s="1221"/>
      <c r="S843" s="1221"/>
      <c r="T843" s="1221"/>
      <c r="U843" s="1221"/>
      <c r="V843" s="1221"/>
      <c r="W843" s="1221"/>
      <c r="X843" s="1221"/>
      <c r="Y843" s="1221"/>
      <c r="Z843" s="1221"/>
    </row>
    <row r="844" ht="15.75" customHeight="1">
      <c r="A844" s="1221"/>
      <c r="B844" s="1221"/>
      <c r="C844" s="1221"/>
      <c r="D844" s="1221"/>
      <c r="E844" s="1221"/>
      <c r="F844" s="1221"/>
      <c r="G844" s="1221"/>
      <c r="H844" s="1221"/>
      <c r="I844" s="1221"/>
      <c r="J844" s="1221"/>
      <c r="K844" s="1221"/>
      <c r="L844" s="1221"/>
      <c r="M844" s="1221"/>
      <c r="N844" s="1221"/>
      <c r="O844" s="1221"/>
      <c r="P844" s="1221"/>
      <c r="Q844" s="1221"/>
      <c r="R844" s="1221"/>
      <c r="S844" s="1221"/>
      <c r="T844" s="1221"/>
      <c r="U844" s="1221"/>
      <c r="V844" s="1221"/>
      <c r="W844" s="1221"/>
      <c r="X844" s="1221"/>
      <c r="Y844" s="1221"/>
      <c r="Z844" s="1221"/>
    </row>
    <row r="845" ht="15.75" customHeight="1">
      <c r="A845" s="1221"/>
      <c r="B845" s="1221"/>
      <c r="C845" s="1221"/>
      <c r="D845" s="1221"/>
      <c r="E845" s="1221"/>
      <c r="F845" s="1221"/>
      <c r="G845" s="1221"/>
      <c r="H845" s="1221"/>
      <c r="I845" s="1221"/>
      <c r="J845" s="1221"/>
      <c r="K845" s="1221"/>
      <c r="L845" s="1221"/>
      <c r="M845" s="1221"/>
      <c r="N845" s="1221"/>
      <c r="O845" s="1221"/>
      <c r="P845" s="1221"/>
      <c r="Q845" s="1221"/>
      <c r="R845" s="1221"/>
      <c r="S845" s="1221"/>
      <c r="T845" s="1221"/>
      <c r="U845" s="1221"/>
      <c r="V845" s="1221"/>
      <c r="W845" s="1221"/>
      <c r="X845" s="1221"/>
      <c r="Y845" s="1221"/>
      <c r="Z845" s="1221"/>
    </row>
    <row r="846" ht="15.75" customHeight="1">
      <c r="A846" s="1221"/>
      <c r="B846" s="1221"/>
      <c r="C846" s="1221"/>
      <c r="D846" s="1221"/>
      <c r="E846" s="1221"/>
      <c r="F846" s="1221"/>
      <c r="G846" s="1221"/>
      <c r="H846" s="1221"/>
      <c r="I846" s="1221"/>
      <c r="J846" s="1221"/>
      <c r="K846" s="1221"/>
      <c r="L846" s="1221"/>
      <c r="M846" s="1221"/>
      <c r="N846" s="1221"/>
      <c r="O846" s="1221"/>
      <c r="P846" s="1221"/>
      <c r="Q846" s="1221"/>
      <c r="R846" s="1221"/>
      <c r="S846" s="1221"/>
      <c r="T846" s="1221"/>
      <c r="U846" s="1221"/>
      <c r="V846" s="1221"/>
      <c r="W846" s="1221"/>
      <c r="X846" s="1221"/>
      <c r="Y846" s="1221"/>
      <c r="Z846" s="1221"/>
    </row>
    <row r="847" ht="15.75" customHeight="1">
      <c r="A847" s="1221"/>
      <c r="B847" s="1221"/>
      <c r="C847" s="1221"/>
      <c r="D847" s="1221"/>
      <c r="E847" s="1221"/>
      <c r="F847" s="1221"/>
      <c r="G847" s="1221"/>
      <c r="H847" s="1221"/>
      <c r="I847" s="1221"/>
      <c r="J847" s="1221"/>
      <c r="K847" s="1221"/>
      <c r="L847" s="1221"/>
      <c r="M847" s="1221"/>
      <c r="N847" s="1221"/>
      <c r="O847" s="1221"/>
      <c r="P847" s="1221"/>
      <c r="Q847" s="1221"/>
      <c r="R847" s="1221"/>
      <c r="S847" s="1221"/>
      <c r="T847" s="1221"/>
      <c r="U847" s="1221"/>
      <c r="V847" s="1221"/>
      <c r="W847" s="1221"/>
      <c r="X847" s="1221"/>
      <c r="Y847" s="1221"/>
      <c r="Z847" s="1221"/>
    </row>
    <row r="848" ht="15.75" customHeight="1">
      <c r="A848" s="1221"/>
      <c r="B848" s="1221"/>
      <c r="C848" s="1221"/>
      <c r="D848" s="1221"/>
      <c r="E848" s="1221"/>
      <c r="F848" s="1221"/>
      <c r="G848" s="1221"/>
      <c r="H848" s="1221"/>
      <c r="I848" s="1221"/>
      <c r="J848" s="1221"/>
      <c r="K848" s="1221"/>
      <c r="L848" s="1221"/>
      <c r="M848" s="1221"/>
      <c r="N848" s="1221"/>
      <c r="O848" s="1221"/>
      <c r="P848" s="1221"/>
      <c r="Q848" s="1221"/>
      <c r="R848" s="1221"/>
      <c r="S848" s="1221"/>
      <c r="T848" s="1221"/>
      <c r="U848" s="1221"/>
      <c r="V848" s="1221"/>
      <c r="W848" s="1221"/>
      <c r="X848" s="1221"/>
      <c r="Y848" s="1221"/>
      <c r="Z848" s="1221"/>
    </row>
    <row r="849" ht="15.75" customHeight="1">
      <c r="A849" s="1221"/>
      <c r="B849" s="1221"/>
      <c r="C849" s="1221"/>
      <c r="D849" s="1221"/>
      <c r="E849" s="1221"/>
      <c r="F849" s="1221"/>
      <c r="G849" s="1221"/>
      <c r="H849" s="1221"/>
      <c r="I849" s="1221"/>
      <c r="J849" s="1221"/>
      <c r="K849" s="1221"/>
      <c r="L849" s="1221"/>
      <c r="M849" s="1221"/>
      <c r="N849" s="1221"/>
      <c r="O849" s="1221"/>
      <c r="P849" s="1221"/>
      <c r="Q849" s="1221"/>
      <c r="R849" s="1221"/>
      <c r="S849" s="1221"/>
      <c r="T849" s="1221"/>
      <c r="U849" s="1221"/>
      <c r="V849" s="1221"/>
      <c r="W849" s="1221"/>
      <c r="X849" s="1221"/>
      <c r="Y849" s="1221"/>
      <c r="Z849" s="1221"/>
    </row>
    <row r="850" ht="15.75" customHeight="1">
      <c r="A850" s="1221"/>
      <c r="B850" s="1221"/>
      <c r="C850" s="1221"/>
      <c r="D850" s="1221"/>
      <c r="E850" s="1221"/>
      <c r="F850" s="1221"/>
      <c r="G850" s="1221"/>
      <c r="H850" s="1221"/>
      <c r="I850" s="1221"/>
      <c r="J850" s="1221"/>
      <c r="K850" s="1221"/>
      <c r="L850" s="1221"/>
      <c r="M850" s="1221"/>
      <c r="N850" s="1221"/>
      <c r="O850" s="1221"/>
      <c r="P850" s="1221"/>
      <c r="Q850" s="1221"/>
      <c r="R850" s="1221"/>
      <c r="S850" s="1221"/>
      <c r="T850" s="1221"/>
      <c r="U850" s="1221"/>
      <c r="V850" s="1221"/>
      <c r="W850" s="1221"/>
      <c r="X850" s="1221"/>
      <c r="Y850" s="1221"/>
      <c r="Z850" s="1221"/>
    </row>
    <row r="851" ht="15.75" customHeight="1">
      <c r="A851" s="1221"/>
      <c r="B851" s="1221"/>
      <c r="C851" s="1221"/>
      <c r="D851" s="1221"/>
      <c r="E851" s="1221"/>
      <c r="F851" s="1221"/>
      <c r="G851" s="1221"/>
      <c r="H851" s="1221"/>
      <c r="I851" s="1221"/>
      <c r="J851" s="1221"/>
      <c r="K851" s="1221"/>
      <c r="L851" s="1221"/>
      <c r="M851" s="1221"/>
      <c r="N851" s="1221"/>
      <c r="O851" s="1221"/>
      <c r="P851" s="1221"/>
      <c r="Q851" s="1221"/>
      <c r="R851" s="1221"/>
      <c r="S851" s="1221"/>
      <c r="T851" s="1221"/>
      <c r="U851" s="1221"/>
      <c r="V851" s="1221"/>
      <c r="W851" s="1221"/>
      <c r="X851" s="1221"/>
      <c r="Y851" s="1221"/>
      <c r="Z851" s="1221"/>
    </row>
    <row r="852" ht="15.75" customHeight="1">
      <c r="A852" s="1221"/>
      <c r="B852" s="1221"/>
      <c r="C852" s="1221"/>
      <c r="D852" s="1221"/>
      <c r="E852" s="1221"/>
      <c r="F852" s="1221"/>
      <c r="G852" s="1221"/>
      <c r="H852" s="1221"/>
      <c r="I852" s="1221"/>
      <c r="J852" s="1221"/>
      <c r="K852" s="1221"/>
      <c r="L852" s="1221"/>
      <c r="M852" s="1221"/>
      <c r="N852" s="1221"/>
      <c r="O852" s="1221"/>
      <c r="P852" s="1221"/>
      <c r="Q852" s="1221"/>
      <c r="R852" s="1221"/>
      <c r="S852" s="1221"/>
      <c r="T852" s="1221"/>
      <c r="U852" s="1221"/>
      <c r="V852" s="1221"/>
      <c r="W852" s="1221"/>
      <c r="X852" s="1221"/>
      <c r="Y852" s="1221"/>
      <c r="Z852" s="1221"/>
    </row>
    <row r="853" ht="15.75" customHeight="1">
      <c r="A853" s="1221"/>
      <c r="B853" s="1221"/>
      <c r="C853" s="1221"/>
      <c r="D853" s="1221"/>
      <c r="E853" s="1221"/>
      <c r="F853" s="1221"/>
      <c r="G853" s="1221"/>
      <c r="H853" s="1221"/>
      <c r="I853" s="1221"/>
      <c r="J853" s="1221"/>
      <c r="K853" s="1221"/>
      <c r="L853" s="1221"/>
      <c r="M853" s="1221"/>
      <c r="N853" s="1221"/>
      <c r="O853" s="1221"/>
      <c r="P853" s="1221"/>
      <c r="Q853" s="1221"/>
      <c r="R853" s="1221"/>
      <c r="S853" s="1221"/>
      <c r="T853" s="1221"/>
      <c r="U853" s="1221"/>
      <c r="V853" s="1221"/>
      <c r="W853" s="1221"/>
      <c r="X853" s="1221"/>
      <c r="Y853" s="1221"/>
      <c r="Z853" s="1221"/>
    </row>
    <row r="854" ht="15.75" customHeight="1">
      <c r="A854" s="1221"/>
      <c r="B854" s="1221"/>
      <c r="C854" s="1221"/>
      <c r="D854" s="1221"/>
      <c r="E854" s="1221"/>
      <c r="F854" s="1221"/>
      <c r="G854" s="1221"/>
      <c r="H854" s="1221"/>
      <c r="I854" s="1221"/>
      <c r="J854" s="1221"/>
      <c r="K854" s="1221"/>
      <c r="L854" s="1221"/>
      <c r="M854" s="1221"/>
      <c r="N854" s="1221"/>
      <c r="O854" s="1221"/>
      <c r="P854" s="1221"/>
      <c r="Q854" s="1221"/>
      <c r="R854" s="1221"/>
      <c r="S854" s="1221"/>
      <c r="T854" s="1221"/>
      <c r="U854" s="1221"/>
      <c r="V854" s="1221"/>
      <c r="W854" s="1221"/>
      <c r="X854" s="1221"/>
      <c r="Y854" s="1221"/>
      <c r="Z854" s="1221"/>
    </row>
    <row r="855" ht="15.75" customHeight="1">
      <c r="A855" s="1221"/>
      <c r="B855" s="1221"/>
      <c r="C855" s="1221"/>
      <c r="D855" s="1221"/>
      <c r="E855" s="1221"/>
      <c r="F855" s="1221"/>
      <c r="G855" s="1221"/>
      <c r="H855" s="1221"/>
      <c r="I855" s="1221"/>
      <c r="J855" s="1221"/>
      <c r="K855" s="1221"/>
      <c r="L855" s="1221"/>
      <c r="M855" s="1221"/>
      <c r="N855" s="1221"/>
      <c r="O855" s="1221"/>
      <c r="P855" s="1221"/>
      <c r="Q855" s="1221"/>
      <c r="R855" s="1221"/>
      <c r="S855" s="1221"/>
      <c r="T855" s="1221"/>
      <c r="U855" s="1221"/>
      <c r="V855" s="1221"/>
      <c r="W855" s="1221"/>
      <c r="X855" s="1221"/>
      <c r="Y855" s="1221"/>
      <c r="Z855" s="1221"/>
    </row>
    <row r="856" ht="15.75" customHeight="1">
      <c r="A856" s="1221"/>
      <c r="B856" s="1221"/>
      <c r="C856" s="1221"/>
      <c r="D856" s="1221"/>
      <c r="E856" s="1221"/>
      <c r="F856" s="1221"/>
      <c r="G856" s="1221"/>
      <c r="H856" s="1221"/>
      <c r="I856" s="1221"/>
      <c r="J856" s="1221"/>
      <c r="K856" s="1221"/>
      <c r="L856" s="1221"/>
      <c r="M856" s="1221"/>
      <c r="N856" s="1221"/>
      <c r="O856" s="1221"/>
      <c r="P856" s="1221"/>
      <c r="Q856" s="1221"/>
      <c r="R856" s="1221"/>
      <c r="S856" s="1221"/>
      <c r="T856" s="1221"/>
      <c r="U856" s="1221"/>
      <c r="V856" s="1221"/>
      <c r="W856" s="1221"/>
      <c r="X856" s="1221"/>
      <c r="Y856" s="1221"/>
      <c r="Z856" s="1221"/>
    </row>
    <row r="857" ht="15.75" customHeight="1">
      <c r="A857" s="1221"/>
      <c r="B857" s="1221"/>
      <c r="C857" s="1221"/>
      <c r="D857" s="1221"/>
      <c r="E857" s="1221"/>
      <c r="F857" s="1221"/>
      <c r="G857" s="1221"/>
      <c r="H857" s="1221"/>
      <c r="I857" s="1221"/>
      <c r="J857" s="1221"/>
      <c r="K857" s="1221"/>
      <c r="L857" s="1221"/>
      <c r="M857" s="1221"/>
      <c r="N857" s="1221"/>
      <c r="O857" s="1221"/>
      <c r="P857" s="1221"/>
      <c r="Q857" s="1221"/>
      <c r="R857" s="1221"/>
      <c r="S857" s="1221"/>
      <c r="T857" s="1221"/>
      <c r="U857" s="1221"/>
      <c r="V857" s="1221"/>
      <c r="W857" s="1221"/>
      <c r="X857" s="1221"/>
      <c r="Y857" s="1221"/>
      <c r="Z857" s="1221"/>
    </row>
    <row r="858" ht="15.75" customHeight="1">
      <c r="A858" s="1221"/>
      <c r="B858" s="1221"/>
      <c r="C858" s="1221"/>
      <c r="D858" s="1221"/>
      <c r="E858" s="1221"/>
      <c r="F858" s="1221"/>
      <c r="G858" s="1221"/>
      <c r="H858" s="1221"/>
      <c r="I858" s="1221"/>
      <c r="J858" s="1221"/>
      <c r="K858" s="1221"/>
      <c r="L858" s="1221"/>
      <c r="M858" s="1221"/>
      <c r="N858" s="1221"/>
      <c r="O858" s="1221"/>
      <c r="P858" s="1221"/>
      <c r="Q858" s="1221"/>
      <c r="R858" s="1221"/>
      <c r="S858" s="1221"/>
      <c r="T858" s="1221"/>
      <c r="U858" s="1221"/>
      <c r="V858" s="1221"/>
      <c r="W858" s="1221"/>
      <c r="X858" s="1221"/>
      <c r="Y858" s="1221"/>
      <c r="Z858" s="1221"/>
    </row>
    <row r="859" ht="15.75" customHeight="1">
      <c r="A859" s="1221"/>
      <c r="B859" s="1221"/>
      <c r="C859" s="1221"/>
      <c r="D859" s="1221"/>
      <c r="E859" s="1221"/>
      <c r="F859" s="1221"/>
      <c r="G859" s="1221"/>
      <c r="H859" s="1221"/>
      <c r="I859" s="1221"/>
      <c r="J859" s="1221"/>
      <c r="K859" s="1221"/>
      <c r="L859" s="1221"/>
      <c r="M859" s="1221"/>
      <c r="N859" s="1221"/>
      <c r="O859" s="1221"/>
      <c r="P859" s="1221"/>
      <c r="Q859" s="1221"/>
      <c r="R859" s="1221"/>
      <c r="S859" s="1221"/>
      <c r="T859" s="1221"/>
      <c r="U859" s="1221"/>
      <c r="V859" s="1221"/>
      <c r="W859" s="1221"/>
      <c r="X859" s="1221"/>
      <c r="Y859" s="1221"/>
      <c r="Z859" s="1221"/>
    </row>
    <row r="860" ht="15.75" customHeight="1">
      <c r="A860" s="1221"/>
      <c r="B860" s="1221"/>
      <c r="C860" s="1221"/>
      <c r="D860" s="1221"/>
      <c r="E860" s="1221"/>
      <c r="F860" s="1221"/>
      <c r="G860" s="1221"/>
      <c r="H860" s="1221"/>
      <c r="I860" s="1221"/>
      <c r="J860" s="1221"/>
      <c r="K860" s="1221"/>
      <c r="L860" s="1221"/>
      <c r="M860" s="1221"/>
      <c r="N860" s="1221"/>
      <c r="O860" s="1221"/>
      <c r="P860" s="1221"/>
      <c r="Q860" s="1221"/>
      <c r="R860" s="1221"/>
      <c r="S860" s="1221"/>
      <c r="T860" s="1221"/>
      <c r="U860" s="1221"/>
      <c r="V860" s="1221"/>
      <c r="W860" s="1221"/>
      <c r="X860" s="1221"/>
      <c r="Y860" s="1221"/>
      <c r="Z860" s="1221"/>
    </row>
    <row r="861" ht="15.75" customHeight="1">
      <c r="A861" s="1221"/>
      <c r="B861" s="1221"/>
      <c r="C861" s="1221"/>
      <c r="D861" s="1221"/>
      <c r="E861" s="1221"/>
      <c r="F861" s="1221"/>
      <c r="G861" s="1221"/>
      <c r="H861" s="1221"/>
      <c r="I861" s="1221"/>
      <c r="J861" s="1221"/>
      <c r="K861" s="1221"/>
      <c r="L861" s="1221"/>
      <c r="M861" s="1221"/>
      <c r="N861" s="1221"/>
      <c r="O861" s="1221"/>
      <c r="P861" s="1221"/>
      <c r="Q861" s="1221"/>
      <c r="R861" s="1221"/>
      <c r="S861" s="1221"/>
      <c r="T861" s="1221"/>
      <c r="U861" s="1221"/>
      <c r="V861" s="1221"/>
      <c r="W861" s="1221"/>
      <c r="X861" s="1221"/>
      <c r="Y861" s="1221"/>
      <c r="Z861" s="1221"/>
    </row>
    <row r="862" ht="15.75" customHeight="1">
      <c r="A862" s="1221"/>
      <c r="B862" s="1221"/>
      <c r="C862" s="1221"/>
      <c r="D862" s="1221"/>
      <c r="E862" s="1221"/>
      <c r="F862" s="1221"/>
      <c r="G862" s="1221"/>
      <c r="H862" s="1221"/>
      <c r="I862" s="1221"/>
      <c r="J862" s="1221"/>
      <c r="K862" s="1221"/>
      <c r="L862" s="1221"/>
      <c r="M862" s="1221"/>
      <c r="N862" s="1221"/>
      <c r="O862" s="1221"/>
      <c r="P862" s="1221"/>
      <c r="Q862" s="1221"/>
      <c r="R862" s="1221"/>
      <c r="S862" s="1221"/>
      <c r="T862" s="1221"/>
      <c r="U862" s="1221"/>
      <c r="V862" s="1221"/>
      <c r="W862" s="1221"/>
      <c r="X862" s="1221"/>
      <c r="Y862" s="1221"/>
      <c r="Z862" s="1221"/>
    </row>
    <row r="863" ht="15.75" customHeight="1">
      <c r="A863" s="1221"/>
      <c r="B863" s="1221"/>
      <c r="C863" s="1221"/>
      <c r="D863" s="1221"/>
      <c r="E863" s="1221"/>
      <c r="F863" s="1221"/>
      <c r="G863" s="1221"/>
      <c r="H863" s="1221"/>
      <c r="I863" s="1221"/>
      <c r="J863" s="1221"/>
      <c r="K863" s="1221"/>
      <c r="L863" s="1221"/>
      <c r="M863" s="1221"/>
      <c r="N863" s="1221"/>
      <c r="O863" s="1221"/>
      <c r="P863" s="1221"/>
      <c r="Q863" s="1221"/>
      <c r="R863" s="1221"/>
      <c r="S863" s="1221"/>
      <c r="T863" s="1221"/>
      <c r="U863" s="1221"/>
      <c r="V863" s="1221"/>
      <c r="W863" s="1221"/>
      <c r="X863" s="1221"/>
      <c r="Y863" s="1221"/>
      <c r="Z863" s="1221"/>
    </row>
    <row r="864" ht="15.75" customHeight="1">
      <c r="A864" s="1221"/>
      <c r="B864" s="1221"/>
      <c r="C864" s="1221"/>
      <c r="D864" s="1221"/>
      <c r="E864" s="1221"/>
      <c r="F864" s="1221"/>
      <c r="G864" s="1221"/>
      <c r="H864" s="1221"/>
      <c r="I864" s="1221"/>
      <c r="J864" s="1221"/>
      <c r="K864" s="1221"/>
      <c r="L864" s="1221"/>
      <c r="M864" s="1221"/>
      <c r="N864" s="1221"/>
      <c r="O864" s="1221"/>
      <c r="P864" s="1221"/>
      <c r="Q864" s="1221"/>
      <c r="R864" s="1221"/>
      <c r="S864" s="1221"/>
      <c r="T864" s="1221"/>
      <c r="U864" s="1221"/>
      <c r="V864" s="1221"/>
      <c r="W864" s="1221"/>
      <c r="X864" s="1221"/>
      <c r="Y864" s="1221"/>
      <c r="Z864" s="1221"/>
    </row>
    <row r="865" ht="15.75" customHeight="1">
      <c r="A865" s="1221"/>
      <c r="B865" s="1221"/>
      <c r="C865" s="1221"/>
      <c r="D865" s="1221"/>
      <c r="E865" s="1221"/>
      <c r="F865" s="1221"/>
      <c r="G865" s="1221"/>
      <c r="H865" s="1221"/>
      <c r="I865" s="1221"/>
      <c r="J865" s="1221"/>
      <c r="K865" s="1221"/>
      <c r="L865" s="1221"/>
      <c r="M865" s="1221"/>
      <c r="N865" s="1221"/>
      <c r="O865" s="1221"/>
      <c r="P865" s="1221"/>
      <c r="Q865" s="1221"/>
      <c r="R865" s="1221"/>
      <c r="S865" s="1221"/>
      <c r="T865" s="1221"/>
      <c r="U865" s="1221"/>
      <c r="V865" s="1221"/>
      <c r="W865" s="1221"/>
      <c r="X865" s="1221"/>
      <c r="Y865" s="1221"/>
      <c r="Z865" s="1221"/>
    </row>
    <row r="866" ht="15.75" customHeight="1">
      <c r="A866" s="1221"/>
      <c r="B866" s="1221"/>
      <c r="C866" s="1221"/>
      <c r="D866" s="1221"/>
      <c r="E866" s="1221"/>
      <c r="F866" s="1221"/>
      <c r="G866" s="1221"/>
      <c r="H866" s="1221"/>
      <c r="I866" s="1221"/>
      <c r="J866" s="1221"/>
      <c r="K866" s="1221"/>
      <c r="L866" s="1221"/>
      <c r="M866" s="1221"/>
      <c r="N866" s="1221"/>
      <c r="O866" s="1221"/>
      <c r="P866" s="1221"/>
      <c r="Q866" s="1221"/>
      <c r="R866" s="1221"/>
      <c r="S866" s="1221"/>
      <c r="T866" s="1221"/>
      <c r="U866" s="1221"/>
      <c r="V866" s="1221"/>
      <c r="W866" s="1221"/>
      <c r="X866" s="1221"/>
      <c r="Y866" s="1221"/>
      <c r="Z866" s="1221"/>
    </row>
    <row r="867" ht="15.75" customHeight="1">
      <c r="A867" s="1221"/>
      <c r="B867" s="1221"/>
      <c r="C867" s="1221"/>
      <c r="D867" s="1221"/>
      <c r="E867" s="1221"/>
      <c r="F867" s="1221"/>
      <c r="G867" s="1221"/>
      <c r="H867" s="1221"/>
      <c r="I867" s="1221"/>
      <c r="J867" s="1221"/>
      <c r="K867" s="1221"/>
      <c r="L867" s="1221"/>
      <c r="M867" s="1221"/>
      <c r="N867" s="1221"/>
      <c r="O867" s="1221"/>
      <c r="P867" s="1221"/>
      <c r="Q867" s="1221"/>
      <c r="R867" s="1221"/>
      <c r="S867" s="1221"/>
      <c r="T867" s="1221"/>
      <c r="U867" s="1221"/>
      <c r="V867" s="1221"/>
      <c r="W867" s="1221"/>
      <c r="X867" s="1221"/>
      <c r="Y867" s="1221"/>
      <c r="Z867" s="1221"/>
    </row>
    <row r="868" ht="15.75" customHeight="1">
      <c r="A868" s="1221"/>
      <c r="B868" s="1221"/>
      <c r="C868" s="1221"/>
      <c r="D868" s="1221"/>
      <c r="E868" s="1221"/>
      <c r="F868" s="1221"/>
      <c r="G868" s="1221"/>
      <c r="H868" s="1221"/>
      <c r="I868" s="1221"/>
      <c r="J868" s="1221"/>
      <c r="K868" s="1221"/>
      <c r="L868" s="1221"/>
      <c r="M868" s="1221"/>
      <c r="N868" s="1221"/>
      <c r="O868" s="1221"/>
      <c r="P868" s="1221"/>
      <c r="Q868" s="1221"/>
      <c r="R868" s="1221"/>
      <c r="S868" s="1221"/>
      <c r="T868" s="1221"/>
      <c r="U868" s="1221"/>
      <c r="V868" s="1221"/>
      <c r="W868" s="1221"/>
      <c r="X868" s="1221"/>
      <c r="Y868" s="1221"/>
      <c r="Z868" s="1221"/>
    </row>
    <row r="869" ht="15.75" customHeight="1">
      <c r="A869" s="1221"/>
      <c r="B869" s="1221"/>
      <c r="C869" s="1221"/>
      <c r="D869" s="1221"/>
      <c r="E869" s="1221"/>
      <c r="F869" s="1221"/>
      <c r="G869" s="1221"/>
      <c r="H869" s="1221"/>
      <c r="I869" s="1221"/>
      <c r="J869" s="1221"/>
      <c r="K869" s="1221"/>
      <c r="L869" s="1221"/>
      <c r="M869" s="1221"/>
      <c r="N869" s="1221"/>
      <c r="O869" s="1221"/>
      <c r="P869" s="1221"/>
      <c r="Q869" s="1221"/>
      <c r="R869" s="1221"/>
      <c r="S869" s="1221"/>
      <c r="T869" s="1221"/>
      <c r="U869" s="1221"/>
      <c r="V869" s="1221"/>
      <c r="W869" s="1221"/>
      <c r="X869" s="1221"/>
      <c r="Y869" s="1221"/>
      <c r="Z869" s="1221"/>
    </row>
    <row r="870" ht="15.75" customHeight="1">
      <c r="A870" s="1221"/>
      <c r="B870" s="1221"/>
      <c r="C870" s="1221"/>
      <c r="D870" s="1221"/>
      <c r="E870" s="1221"/>
      <c r="F870" s="1221"/>
      <c r="G870" s="1221"/>
      <c r="H870" s="1221"/>
      <c r="I870" s="1221"/>
      <c r="J870" s="1221"/>
      <c r="K870" s="1221"/>
      <c r="L870" s="1221"/>
      <c r="M870" s="1221"/>
      <c r="N870" s="1221"/>
      <c r="O870" s="1221"/>
      <c r="P870" s="1221"/>
      <c r="Q870" s="1221"/>
      <c r="R870" s="1221"/>
      <c r="S870" s="1221"/>
      <c r="T870" s="1221"/>
      <c r="U870" s="1221"/>
      <c r="V870" s="1221"/>
      <c r="W870" s="1221"/>
      <c r="X870" s="1221"/>
      <c r="Y870" s="1221"/>
      <c r="Z870" s="1221"/>
    </row>
    <row r="871" ht="15.75" customHeight="1">
      <c r="A871" s="1221"/>
      <c r="B871" s="1221"/>
      <c r="C871" s="1221"/>
      <c r="D871" s="1221"/>
      <c r="E871" s="1221"/>
      <c r="F871" s="1221"/>
      <c r="G871" s="1221"/>
      <c r="H871" s="1221"/>
      <c r="I871" s="1221"/>
      <c r="J871" s="1221"/>
      <c r="K871" s="1221"/>
      <c r="L871" s="1221"/>
      <c r="M871" s="1221"/>
      <c r="N871" s="1221"/>
      <c r="O871" s="1221"/>
      <c r="P871" s="1221"/>
      <c r="Q871" s="1221"/>
      <c r="R871" s="1221"/>
      <c r="S871" s="1221"/>
      <c r="T871" s="1221"/>
      <c r="U871" s="1221"/>
      <c r="V871" s="1221"/>
      <c r="W871" s="1221"/>
      <c r="X871" s="1221"/>
      <c r="Y871" s="1221"/>
      <c r="Z871" s="1221"/>
    </row>
    <row r="872" ht="15.75" customHeight="1">
      <c r="A872" s="1221"/>
      <c r="B872" s="1221"/>
      <c r="C872" s="1221"/>
      <c r="D872" s="1221"/>
      <c r="E872" s="1221"/>
      <c r="F872" s="1221"/>
      <c r="G872" s="1221"/>
      <c r="H872" s="1221"/>
      <c r="I872" s="1221"/>
      <c r="J872" s="1221"/>
      <c r="K872" s="1221"/>
      <c r="L872" s="1221"/>
      <c r="M872" s="1221"/>
      <c r="N872" s="1221"/>
      <c r="O872" s="1221"/>
      <c r="P872" s="1221"/>
      <c r="Q872" s="1221"/>
      <c r="R872" s="1221"/>
      <c r="S872" s="1221"/>
      <c r="T872" s="1221"/>
      <c r="U872" s="1221"/>
      <c r="V872" s="1221"/>
      <c r="W872" s="1221"/>
      <c r="X872" s="1221"/>
      <c r="Y872" s="1221"/>
      <c r="Z872" s="1221"/>
    </row>
    <row r="873" ht="15.75" customHeight="1">
      <c r="A873" s="1221"/>
      <c r="B873" s="1221"/>
      <c r="C873" s="1221"/>
      <c r="D873" s="1221"/>
      <c r="E873" s="1221"/>
      <c r="F873" s="1221"/>
      <c r="G873" s="1221"/>
      <c r="H873" s="1221"/>
      <c r="I873" s="1221"/>
      <c r="J873" s="1221"/>
      <c r="K873" s="1221"/>
      <c r="L873" s="1221"/>
      <c r="M873" s="1221"/>
      <c r="N873" s="1221"/>
      <c r="O873" s="1221"/>
      <c r="P873" s="1221"/>
      <c r="Q873" s="1221"/>
      <c r="R873" s="1221"/>
      <c r="S873" s="1221"/>
      <c r="T873" s="1221"/>
      <c r="U873" s="1221"/>
      <c r="V873" s="1221"/>
      <c r="W873" s="1221"/>
      <c r="X873" s="1221"/>
      <c r="Y873" s="1221"/>
      <c r="Z873" s="1221"/>
    </row>
    <row r="874" ht="15.75" customHeight="1">
      <c r="A874" s="1221"/>
      <c r="B874" s="1221"/>
      <c r="C874" s="1221"/>
      <c r="D874" s="1221"/>
      <c r="E874" s="1221"/>
      <c r="F874" s="1221"/>
      <c r="G874" s="1221"/>
      <c r="H874" s="1221"/>
      <c r="I874" s="1221"/>
      <c r="J874" s="1221"/>
      <c r="K874" s="1221"/>
      <c r="L874" s="1221"/>
      <c r="M874" s="1221"/>
      <c r="N874" s="1221"/>
      <c r="O874" s="1221"/>
      <c r="P874" s="1221"/>
      <c r="Q874" s="1221"/>
      <c r="R874" s="1221"/>
      <c r="S874" s="1221"/>
      <c r="T874" s="1221"/>
      <c r="U874" s="1221"/>
      <c r="V874" s="1221"/>
      <c r="W874" s="1221"/>
      <c r="X874" s="1221"/>
      <c r="Y874" s="1221"/>
      <c r="Z874" s="1221"/>
    </row>
    <row r="875" ht="15.75" customHeight="1">
      <c r="A875" s="1221"/>
      <c r="B875" s="1221"/>
      <c r="C875" s="1221"/>
      <c r="D875" s="1221"/>
      <c r="E875" s="1221"/>
      <c r="F875" s="1221"/>
      <c r="G875" s="1221"/>
      <c r="H875" s="1221"/>
      <c r="I875" s="1221"/>
      <c r="J875" s="1221"/>
      <c r="K875" s="1221"/>
      <c r="L875" s="1221"/>
      <c r="M875" s="1221"/>
      <c r="N875" s="1221"/>
      <c r="O875" s="1221"/>
      <c r="P875" s="1221"/>
      <c r="Q875" s="1221"/>
      <c r="R875" s="1221"/>
      <c r="S875" s="1221"/>
      <c r="T875" s="1221"/>
      <c r="U875" s="1221"/>
      <c r="V875" s="1221"/>
      <c r="W875" s="1221"/>
      <c r="X875" s="1221"/>
      <c r="Y875" s="1221"/>
      <c r="Z875" s="1221"/>
    </row>
    <row r="876" ht="15.75" customHeight="1">
      <c r="A876" s="1221"/>
      <c r="B876" s="1221"/>
      <c r="C876" s="1221"/>
      <c r="D876" s="1221"/>
      <c r="E876" s="1221"/>
      <c r="F876" s="1221"/>
      <c r="G876" s="1221"/>
      <c r="H876" s="1221"/>
      <c r="I876" s="1221"/>
      <c r="J876" s="1221"/>
      <c r="K876" s="1221"/>
      <c r="L876" s="1221"/>
      <c r="M876" s="1221"/>
      <c r="N876" s="1221"/>
      <c r="O876" s="1221"/>
      <c r="P876" s="1221"/>
      <c r="Q876" s="1221"/>
      <c r="R876" s="1221"/>
      <c r="S876" s="1221"/>
      <c r="T876" s="1221"/>
      <c r="U876" s="1221"/>
      <c r="V876" s="1221"/>
      <c r="W876" s="1221"/>
      <c r="X876" s="1221"/>
      <c r="Y876" s="1221"/>
      <c r="Z876" s="1221"/>
    </row>
    <row r="877" ht="15.75" customHeight="1">
      <c r="A877" s="1221"/>
      <c r="B877" s="1221"/>
      <c r="C877" s="1221"/>
      <c r="D877" s="1221"/>
      <c r="E877" s="1221"/>
      <c r="F877" s="1221"/>
      <c r="G877" s="1221"/>
      <c r="H877" s="1221"/>
      <c r="I877" s="1221"/>
      <c r="J877" s="1221"/>
      <c r="K877" s="1221"/>
      <c r="L877" s="1221"/>
      <c r="M877" s="1221"/>
      <c r="N877" s="1221"/>
      <c r="O877" s="1221"/>
      <c r="P877" s="1221"/>
      <c r="Q877" s="1221"/>
      <c r="R877" s="1221"/>
      <c r="S877" s="1221"/>
      <c r="T877" s="1221"/>
      <c r="U877" s="1221"/>
      <c r="V877" s="1221"/>
      <c r="W877" s="1221"/>
      <c r="X877" s="1221"/>
      <c r="Y877" s="1221"/>
      <c r="Z877" s="1221"/>
    </row>
    <row r="878" ht="15.75" customHeight="1">
      <c r="A878" s="1221"/>
      <c r="B878" s="1221"/>
      <c r="C878" s="1221"/>
      <c r="D878" s="1221"/>
      <c r="E878" s="1221"/>
      <c r="F878" s="1221"/>
      <c r="G878" s="1221"/>
      <c r="H878" s="1221"/>
      <c r="I878" s="1221"/>
      <c r="J878" s="1221"/>
      <c r="K878" s="1221"/>
      <c r="L878" s="1221"/>
      <c r="M878" s="1221"/>
      <c r="N878" s="1221"/>
      <c r="O878" s="1221"/>
      <c r="P878" s="1221"/>
      <c r="Q878" s="1221"/>
      <c r="R878" s="1221"/>
      <c r="S878" s="1221"/>
      <c r="T878" s="1221"/>
      <c r="U878" s="1221"/>
      <c r="V878" s="1221"/>
      <c r="W878" s="1221"/>
      <c r="X878" s="1221"/>
      <c r="Y878" s="1221"/>
      <c r="Z878" s="1221"/>
    </row>
    <row r="879" ht="15.75" customHeight="1">
      <c r="A879" s="1221"/>
      <c r="B879" s="1221"/>
      <c r="C879" s="1221"/>
      <c r="D879" s="1221"/>
      <c r="E879" s="1221"/>
      <c r="F879" s="1221"/>
      <c r="G879" s="1221"/>
      <c r="H879" s="1221"/>
      <c r="I879" s="1221"/>
      <c r="J879" s="1221"/>
      <c r="K879" s="1221"/>
      <c r="L879" s="1221"/>
      <c r="M879" s="1221"/>
      <c r="N879" s="1221"/>
      <c r="O879" s="1221"/>
      <c r="P879" s="1221"/>
      <c r="Q879" s="1221"/>
      <c r="R879" s="1221"/>
      <c r="S879" s="1221"/>
      <c r="T879" s="1221"/>
      <c r="U879" s="1221"/>
      <c r="V879" s="1221"/>
      <c r="W879" s="1221"/>
      <c r="X879" s="1221"/>
      <c r="Y879" s="1221"/>
      <c r="Z879" s="1221"/>
    </row>
    <row r="880" ht="15.75" customHeight="1">
      <c r="A880" s="1221"/>
      <c r="B880" s="1221"/>
      <c r="C880" s="1221"/>
      <c r="D880" s="1221"/>
      <c r="E880" s="1221"/>
      <c r="F880" s="1221"/>
      <c r="G880" s="1221"/>
      <c r="H880" s="1221"/>
      <c r="I880" s="1221"/>
      <c r="J880" s="1221"/>
      <c r="K880" s="1221"/>
      <c r="L880" s="1221"/>
      <c r="M880" s="1221"/>
      <c r="N880" s="1221"/>
      <c r="O880" s="1221"/>
      <c r="P880" s="1221"/>
      <c r="Q880" s="1221"/>
      <c r="R880" s="1221"/>
      <c r="S880" s="1221"/>
      <c r="T880" s="1221"/>
      <c r="U880" s="1221"/>
      <c r="V880" s="1221"/>
      <c r="W880" s="1221"/>
      <c r="X880" s="1221"/>
      <c r="Y880" s="1221"/>
      <c r="Z880" s="1221"/>
    </row>
    <row r="881" ht="15.75" customHeight="1">
      <c r="A881" s="1221"/>
      <c r="B881" s="1221"/>
      <c r="C881" s="1221"/>
      <c r="D881" s="1221"/>
      <c r="E881" s="1221"/>
      <c r="F881" s="1221"/>
      <c r="G881" s="1221"/>
      <c r="H881" s="1221"/>
      <c r="I881" s="1221"/>
      <c r="J881" s="1221"/>
      <c r="K881" s="1221"/>
      <c r="L881" s="1221"/>
      <c r="M881" s="1221"/>
      <c r="N881" s="1221"/>
      <c r="O881" s="1221"/>
      <c r="P881" s="1221"/>
      <c r="Q881" s="1221"/>
      <c r="R881" s="1221"/>
      <c r="S881" s="1221"/>
      <c r="T881" s="1221"/>
      <c r="U881" s="1221"/>
      <c r="V881" s="1221"/>
      <c r="W881" s="1221"/>
      <c r="X881" s="1221"/>
      <c r="Y881" s="1221"/>
      <c r="Z881" s="1221"/>
    </row>
    <row r="882" ht="15.75" customHeight="1">
      <c r="A882" s="1221"/>
      <c r="B882" s="1221"/>
      <c r="C882" s="1221"/>
      <c r="D882" s="1221"/>
      <c r="E882" s="1221"/>
      <c r="F882" s="1221"/>
      <c r="G882" s="1221"/>
      <c r="H882" s="1221"/>
      <c r="I882" s="1221"/>
      <c r="J882" s="1221"/>
      <c r="K882" s="1221"/>
      <c r="L882" s="1221"/>
      <c r="M882" s="1221"/>
      <c r="N882" s="1221"/>
      <c r="O882" s="1221"/>
      <c r="P882" s="1221"/>
      <c r="Q882" s="1221"/>
      <c r="R882" s="1221"/>
      <c r="S882" s="1221"/>
      <c r="T882" s="1221"/>
      <c r="U882" s="1221"/>
      <c r="V882" s="1221"/>
      <c r="W882" s="1221"/>
      <c r="X882" s="1221"/>
      <c r="Y882" s="1221"/>
      <c r="Z882" s="1221"/>
    </row>
    <row r="883" ht="15.75" customHeight="1">
      <c r="A883" s="1221"/>
      <c r="B883" s="1221"/>
      <c r="C883" s="1221"/>
      <c r="D883" s="1221"/>
      <c r="E883" s="1221"/>
      <c r="F883" s="1221"/>
      <c r="G883" s="1221"/>
      <c r="H883" s="1221"/>
      <c r="I883" s="1221"/>
      <c r="J883" s="1221"/>
      <c r="K883" s="1221"/>
      <c r="L883" s="1221"/>
      <c r="M883" s="1221"/>
      <c r="N883" s="1221"/>
      <c r="O883" s="1221"/>
      <c r="P883" s="1221"/>
      <c r="Q883" s="1221"/>
      <c r="R883" s="1221"/>
      <c r="S883" s="1221"/>
      <c r="T883" s="1221"/>
      <c r="U883" s="1221"/>
      <c r="V883" s="1221"/>
      <c r="W883" s="1221"/>
      <c r="X883" s="1221"/>
      <c r="Y883" s="1221"/>
      <c r="Z883" s="1221"/>
    </row>
    <row r="884" ht="15.75" customHeight="1">
      <c r="A884" s="1221"/>
      <c r="B884" s="1221"/>
      <c r="C884" s="1221"/>
      <c r="D884" s="1221"/>
      <c r="E884" s="1221"/>
      <c r="F884" s="1221"/>
      <c r="G884" s="1221"/>
      <c r="H884" s="1221"/>
      <c r="I884" s="1221"/>
      <c r="J884" s="1221"/>
      <c r="K884" s="1221"/>
      <c r="L884" s="1221"/>
      <c r="M884" s="1221"/>
      <c r="N884" s="1221"/>
      <c r="O884" s="1221"/>
      <c r="P884" s="1221"/>
      <c r="Q884" s="1221"/>
      <c r="R884" s="1221"/>
      <c r="S884" s="1221"/>
      <c r="T884" s="1221"/>
      <c r="U884" s="1221"/>
      <c r="V884" s="1221"/>
      <c r="W884" s="1221"/>
      <c r="X884" s="1221"/>
      <c r="Y884" s="1221"/>
      <c r="Z884" s="1221"/>
    </row>
    <row r="885" ht="15.75" customHeight="1">
      <c r="A885" s="1221"/>
      <c r="B885" s="1221"/>
      <c r="C885" s="1221"/>
      <c r="D885" s="1221"/>
      <c r="E885" s="1221"/>
      <c r="F885" s="1221"/>
      <c r="G885" s="1221"/>
      <c r="H885" s="1221"/>
      <c r="I885" s="1221"/>
      <c r="J885" s="1221"/>
      <c r="K885" s="1221"/>
      <c r="L885" s="1221"/>
      <c r="M885" s="1221"/>
      <c r="N885" s="1221"/>
      <c r="O885" s="1221"/>
      <c r="P885" s="1221"/>
      <c r="Q885" s="1221"/>
      <c r="R885" s="1221"/>
      <c r="S885" s="1221"/>
      <c r="T885" s="1221"/>
      <c r="U885" s="1221"/>
      <c r="V885" s="1221"/>
      <c r="W885" s="1221"/>
      <c r="X885" s="1221"/>
      <c r="Y885" s="1221"/>
      <c r="Z885" s="1221"/>
    </row>
    <row r="886" ht="15.75" customHeight="1">
      <c r="A886" s="1221"/>
      <c r="B886" s="1221"/>
      <c r="C886" s="1221"/>
      <c r="D886" s="1221"/>
      <c r="E886" s="1221"/>
      <c r="F886" s="1221"/>
      <c r="G886" s="1221"/>
      <c r="H886" s="1221"/>
      <c r="I886" s="1221"/>
      <c r="J886" s="1221"/>
      <c r="K886" s="1221"/>
      <c r="L886" s="1221"/>
      <c r="M886" s="1221"/>
      <c r="N886" s="1221"/>
      <c r="O886" s="1221"/>
      <c r="P886" s="1221"/>
      <c r="Q886" s="1221"/>
      <c r="R886" s="1221"/>
      <c r="S886" s="1221"/>
      <c r="T886" s="1221"/>
      <c r="U886" s="1221"/>
      <c r="V886" s="1221"/>
      <c r="W886" s="1221"/>
      <c r="X886" s="1221"/>
      <c r="Y886" s="1221"/>
      <c r="Z886" s="1221"/>
    </row>
    <row r="887" ht="15.75" customHeight="1">
      <c r="A887" s="1221"/>
      <c r="B887" s="1221"/>
      <c r="C887" s="1221"/>
      <c r="D887" s="1221"/>
      <c r="E887" s="1221"/>
      <c r="F887" s="1221"/>
      <c r="G887" s="1221"/>
      <c r="H887" s="1221"/>
      <c r="I887" s="1221"/>
      <c r="J887" s="1221"/>
      <c r="K887" s="1221"/>
      <c r="L887" s="1221"/>
      <c r="M887" s="1221"/>
      <c r="N887" s="1221"/>
      <c r="O887" s="1221"/>
      <c r="P887" s="1221"/>
      <c r="Q887" s="1221"/>
      <c r="R887" s="1221"/>
      <c r="S887" s="1221"/>
      <c r="T887" s="1221"/>
      <c r="U887" s="1221"/>
      <c r="V887" s="1221"/>
      <c r="W887" s="1221"/>
      <c r="X887" s="1221"/>
      <c r="Y887" s="1221"/>
      <c r="Z887" s="1221"/>
    </row>
    <row r="888" ht="15.75" customHeight="1">
      <c r="A888" s="1221"/>
      <c r="B888" s="1221"/>
      <c r="C888" s="1221"/>
      <c r="D888" s="1221"/>
      <c r="E888" s="1221"/>
      <c r="F888" s="1221"/>
      <c r="G888" s="1221"/>
      <c r="H888" s="1221"/>
      <c r="I888" s="1221"/>
      <c r="J888" s="1221"/>
      <c r="K888" s="1221"/>
      <c r="L888" s="1221"/>
      <c r="M888" s="1221"/>
      <c r="N888" s="1221"/>
      <c r="O888" s="1221"/>
      <c r="P888" s="1221"/>
      <c r="Q888" s="1221"/>
      <c r="R888" s="1221"/>
      <c r="S888" s="1221"/>
      <c r="T888" s="1221"/>
      <c r="U888" s="1221"/>
      <c r="V888" s="1221"/>
      <c r="W888" s="1221"/>
      <c r="X888" s="1221"/>
      <c r="Y888" s="1221"/>
      <c r="Z888" s="1221"/>
    </row>
    <row r="889" ht="15.75" customHeight="1">
      <c r="A889" s="1221"/>
      <c r="B889" s="1221"/>
      <c r="C889" s="1221"/>
      <c r="D889" s="1221"/>
      <c r="E889" s="1221"/>
      <c r="F889" s="1221"/>
      <c r="G889" s="1221"/>
      <c r="H889" s="1221"/>
      <c r="I889" s="1221"/>
      <c r="J889" s="1221"/>
      <c r="K889" s="1221"/>
      <c r="L889" s="1221"/>
      <c r="M889" s="1221"/>
      <c r="N889" s="1221"/>
      <c r="O889" s="1221"/>
      <c r="P889" s="1221"/>
      <c r="Q889" s="1221"/>
      <c r="R889" s="1221"/>
      <c r="S889" s="1221"/>
      <c r="T889" s="1221"/>
      <c r="U889" s="1221"/>
      <c r="V889" s="1221"/>
      <c r="W889" s="1221"/>
      <c r="X889" s="1221"/>
      <c r="Y889" s="1221"/>
      <c r="Z889" s="1221"/>
    </row>
    <row r="890" ht="15.75" customHeight="1">
      <c r="A890" s="1221"/>
      <c r="B890" s="1221"/>
      <c r="C890" s="1221"/>
      <c r="D890" s="1221"/>
      <c r="E890" s="1221"/>
      <c r="F890" s="1221"/>
      <c r="G890" s="1221"/>
      <c r="H890" s="1221"/>
      <c r="I890" s="1221"/>
      <c r="J890" s="1221"/>
      <c r="K890" s="1221"/>
      <c r="L890" s="1221"/>
      <c r="M890" s="1221"/>
      <c r="N890" s="1221"/>
      <c r="O890" s="1221"/>
      <c r="P890" s="1221"/>
      <c r="Q890" s="1221"/>
      <c r="R890" s="1221"/>
      <c r="S890" s="1221"/>
      <c r="T890" s="1221"/>
      <c r="U890" s="1221"/>
      <c r="V890" s="1221"/>
      <c r="W890" s="1221"/>
      <c r="X890" s="1221"/>
      <c r="Y890" s="1221"/>
      <c r="Z890" s="1221"/>
    </row>
    <row r="891" ht="15.75" customHeight="1">
      <c r="A891" s="1221"/>
      <c r="B891" s="1221"/>
      <c r="C891" s="1221"/>
      <c r="D891" s="1221"/>
      <c r="E891" s="1221"/>
      <c r="F891" s="1221"/>
      <c r="G891" s="1221"/>
      <c r="H891" s="1221"/>
      <c r="I891" s="1221"/>
      <c r="J891" s="1221"/>
      <c r="K891" s="1221"/>
      <c r="L891" s="1221"/>
      <c r="M891" s="1221"/>
      <c r="N891" s="1221"/>
      <c r="O891" s="1221"/>
      <c r="P891" s="1221"/>
      <c r="Q891" s="1221"/>
      <c r="R891" s="1221"/>
      <c r="S891" s="1221"/>
      <c r="T891" s="1221"/>
      <c r="U891" s="1221"/>
      <c r="V891" s="1221"/>
      <c r="W891" s="1221"/>
      <c r="X891" s="1221"/>
      <c r="Y891" s="1221"/>
      <c r="Z891" s="1221"/>
    </row>
    <row r="892" ht="15.75" customHeight="1">
      <c r="A892" s="1221"/>
      <c r="B892" s="1221"/>
      <c r="C892" s="1221"/>
      <c r="D892" s="1221"/>
      <c r="E892" s="1221"/>
      <c r="F892" s="1221"/>
      <c r="G892" s="1221"/>
      <c r="H892" s="1221"/>
      <c r="I892" s="1221"/>
      <c r="J892" s="1221"/>
      <c r="K892" s="1221"/>
      <c r="L892" s="1221"/>
      <c r="M892" s="1221"/>
      <c r="N892" s="1221"/>
      <c r="O892" s="1221"/>
      <c r="P892" s="1221"/>
      <c r="Q892" s="1221"/>
      <c r="R892" s="1221"/>
      <c r="S892" s="1221"/>
      <c r="T892" s="1221"/>
      <c r="U892" s="1221"/>
      <c r="V892" s="1221"/>
      <c r="W892" s="1221"/>
      <c r="X892" s="1221"/>
      <c r="Y892" s="1221"/>
      <c r="Z892" s="1221"/>
    </row>
    <row r="893" ht="15.75" customHeight="1">
      <c r="A893" s="1221"/>
      <c r="B893" s="1221"/>
      <c r="C893" s="1221"/>
      <c r="D893" s="1221"/>
      <c r="E893" s="1221"/>
      <c r="F893" s="1221"/>
      <c r="G893" s="1221"/>
      <c r="H893" s="1221"/>
      <c r="I893" s="1221"/>
      <c r="J893" s="1221"/>
      <c r="K893" s="1221"/>
      <c r="L893" s="1221"/>
      <c r="M893" s="1221"/>
      <c r="N893" s="1221"/>
      <c r="O893" s="1221"/>
      <c r="P893" s="1221"/>
      <c r="Q893" s="1221"/>
      <c r="R893" s="1221"/>
      <c r="S893" s="1221"/>
      <c r="T893" s="1221"/>
      <c r="U893" s="1221"/>
      <c r="V893" s="1221"/>
      <c r="W893" s="1221"/>
      <c r="X893" s="1221"/>
      <c r="Y893" s="1221"/>
      <c r="Z893" s="1221"/>
    </row>
    <row r="894" ht="15.75" customHeight="1">
      <c r="A894" s="1221"/>
      <c r="B894" s="1221"/>
      <c r="C894" s="1221"/>
      <c r="D894" s="1221"/>
      <c r="E894" s="1221"/>
      <c r="F894" s="1221"/>
      <c r="G894" s="1221"/>
      <c r="H894" s="1221"/>
      <c r="I894" s="1221"/>
      <c r="J894" s="1221"/>
      <c r="K894" s="1221"/>
      <c r="L894" s="1221"/>
      <c r="M894" s="1221"/>
      <c r="N894" s="1221"/>
      <c r="O894" s="1221"/>
      <c r="P894" s="1221"/>
      <c r="Q894" s="1221"/>
      <c r="R894" s="1221"/>
      <c r="S894" s="1221"/>
      <c r="T894" s="1221"/>
      <c r="U894" s="1221"/>
      <c r="V894" s="1221"/>
      <c r="W894" s="1221"/>
      <c r="X894" s="1221"/>
      <c r="Y894" s="1221"/>
      <c r="Z894" s="1221"/>
    </row>
    <row r="895" ht="15.75" customHeight="1">
      <c r="A895" s="1221"/>
      <c r="B895" s="1221"/>
      <c r="C895" s="1221"/>
      <c r="D895" s="1221"/>
      <c r="E895" s="1221"/>
      <c r="F895" s="1221"/>
      <c r="G895" s="1221"/>
      <c r="H895" s="1221"/>
      <c r="I895" s="1221"/>
      <c r="J895" s="1221"/>
      <c r="K895" s="1221"/>
      <c r="L895" s="1221"/>
      <c r="M895" s="1221"/>
      <c r="N895" s="1221"/>
      <c r="O895" s="1221"/>
      <c r="P895" s="1221"/>
      <c r="Q895" s="1221"/>
      <c r="R895" s="1221"/>
      <c r="S895" s="1221"/>
      <c r="T895" s="1221"/>
      <c r="U895" s="1221"/>
      <c r="V895" s="1221"/>
      <c r="W895" s="1221"/>
      <c r="X895" s="1221"/>
      <c r="Y895" s="1221"/>
      <c r="Z895" s="1221"/>
    </row>
    <row r="896" ht="15.75" customHeight="1">
      <c r="A896" s="1221"/>
      <c r="B896" s="1221"/>
      <c r="C896" s="1221"/>
      <c r="D896" s="1221"/>
      <c r="E896" s="1221"/>
      <c r="F896" s="1221"/>
      <c r="G896" s="1221"/>
      <c r="H896" s="1221"/>
      <c r="I896" s="1221"/>
      <c r="J896" s="1221"/>
      <c r="K896" s="1221"/>
      <c r="L896" s="1221"/>
      <c r="M896" s="1221"/>
      <c r="N896" s="1221"/>
      <c r="O896" s="1221"/>
      <c r="P896" s="1221"/>
      <c r="Q896" s="1221"/>
      <c r="R896" s="1221"/>
      <c r="S896" s="1221"/>
      <c r="T896" s="1221"/>
      <c r="U896" s="1221"/>
      <c r="V896" s="1221"/>
      <c r="W896" s="1221"/>
      <c r="X896" s="1221"/>
      <c r="Y896" s="1221"/>
      <c r="Z896" s="1221"/>
    </row>
    <row r="897" ht="15.75" customHeight="1">
      <c r="A897" s="1221"/>
      <c r="B897" s="1221"/>
      <c r="C897" s="1221"/>
      <c r="D897" s="1221"/>
      <c r="E897" s="1221"/>
      <c r="F897" s="1221"/>
      <c r="G897" s="1221"/>
      <c r="H897" s="1221"/>
      <c r="I897" s="1221"/>
      <c r="J897" s="1221"/>
      <c r="K897" s="1221"/>
      <c r="L897" s="1221"/>
      <c r="M897" s="1221"/>
      <c r="N897" s="1221"/>
      <c r="O897" s="1221"/>
      <c r="P897" s="1221"/>
      <c r="Q897" s="1221"/>
      <c r="R897" s="1221"/>
      <c r="S897" s="1221"/>
      <c r="T897" s="1221"/>
      <c r="U897" s="1221"/>
      <c r="V897" s="1221"/>
      <c r="W897" s="1221"/>
      <c r="X897" s="1221"/>
      <c r="Y897" s="1221"/>
      <c r="Z897" s="1221"/>
    </row>
    <row r="898" ht="15.75" customHeight="1">
      <c r="A898" s="1221"/>
      <c r="B898" s="1221"/>
      <c r="C898" s="1221"/>
      <c r="D898" s="1221"/>
      <c r="E898" s="1221"/>
      <c r="F898" s="1221"/>
      <c r="G898" s="1221"/>
      <c r="H898" s="1221"/>
      <c r="I898" s="1221"/>
      <c r="J898" s="1221"/>
      <c r="K898" s="1221"/>
      <c r="L898" s="1221"/>
      <c r="M898" s="1221"/>
      <c r="N898" s="1221"/>
      <c r="O898" s="1221"/>
      <c r="P898" s="1221"/>
      <c r="Q898" s="1221"/>
      <c r="R898" s="1221"/>
      <c r="S898" s="1221"/>
      <c r="T898" s="1221"/>
      <c r="U898" s="1221"/>
      <c r="V898" s="1221"/>
      <c r="W898" s="1221"/>
      <c r="X898" s="1221"/>
      <c r="Y898" s="1221"/>
      <c r="Z898" s="1221"/>
    </row>
    <row r="899" ht="15.75" customHeight="1">
      <c r="A899" s="1221"/>
      <c r="B899" s="1221"/>
      <c r="C899" s="1221"/>
      <c r="D899" s="1221"/>
      <c r="E899" s="1221"/>
      <c r="F899" s="1221"/>
      <c r="G899" s="1221"/>
      <c r="H899" s="1221"/>
      <c r="I899" s="1221"/>
      <c r="J899" s="1221"/>
      <c r="K899" s="1221"/>
      <c r="L899" s="1221"/>
      <c r="M899" s="1221"/>
      <c r="N899" s="1221"/>
      <c r="O899" s="1221"/>
      <c r="P899" s="1221"/>
      <c r="Q899" s="1221"/>
      <c r="R899" s="1221"/>
      <c r="S899" s="1221"/>
      <c r="T899" s="1221"/>
      <c r="U899" s="1221"/>
      <c r="V899" s="1221"/>
      <c r="W899" s="1221"/>
      <c r="X899" s="1221"/>
      <c r="Y899" s="1221"/>
      <c r="Z899" s="1221"/>
    </row>
    <row r="900" ht="15.75" customHeight="1">
      <c r="A900" s="1221"/>
      <c r="B900" s="1221"/>
      <c r="C900" s="1221"/>
      <c r="D900" s="1221"/>
      <c r="E900" s="1221"/>
      <c r="F900" s="1221"/>
      <c r="G900" s="1221"/>
      <c r="H900" s="1221"/>
      <c r="I900" s="1221"/>
      <c r="J900" s="1221"/>
      <c r="K900" s="1221"/>
      <c r="L900" s="1221"/>
      <c r="M900" s="1221"/>
      <c r="N900" s="1221"/>
      <c r="O900" s="1221"/>
      <c r="P900" s="1221"/>
      <c r="Q900" s="1221"/>
      <c r="R900" s="1221"/>
      <c r="S900" s="1221"/>
      <c r="T900" s="1221"/>
      <c r="U900" s="1221"/>
      <c r="V900" s="1221"/>
      <c r="W900" s="1221"/>
      <c r="X900" s="1221"/>
      <c r="Y900" s="1221"/>
      <c r="Z900" s="1221"/>
    </row>
    <row r="901" ht="15.75" customHeight="1">
      <c r="A901" s="1221"/>
      <c r="B901" s="1221"/>
      <c r="C901" s="1221"/>
      <c r="D901" s="1221"/>
      <c r="E901" s="1221"/>
      <c r="F901" s="1221"/>
      <c r="G901" s="1221"/>
      <c r="H901" s="1221"/>
      <c r="I901" s="1221"/>
      <c r="J901" s="1221"/>
      <c r="K901" s="1221"/>
      <c r="L901" s="1221"/>
      <c r="M901" s="1221"/>
      <c r="N901" s="1221"/>
      <c r="O901" s="1221"/>
      <c r="P901" s="1221"/>
      <c r="Q901" s="1221"/>
      <c r="R901" s="1221"/>
      <c r="S901" s="1221"/>
      <c r="T901" s="1221"/>
      <c r="U901" s="1221"/>
      <c r="V901" s="1221"/>
      <c r="W901" s="1221"/>
      <c r="X901" s="1221"/>
      <c r="Y901" s="1221"/>
      <c r="Z901" s="1221"/>
    </row>
    <row r="902" ht="15.75" customHeight="1">
      <c r="A902" s="1221"/>
      <c r="B902" s="1221"/>
      <c r="C902" s="1221"/>
      <c r="D902" s="1221"/>
      <c r="E902" s="1221"/>
      <c r="F902" s="1221"/>
      <c r="G902" s="1221"/>
      <c r="H902" s="1221"/>
      <c r="I902" s="1221"/>
      <c r="J902" s="1221"/>
      <c r="K902" s="1221"/>
      <c r="L902" s="1221"/>
      <c r="M902" s="1221"/>
      <c r="N902" s="1221"/>
      <c r="O902" s="1221"/>
      <c r="P902" s="1221"/>
      <c r="Q902" s="1221"/>
      <c r="R902" s="1221"/>
      <c r="S902" s="1221"/>
      <c r="T902" s="1221"/>
      <c r="U902" s="1221"/>
      <c r="V902" s="1221"/>
      <c r="W902" s="1221"/>
      <c r="X902" s="1221"/>
      <c r="Y902" s="1221"/>
      <c r="Z902" s="1221"/>
    </row>
    <row r="903" ht="15.75" customHeight="1">
      <c r="A903" s="1221"/>
      <c r="B903" s="1221"/>
      <c r="C903" s="1221"/>
      <c r="D903" s="1221"/>
      <c r="E903" s="1221"/>
      <c r="F903" s="1221"/>
      <c r="G903" s="1221"/>
      <c r="H903" s="1221"/>
      <c r="I903" s="1221"/>
      <c r="J903" s="1221"/>
      <c r="K903" s="1221"/>
      <c r="L903" s="1221"/>
      <c r="M903" s="1221"/>
      <c r="N903" s="1221"/>
      <c r="O903" s="1221"/>
      <c r="P903" s="1221"/>
      <c r="Q903" s="1221"/>
      <c r="R903" s="1221"/>
      <c r="S903" s="1221"/>
      <c r="T903" s="1221"/>
      <c r="U903" s="1221"/>
      <c r="V903" s="1221"/>
      <c r="W903" s="1221"/>
      <c r="X903" s="1221"/>
      <c r="Y903" s="1221"/>
      <c r="Z903" s="1221"/>
    </row>
    <row r="904" ht="15.75" customHeight="1">
      <c r="A904" s="1221"/>
      <c r="B904" s="1221"/>
      <c r="C904" s="1221"/>
      <c r="D904" s="1221"/>
      <c r="E904" s="1221"/>
      <c r="F904" s="1221"/>
      <c r="G904" s="1221"/>
      <c r="H904" s="1221"/>
      <c r="I904" s="1221"/>
      <c r="J904" s="1221"/>
      <c r="K904" s="1221"/>
      <c r="L904" s="1221"/>
      <c r="M904" s="1221"/>
      <c r="N904" s="1221"/>
      <c r="O904" s="1221"/>
      <c r="P904" s="1221"/>
      <c r="Q904" s="1221"/>
      <c r="R904" s="1221"/>
      <c r="S904" s="1221"/>
      <c r="T904" s="1221"/>
      <c r="U904" s="1221"/>
      <c r="V904" s="1221"/>
      <c r="W904" s="1221"/>
      <c r="X904" s="1221"/>
      <c r="Y904" s="1221"/>
      <c r="Z904" s="1221"/>
    </row>
    <row r="905" ht="15.75" customHeight="1">
      <c r="A905" s="1221"/>
      <c r="B905" s="1221"/>
      <c r="C905" s="1221"/>
      <c r="D905" s="1221"/>
      <c r="E905" s="1221"/>
      <c r="F905" s="1221"/>
      <c r="G905" s="1221"/>
      <c r="H905" s="1221"/>
      <c r="I905" s="1221"/>
      <c r="J905" s="1221"/>
      <c r="K905" s="1221"/>
      <c r="L905" s="1221"/>
      <c r="M905" s="1221"/>
      <c r="N905" s="1221"/>
      <c r="O905" s="1221"/>
      <c r="P905" s="1221"/>
      <c r="Q905" s="1221"/>
      <c r="R905" s="1221"/>
      <c r="S905" s="1221"/>
      <c r="T905" s="1221"/>
      <c r="U905" s="1221"/>
      <c r="V905" s="1221"/>
      <c r="W905" s="1221"/>
      <c r="X905" s="1221"/>
      <c r="Y905" s="1221"/>
      <c r="Z905" s="1221"/>
    </row>
    <row r="906" ht="15.75" customHeight="1">
      <c r="A906" s="1221"/>
      <c r="B906" s="1221"/>
      <c r="C906" s="1221"/>
      <c r="D906" s="1221"/>
      <c r="E906" s="1221"/>
      <c r="F906" s="1221"/>
      <c r="G906" s="1221"/>
      <c r="H906" s="1221"/>
      <c r="I906" s="1221"/>
      <c r="J906" s="1221"/>
      <c r="K906" s="1221"/>
      <c r="L906" s="1221"/>
      <c r="M906" s="1221"/>
      <c r="N906" s="1221"/>
      <c r="O906" s="1221"/>
      <c r="P906" s="1221"/>
      <c r="Q906" s="1221"/>
      <c r="R906" s="1221"/>
      <c r="S906" s="1221"/>
      <c r="T906" s="1221"/>
      <c r="U906" s="1221"/>
      <c r="V906" s="1221"/>
      <c r="W906" s="1221"/>
      <c r="X906" s="1221"/>
      <c r="Y906" s="1221"/>
      <c r="Z906" s="1221"/>
    </row>
    <row r="907" ht="15.75" customHeight="1">
      <c r="A907" s="1221"/>
      <c r="B907" s="1221"/>
      <c r="C907" s="1221"/>
      <c r="D907" s="1221"/>
      <c r="E907" s="1221"/>
      <c r="F907" s="1221"/>
      <c r="G907" s="1221"/>
      <c r="H907" s="1221"/>
      <c r="I907" s="1221"/>
      <c r="J907" s="1221"/>
      <c r="K907" s="1221"/>
      <c r="L907" s="1221"/>
      <c r="M907" s="1221"/>
      <c r="N907" s="1221"/>
      <c r="O907" s="1221"/>
      <c r="P907" s="1221"/>
      <c r="Q907" s="1221"/>
      <c r="R907" s="1221"/>
      <c r="S907" s="1221"/>
      <c r="T907" s="1221"/>
      <c r="U907" s="1221"/>
      <c r="V907" s="1221"/>
      <c r="W907" s="1221"/>
      <c r="X907" s="1221"/>
      <c r="Y907" s="1221"/>
      <c r="Z907" s="1221"/>
    </row>
    <row r="908" ht="15.75" customHeight="1">
      <c r="A908" s="1221"/>
      <c r="B908" s="1221"/>
      <c r="C908" s="1221"/>
      <c r="D908" s="1221"/>
      <c r="E908" s="1221"/>
      <c r="F908" s="1221"/>
      <c r="G908" s="1221"/>
      <c r="H908" s="1221"/>
      <c r="I908" s="1221"/>
      <c r="J908" s="1221"/>
      <c r="K908" s="1221"/>
      <c r="L908" s="1221"/>
      <c r="M908" s="1221"/>
      <c r="N908" s="1221"/>
      <c r="O908" s="1221"/>
      <c r="P908" s="1221"/>
      <c r="Q908" s="1221"/>
      <c r="R908" s="1221"/>
      <c r="S908" s="1221"/>
      <c r="T908" s="1221"/>
      <c r="U908" s="1221"/>
      <c r="V908" s="1221"/>
      <c r="W908" s="1221"/>
      <c r="X908" s="1221"/>
      <c r="Y908" s="1221"/>
      <c r="Z908" s="1221"/>
    </row>
    <row r="909" ht="15.75" customHeight="1">
      <c r="A909" s="1221"/>
      <c r="B909" s="1221"/>
      <c r="C909" s="1221"/>
      <c r="D909" s="1221"/>
      <c r="E909" s="1221"/>
      <c r="F909" s="1221"/>
      <c r="G909" s="1221"/>
      <c r="H909" s="1221"/>
      <c r="I909" s="1221"/>
      <c r="J909" s="1221"/>
      <c r="K909" s="1221"/>
      <c r="L909" s="1221"/>
      <c r="M909" s="1221"/>
      <c r="N909" s="1221"/>
      <c r="O909" s="1221"/>
      <c r="P909" s="1221"/>
      <c r="Q909" s="1221"/>
      <c r="R909" s="1221"/>
      <c r="S909" s="1221"/>
      <c r="T909" s="1221"/>
      <c r="U909" s="1221"/>
      <c r="V909" s="1221"/>
      <c r="W909" s="1221"/>
      <c r="X909" s="1221"/>
      <c r="Y909" s="1221"/>
      <c r="Z909" s="1221"/>
    </row>
    <row r="910" ht="15.75" customHeight="1">
      <c r="A910" s="1221"/>
      <c r="B910" s="1221"/>
      <c r="C910" s="1221"/>
      <c r="D910" s="1221"/>
      <c r="E910" s="1221"/>
      <c r="F910" s="1221"/>
      <c r="G910" s="1221"/>
      <c r="H910" s="1221"/>
      <c r="I910" s="1221"/>
      <c r="J910" s="1221"/>
      <c r="K910" s="1221"/>
      <c r="L910" s="1221"/>
      <c r="M910" s="1221"/>
      <c r="N910" s="1221"/>
      <c r="O910" s="1221"/>
      <c r="P910" s="1221"/>
      <c r="Q910" s="1221"/>
      <c r="R910" s="1221"/>
      <c r="S910" s="1221"/>
      <c r="T910" s="1221"/>
      <c r="U910" s="1221"/>
      <c r="V910" s="1221"/>
      <c r="W910" s="1221"/>
      <c r="X910" s="1221"/>
      <c r="Y910" s="1221"/>
      <c r="Z910" s="1221"/>
    </row>
    <row r="911" ht="15.75" customHeight="1">
      <c r="A911" s="1221"/>
      <c r="B911" s="1221"/>
      <c r="C911" s="1221"/>
      <c r="D911" s="1221"/>
      <c r="E911" s="1221"/>
      <c r="F911" s="1221"/>
      <c r="G911" s="1221"/>
      <c r="H911" s="1221"/>
      <c r="I911" s="1221"/>
      <c r="J911" s="1221"/>
      <c r="K911" s="1221"/>
      <c r="L911" s="1221"/>
      <c r="M911" s="1221"/>
      <c r="N911" s="1221"/>
      <c r="O911" s="1221"/>
      <c r="P911" s="1221"/>
      <c r="Q911" s="1221"/>
      <c r="R911" s="1221"/>
      <c r="S911" s="1221"/>
      <c r="T911" s="1221"/>
      <c r="U911" s="1221"/>
      <c r="V911" s="1221"/>
      <c r="W911" s="1221"/>
      <c r="X911" s="1221"/>
      <c r="Y911" s="1221"/>
      <c r="Z911" s="1221"/>
    </row>
    <row r="912" ht="15.75" customHeight="1">
      <c r="A912" s="1221"/>
      <c r="B912" s="1221"/>
      <c r="C912" s="1221"/>
      <c r="D912" s="1221"/>
      <c r="E912" s="1221"/>
      <c r="F912" s="1221"/>
      <c r="G912" s="1221"/>
      <c r="H912" s="1221"/>
      <c r="I912" s="1221"/>
      <c r="J912" s="1221"/>
      <c r="K912" s="1221"/>
      <c r="L912" s="1221"/>
      <c r="M912" s="1221"/>
      <c r="N912" s="1221"/>
      <c r="O912" s="1221"/>
      <c r="P912" s="1221"/>
      <c r="Q912" s="1221"/>
      <c r="R912" s="1221"/>
      <c r="S912" s="1221"/>
      <c r="T912" s="1221"/>
      <c r="U912" s="1221"/>
      <c r="V912" s="1221"/>
      <c r="W912" s="1221"/>
      <c r="X912" s="1221"/>
      <c r="Y912" s="1221"/>
      <c r="Z912" s="1221"/>
    </row>
    <row r="913" ht="15.75" customHeight="1">
      <c r="A913" s="1221"/>
      <c r="B913" s="1221"/>
      <c r="C913" s="1221"/>
      <c r="D913" s="1221"/>
      <c r="E913" s="1221"/>
      <c r="F913" s="1221"/>
      <c r="G913" s="1221"/>
      <c r="H913" s="1221"/>
      <c r="I913" s="1221"/>
      <c r="J913" s="1221"/>
      <c r="K913" s="1221"/>
      <c r="L913" s="1221"/>
      <c r="M913" s="1221"/>
      <c r="N913" s="1221"/>
      <c r="O913" s="1221"/>
      <c r="P913" s="1221"/>
      <c r="Q913" s="1221"/>
      <c r="R913" s="1221"/>
      <c r="S913" s="1221"/>
      <c r="T913" s="1221"/>
      <c r="U913" s="1221"/>
      <c r="V913" s="1221"/>
      <c r="W913" s="1221"/>
      <c r="X913" s="1221"/>
      <c r="Y913" s="1221"/>
      <c r="Z913" s="1221"/>
    </row>
    <row r="914" ht="15.75" customHeight="1">
      <c r="A914" s="1221"/>
      <c r="B914" s="1221"/>
      <c r="C914" s="1221"/>
      <c r="D914" s="1221"/>
      <c r="E914" s="1221"/>
      <c r="F914" s="1221"/>
      <c r="G914" s="1221"/>
      <c r="H914" s="1221"/>
      <c r="I914" s="1221"/>
      <c r="J914" s="1221"/>
      <c r="K914" s="1221"/>
      <c r="L914" s="1221"/>
      <c r="M914" s="1221"/>
      <c r="N914" s="1221"/>
      <c r="O914" s="1221"/>
      <c r="P914" s="1221"/>
      <c r="Q914" s="1221"/>
      <c r="R914" s="1221"/>
      <c r="S914" s="1221"/>
      <c r="T914" s="1221"/>
      <c r="U914" s="1221"/>
      <c r="V914" s="1221"/>
      <c r="W914" s="1221"/>
      <c r="X914" s="1221"/>
      <c r="Y914" s="1221"/>
      <c r="Z914" s="1221"/>
    </row>
    <row r="915" ht="15.75" customHeight="1">
      <c r="A915" s="1221"/>
      <c r="B915" s="1221"/>
      <c r="C915" s="1221"/>
      <c r="D915" s="1221"/>
      <c r="E915" s="1221"/>
      <c r="F915" s="1221"/>
      <c r="G915" s="1221"/>
      <c r="H915" s="1221"/>
      <c r="I915" s="1221"/>
      <c r="J915" s="1221"/>
      <c r="K915" s="1221"/>
      <c r="L915" s="1221"/>
      <c r="M915" s="1221"/>
      <c r="N915" s="1221"/>
      <c r="O915" s="1221"/>
      <c r="P915" s="1221"/>
      <c r="Q915" s="1221"/>
      <c r="R915" s="1221"/>
      <c r="S915" s="1221"/>
      <c r="T915" s="1221"/>
      <c r="U915" s="1221"/>
      <c r="V915" s="1221"/>
      <c r="W915" s="1221"/>
      <c r="X915" s="1221"/>
      <c r="Y915" s="1221"/>
      <c r="Z915" s="1221"/>
    </row>
    <row r="916" ht="15.75" customHeight="1">
      <c r="A916" s="1221"/>
      <c r="B916" s="1221"/>
      <c r="C916" s="1221"/>
      <c r="D916" s="1221"/>
      <c r="E916" s="1221"/>
      <c r="F916" s="1221"/>
      <c r="G916" s="1221"/>
      <c r="H916" s="1221"/>
      <c r="I916" s="1221"/>
      <c r="J916" s="1221"/>
      <c r="K916" s="1221"/>
      <c r="L916" s="1221"/>
      <c r="M916" s="1221"/>
      <c r="N916" s="1221"/>
      <c r="O916" s="1221"/>
      <c r="P916" s="1221"/>
      <c r="Q916" s="1221"/>
      <c r="R916" s="1221"/>
      <c r="S916" s="1221"/>
      <c r="T916" s="1221"/>
      <c r="U916" s="1221"/>
      <c r="V916" s="1221"/>
      <c r="W916" s="1221"/>
      <c r="X916" s="1221"/>
      <c r="Y916" s="1221"/>
      <c r="Z916" s="1221"/>
    </row>
    <row r="917" ht="15.75" customHeight="1">
      <c r="A917" s="1221"/>
      <c r="B917" s="1221"/>
      <c r="C917" s="1221"/>
      <c r="D917" s="1221"/>
      <c r="E917" s="1221"/>
      <c r="F917" s="1221"/>
      <c r="G917" s="1221"/>
      <c r="H917" s="1221"/>
      <c r="I917" s="1221"/>
      <c r="J917" s="1221"/>
      <c r="K917" s="1221"/>
      <c r="L917" s="1221"/>
      <c r="M917" s="1221"/>
      <c r="N917" s="1221"/>
      <c r="O917" s="1221"/>
      <c r="P917" s="1221"/>
      <c r="Q917" s="1221"/>
      <c r="R917" s="1221"/>
      <c r="S917" s="1221"/>
      <c r="T917" s="1221"/>
      <c r="U917" s="1221"/>
      <c r="V917" s="1221"/>
      <c r="W917" s="1221"/>
      <c r="X917" s="1221"/>
      <c r="Y917" s="1221"/>
      <c r="Z917" s="1221"/>
    </row>
    <row r="918" ht="15.75" customHeight="1">
      <c r="A918" s="1221"/>
      <c r="B918" s="1221"/>
      <c r="C918" s="1221"/>
      <c r="D918" s="1221"/>
      <c r="E918" s="1221"/>
      <c r="F918" s="1221"/>
      <c r="G918" s="1221"/>
      <c r="H918" s="1221"/>
      <c r="I918" s="1221"/>
      <c r="J918" s="1221"/>
      <c r="K918" s="1221"/>
      <c r="L918" s="1221"/>
      <c r="M918" s="1221"/>
      <c r="N918" s="1221"/>
      <c r="O918" s="1221"/>
      <c r="P918" s="1221"/>
      <c r="Q918" s="1221"/>
      <c r="R918" s="1221"/>
      <c r="S918" s="1221"/>
      <c r="T918" s="1221"/>
      <c r="U918" s="1221"/>
      <c r="V918" s="1221"/>
      <c r="W918" s="1221"/>
      <c r="X918" s="1221"/>
      <c r="Y918" s="1221"/>
      <c r="Z918" s="1221"/>
    </row>
    <row r="919" ht="15.75" customHeight="1">
      <c r="A919" s="1221"/>
      <c r="B919" s="1221"/>
      <c r="C919" s="1221"/>
      <c r="D919" s="1221"/>
      <c r="E919" s="1221"/>
      <c r="F919" s="1221"/>
      <c r="G919" s="1221"/>
      <c r="H919" s="1221"/>
      <c r="I919" s="1221"/>
      <c r="J919" s="1221"/>
      <c r="K919" s="1221"/>
      <c r="L919" s="1221"/>
      <c r="M919" s="1221"/>
      <c r="N919" s="1221"/>
      <c r="O919" s="1221"/>
      <c r="P919" s="1221"/>
      <c r="Q919" s="1221"/>
      <c r="R919" s="1221"/>
      <c r="S919" s="1221"/>
      <c r="T919" s="1221"/>
      <c r="U919" s="1221"/>
      <c r="V919" s="1221"/>
      <c r="W919" s="1221"/>
      <c r="X919" s="1221"/>
      <c r="Y919" s="1221"/>
      <c r="Z919" s="1221"/>
    </row>
    <row r="920" ht="15.75" customHeight="1">
      <c r="A920" s="1221"/>
      <c r="B920" s="1221"/>
      <c r="C920" s="1221"/>
      <c r="D920" s="1221"/>
      <c r="E920" s="1221"/>
      <c r="F920" s="1221"/>
      <c r="G920" s="1221"/>
      <c r="H920" s="1221"/>
      <c r="I920" s="1221"/>
      <c r="J920" s="1221"/>
      <c r="K920" s="1221"/>
      <c r="L920" s="1221"/>
      <c r="M920" s="1221"/>
      <c r="N920" s="1221"/>
      <c r="O920" s="1221"/>
      <c r="P920" s="1221"/>
      <c r="Q920" s="1221"/>
      <c r="R920" s="1221"/>
      <c r="S920" s="1221"/>
      <c r="T920" s="1221"/>
      <c r="U920" s="1221"/>
      <c r="V920" s="1221"/>
      <c r="W920" s="1221"/>
      <c r="X920" s="1221"/>
      <c r="Y920" s="1221"/>
      <c r="Z920" s="1221"/>
    </row>
    <row r="921" ht="15.75" customHeight="1">
      <c r="A921" s="1221"/>
      <c r="B921" s="1221"/>
      <c r="C921" s="1221"/>
      <c r="D921" s="1221"/>
      <c r="E921" s="1221"/>
      <c r="F921" s="1221"/>
      <c r="G921" s="1221"/>
      <c r="H921" s="1221"/>
      <c r="I921" s="1221"/>
      <c r="J921" s="1221"/>
      <c r="K921" s="1221"/>
      <c r="L921" s="1221"/>
      <c r="M921" s="1221"/>
      <c r="N921" s="1221"/>
      <c r="O921" s="1221"/>
      <c r="P921" s="1221"/>
      <c r="Q921" s="1221"/>
      <c r="R921" s="1221"/>
      <c r="S921" s="1221"/>
      <c r="T921" s="1221"/>
      <c r="U921" s="1221"/>
      <c r="V921" s="1221"/>
      <c r="W921" s="1221"/>
      <c r="X921" s="1221"/>
      <c r="Y921" s="1221"/>
      <c r="Z921" s="1221"/>
    </row>
    <row r="922" ht="15.75" customHeight="1">
      <c r="A922" s="1221"/>
      <c r="B922" s="1221"/>
      <c r="C922" s="1221"/>
      <c r="D922" s="1221"/>
      <c r="E922" s="1221"/>
      <c r="F922" s="1221"/>
      <c r="G922" s="1221"/>
      <c r="H922" s="1221"/>
      <c r="I922" s="1221"/>
      <c r="J922" s="1221"/>
      <c r="K922" s="1221"/>
      <c r="L922" s="1221"/>
      <c r="M922" s="1221"/>
      <c r="N922" s="1221"/>
      <c r="O922" s="1221"/>
      <c r="P922" s="1221"/>
      <c r="Q922" s="1221"/>
      <c r="R922" s="1221"/>
      <c r="S922" s="1221"/>
      <c r="T922" s="1221"/>
      <c r="U922" s="1221"/>
      <c r="V922" s="1221"/>
      <c r="W922" s="1221"/>
      <c r="X922" s="1221"/>
      <c r="Y922" s="1221"/>
      <c r="Z922" s="1221"/>
    </row>
    <row r="923" ht="15.75" customHeight="1">
      <c r="A923" s="1221"/>
      <c r="B923" s="1221"/>
      <c r="C923" s="1221"/>
      <c r="D923" s="1221"/>
      <c r="E923" s="1221"/>
      <c r="F923" s="1221"/>
      <c r="G923" s="1221"/>
      <c r="H923" s="1221"/>
      <c r="I923" s="1221"/>
      <c r="J923" s="1221"/>
      <c r="K923" s="1221"/>
      <c r="L923" s="1221"/>
      <c r="M923" s="1221"/>
      <c r="N923" s="1221"/>
      <c r="O923" s="1221"/>
      <c r="P923" s="1221"/>
      <c r="Q923" s="1221"/>
      <c r="R923" s="1221"/>
      <c r="S923" s="1221"/>
      <c r="T923" s="1221"/>
      <c r="U923" s="1221"/>
      <c r="V923" s="1221"/>
      <c r="W923" s="1221"/>
      <c r="X923" s="1221"/>
      <c r="Y923" s="1221"/>
      <c r="Z923" s="1221"/>
    </row>
    <row r="924" ht="15.75" customHeight="1">
      <c r="A924" s="1221"/>
      <c r="B924" s="1221"/>
      <c r="C924" s="1221"/>
      <c r="D924" s="1221"/>
      <c r="E924" s="1221"/>
      <c r="F924" s="1221"/>
      <c r="G924" s="1221"/>
      <c r="H924" s="1221"/>
      <c r="I924" s="1221"/>
      <c r="J924" s="1221"/>
      <c r="K924" s="1221"/>
      <c r="L924" s="1221"/>
      <c r="M924" s="1221"/>
      <c r="N924" s="1221"/>
      <c r="O924" s="1221"/>
      <c r="P924" s="1221"/>
      <c r="Q924" s="1221"/>
      <c r="R924" s="1221"/>
      <c r="S924" s="1221"/>
      <c r="T924" s="1221"/>
      <c r="U924" s="1221"/>
      <c r="V924" s="1221"/>
      <c r="W924" s="1221"/>
      <c r="X924" s="1221"/>
      <c r="Y924" s="1221"/>
      <c r="Z924" s="1221"/>
    </row>
    <row r="925" ht="15.75" customHeight="1">
      <c r="A925" s="1221"/>
      <c r="B925" s="1221"/>
      <c r="C925" s="1221"/>
      <c r="D925" s="1221"/>
      <c r="E925" s="1221"/>
      <c r="F925" s="1221"/>
      <c r="G925" s="1221"/>
      <c r="H925" s="1221"/>
      <c r="I925" s="1221"/>
      <c r="J925" s="1221"/>
      <c r="K925" s="1221"/>
      <c r="L925" s="1221"/>
      <c r="M925" s="1221"/>
      <c r="N925" s="1221"/>
      <c r="O925" s="1221"/>
      <c r="P925" s="1221"/>
      <c r="Q925" s="1221"/>
      <c r="R925" s="1221"/>
      <c r="S925" s="1221"/>
      <c r="T925" s="1221"/>
      <c r="U925" s="1221"/>
      <c r="V925" s="1221"/>
      <c r="W925" s="1221"/>
      <c r="X925" s="1221"/>
      <c r="Y925" s="1221"/>
      <c r="Z925" s="1221"/>
    </row>
    <row r="926" ht="15.75" customHeight="1">
      <c r="A926" s="1221"/>
      <c r="B926" s="1221"/>
      <c r="C926" s="1221"/>
      <c r="D926" s="1221"/>
      <c r="E926" s="1221"/>
      <c r="F926" s="1221"/>
      <c r="G926" s="1221"/>
      <c r="H926" s="1221"/>
      <c r="I926" s="1221"/>
      <c r="J926" s="1221"/>
      <c r="K926" s="1221"/>
      <c r="L926" s="1221"/>
      <c r="M926" s="1221"/>
      <c r="N926" s="1221"/>
      <c r="O926" s="1221"/>
      <c r="P926" s="1221"/>
      <c r="Q926" s="1221"/>
      <c r="R926" s="1221"/>
      <c r="S926" s="1221"/>
      <c r="T926" s="1221"/>
      <c r="U926" s="1221"/>
      <c r="V926" s="1221"/>
      <c r="W926" s="1221"/>
      <c r="X926" s="1221"/>
      <c r="Y926" s="1221"/>
      <c r="Z926" s="1221"/>
    </row>
    <row r="927" ht="15.75" customHeight="1">
      <c r="A927" s="1221"/>
      <c r="B927" s="1221"/>
      <c r="C927" s="1221"/>
      <c r="D927" s="1221"/>
      <c r="E927" s="1221"/>
      <c r="F927" s="1221"/>
      <c r="G927" s="1221"/>
      <c r="H927" s="1221"/>
      <c r="I927" s="1221"/>
      <c r="J927" s="1221"/>
      <c r="K927" s="1221"/>
      <c r="L927" s="1221"/>
      <c r="M927" s="1221"/>
      <c r="N927" s="1221"/>
      <c r="O927" s="1221"/>
      <c r="P927" s="1221"/>
      <c r="Q927" s="1221"/>
      <c r="R927" s="1221"/>
      <c r="S927" s="1221"/>
      <c r="T927" s="1221"/>
      <c r="U927" s="1221"/>
      <c r="V927" s="1221"/>
      <c r="W927" s="1221"/>
      <c r="X927" s="1221"/>
      <c r="Y927" s="1221"/>
      <c r="Z927" s="1221"/>
    </row>
    <row r="928" ht="15.75" customHeight="1">
      <c r="A928" s="1221"/>
      <c r="B928" s="1221"/>
      <c r="C928" s="1221"/>
      <c r="D928" s="1221"/>
      <c r="E928" s="1221"/>
      <c r="F928" s="1221"/>
      <c r="G928" s="1221"/>
      <c r="H928" s="1221"/>
      <c r="I928" s="1221"/>
      <c r="J928" s="1221"/>
      <c r="K928" s="1221"/>
      <c r="L928" s="1221"/>
      <c r="M928" s="1221"/>
      <c r="N928" s="1221"/>
      <c r="O928" s="1221"/>
      <c r="P928" s="1221"/>
      <c r="Q928" s="1221"/>
      <c r="R928" s="1221"/>
      <c r="S928" s="1221"/>
      <c r="T928" s="1221"/>
      <c r="U928" s="1221"/>
      <c r="V928" s="1221"/>
      <c r="W928" s="1221"/>
      <c r="X928" s="1221"/>
      <c r="Y928" s="1221"/>
      <c r="Z928" s="1221"/>
    </row>
    <row r="929" ht="15.75" customHeight="1">
      <c r="A929" s="1221"/>
      <c r="B929" s="1221"/>
      <c r="C929" s="1221"/>
      <c r="D929" s="1221"/>
      <c r="E929" s="1221"/>
      <c r="F929" s="1221"/>
      <c r="G929" s="1221"/>
      <c r="H929" s="1221"/>
      <c r="I929" s="1221"/>
      <c r="J929" s="1221"/>
      <c r="K929" s="1221"/>
      <c r="L929" s="1221"/>
      <c r="M929" s="1221"/>
      <c r="N929" s="1221"/>
      <c r="O929" s="1221"/>
      <c r="P929" s="1221"/>
      <c r="Q929" s="1221"/>
      <c r="R929" s="1221"/>
      <c r="S929" s="1221"/>
      <c r="T929" s="1221"/>
      <c r="U929" s="1221"/>
      <c r="V929" s="1221"/>
      <c r="W929" s="1221"/>
      <c r="X929" s="1221"/>
      <c r="Y929" s="1221"/>
      <c r="Z929" s="1221"/>
    </row>
    <row r="930" ht="15.75" customHeight="1">
      <c r="A930" s="1221"/>
      <c r="B930" s="1221"/>
      <c r="C930" s="1221"/>
      <c r="D930" s="1221"/>
      <c r="E930" s="1221"/>
      <c r="F930" s="1221"/>
      <c r="G930" s="1221"/>
      <c r="H930" s="1221"/>
      <c r="I930" s="1221"/>
      <c r="J930" s="1221"/>
      <c r="K930" s="1221"/>
      <c r="L930" s="1221"/>
      <c r="M930" s="1221"/>
      <c r="N930" s="1221"/>
      <c r="O930" s="1221"/>
      <c r="P930" s="1221"/>
      <c r="Q930" s="1221"/>
      <c r="R930" s="1221"/>
      <c r="S930" s="1221"/>
      <c r="T930" s="1221"/>
      <c r="U930" s="1221"/>
      <c r="V930" s="1221"/>
      <c r="W930" s="1221"/>
      <c r="X930" s="1221"/>
      <c r="Y930" s="1221"/>
      <c r="Z930" s="1221"/>
    </row>
    <row r="931" ht="15.75" customHeight="1">
      <c r="A931" s="1221"/>
      <c r="B931" s="1221"/>
      <c r="C931" s="1221"/>
      <c r="D931" s="1221"/>
      <c r="E931" s="1221"/>
      <c r="F931" s="1221"/>
      <c r="G931" s="1221"/>
      <c r="H931" s="1221"/>
      <c r="I931" s="1221"/>
      <c r="J931" s="1221"/>
      <c r="K931" s="1221"/>
      <c r="L931" s="1221"/>
      <c r="M931" s="1221"/>
      <c r="N931" s="1221"/>
      <c r="O931" s="1221"/>
      <c r="P931" s="1221"/>
      <c r="Q931" s="1221"/>
      <c r="R931" s="1221"/>
      <c r="S931" s="1221"/>
      <c r="T931" s="1221"/>
      <c r="U931" s="1221"/>
      <c r="V931" s="1221"/>
      <c r="W931" s="1221"/>
      <c r="X931" s="1221"/>
      <c r="Y931" s="1221"/>
      <c r="Z931" s="1221"/>
    </row>
    <row r="932" ht="15.75" customHeight="1">
      <c r="A932" s="1221"/>
      <c r="B932" s="1221"/>
      <c r="C932" s="1221"/>
      <c r="D932" s="1221"/>
      <c r="E932" s="1221"/>
      <c r="F932" s="1221"/>
      <c r="G932" s="1221"/>
      <c r="H932" s="1221"/>
      <c r="I932" s="1221"/>
      <c r="J932" s="1221"/>
      <c r="K932" s="1221"/>
      <c r="L932" s="1221"/>
      <c r="M932" s="1221"/>
      <c r="N932" s="1221"/>
      <c r="O932" s="1221"/>
      <c r="P932" s="1221"/>
      <c r="Q932" s="1221"/>
      <c r="R932" s="1221"/>
      <c r="S932" s="1221"/>
      <c r="T932" s="1221"/>
      <c r="U932" s="1221"/>
      <c r="V932" s="1221"/>
      <c r="W932" s="1221"/>
      <c r="X932" s="1221"/>
      <c r="Y932" s="1221"/>
      <c r="Z932" s="1221"/>
    </row>
    <row r="933" ht="15.75" customHeight="1">
      <c r="A933" s="1221"/>
      <c r="B933" s="1221"/>
      <c r="C933" s="1221"/>
      <c r="D933" s="1221"/>
      <c r="E933" s="1221"/>
      <c r="F933" s="1221"/>
      <c r="G933" s="1221"/>
      <c r="H933" s="1221"/>
      <c r="I933" s="1221"/>
      <c r="J933" s="1221"/>
      <c r="K933" s="1221"/>
      <c r="L933" s="1221"/>
      <c r="M933" s="1221"/>
      <c r="N933" s="1221"/>
      <c r="O933" s="1221"/>
      <c r="P933" s="1221"/>
      <c r="Q933" s="1221"/>
      <c r="R933" s="1221"/>
      <c r="S933" s="1221"/>
      <c r="T933" s="1221"/>
      <c r="U933" s="1221"/>
      <c r="V933" s="1221"/>
      <c r="W933" s="1221"/>
      <c r="X933" s="1221"/>
      <c r="Y933" s="1221"/>
      <c r="Z933" s="1221"/>
    </row>
    <row r="934" ht="15.75" customHeight="1">
      <c r="A934" s="1221"/>
      <c r="B934" s="1221"/>
      <c r="C934" s="1221"/>
      <c r="D934" s="1221"/>
      <c r="E934" s="1221"/>
      <c r="F934" s="1221"/>
      <c r="G934" s="1221"/>
      <c r="H934" s="1221"/>
      <c r="I934" s="1221"/>
      <c r="J934" s="1221"/>
      <c r="K934" s="1221"/>
      <c r="L934" s="1221"/>
      <c r="M934" s="1221"/>
      <c r="N934" s="1221"/>
      <c r="O934" s="1221"/>
      <c r="P934" s="1221"/>
      <c r="Q934" s="1221"/>
      <c r="R934" s="1221"/>
      <c r="S934" s="1221"/>
      <c r="T934" s="1221"/>
      <c r="U934" s="1221"/>
      <c r="V934" s="1221"/>
      <c r="W934" s="1221"/>
      <c r="X934" s="1221"/>
      <c r="Y934" s="1221"/>
      <c r="Z934" s="1221"/>
    </row>
    <row r="935" ht="15.75" customHeight="1">
      <c r="A935" s="1221"/>
      <c r="B935" s="1221"/>
      <c r="C935" s="1221"/>
      <c r="D935" s="1221"/>
      <c r="E935" s="1221"/>
      <c r="F935" s="1221"/>
      <c r="G935" s="1221"/>
      <c r="H935" s="1221"/>
      <c r="I935" s="1221"/>
      <c r="J935" s="1221"/>
      <c r="K935" s="1221"/>
      <c r="L935" s="1221"/>
      <c r="M935" s="1221"/>
      <c r="N935" s="1221"/>
      <c r="O935" s="1221"/>
      <c r="P935" s="1221"/>
      <c r="Q935" s="1221"/>
      <c r="R935" s="1221"/>
      <c r="S935" s="1221"/>
      <c r="T935" s="1221"/>
      <c r="U935" s="1221"/>
      <c r="V935" s="1221"/>
      <c r="W935" s="1221"/>
      <c r="X935" s="1221"/>
      <c r="Y935" s="1221"/>
      <c r="Z935" s="1221"/>
    </row>
    <row r="936" ht="15.75" customHeight="1">
      <c r="A936" s="1221"/>
      <c r="B936" s="1221"/>
      <c r="C936" s="1221"/>
      <c r="D936" s="1221"/>
      <c r="E936" s="1221"/>
      <c r="F936" s="1221"/>
      <c r="G936" s="1221"/>
      <c r="H936" s="1221"/>
      <c r="I936" s="1221"/>
      <c r="J936" s="1221"/>
      <c r="K936" s="1221"/>
      <c r="L936" s="1221"/>
      <c r="M936" s="1221"/>
      <c r="N936" s="1221"/>
      <c r="O936" s="1221"/>
      <c r="P936" s="1221"/>
      <c r="Q936" s="1221"/>
      <c r="R936" s="1221"/>
      <c r="S936" s="1221"/>
      <c r="T936" s="1221"/>
      <c r="U936" s="1221"/>
      <c r="V936" s="1221"/>
      <c r="W936" s="1221"/>
      <c r="X936" s="1221"/>
      <c r="Y936" s="1221"/>
      <c r="Z936" s="1221"/>
    </row>
    <row r="937" ht="15.75" customHeight="1">
      <c r="A937" s="1221"/>
      <c r="B937" s="1221"/>
      <c r="C937" s="1221"/>
      <c r="D937" s="1221"/>
      <c r="E937" s="1221"/>
      <c r="F937" s="1221"/>
      <c r="G937" s="1221"/>
      <c r="H937" s="1221"/>
      <c r="I937" s="1221"/>
      <c r="J937" s="1221"/>
      <c r="K937" s="1221"/>
      <c r="L937" s="1221"/>
      <c r="M937" s="1221"/>
      <c r="N937" s="1221"/>
      <c r="O937" s="1221"/>
      <c r="P937" s="1221"/>
      <c r="Q937" s="1221"/>
      <c r="R937" s="1221"/>
      <c r="S937" s="1221"/>
      <c r="T937" s="1221"/>
      <c r="U937" s="1221"/>
      <c r="V937" s="1221"/>
      <c r="W937" s="1221"/>
      <c r="X937" s="1221"/>
      <c r="Y937" s="1221"/>
      <c r="Z937" s="1221"/>
    </row>
    <row r="938" ht="15.75" customHeight="1">
      <c r="A938" s="1221"/>
      <c r="B938" s="1221"/>
      <c r="C938" s="1221"/>
      <c r="D938" s="1221"/>
      <c r="E938" s="1221"/>
      <c r="F938" s="1221"/>
      <c r="G938" s="1221"/>
      <c r="H938" s="1221"/>
      <c r="I938" s="1221"/>
      <c r="J938" s="1221"/>
      <c r="K938" s="1221"/>
      <c r="L938" s="1221"/>
      <c r="M938" s="1221"/>
      <c r="N938" s="1221"/>
      <c r="O938" s="1221"/>
      <c r="P938" s="1221"/>
      <c r="Q938" s="1221"/>
      <c r="R938" s="1221"/>
      <c r="S938" s="1221"/>
      <c r="T938" s="1221"/>
      <c r="U938" s="1221"/>
      <c r="V938" s="1221"/>
      <c r="W938" s="1221"/>
      <c r="X938" s="1221"/>
      <c r="Y938" s="1221"/>
      <c r="Z938" s="1221"/>
    </row>
    <row r="939" ht="15.75" customHeight="1">
      <c r="A939" s="1221"/>
      <c r="B939" s="1221"/>
      <c r="C939" s="1221"/>
      <c r="D939" s="1221"/>
      <c r="E939" s="1221"/>
      <c r="F939" s="1221"/>
      <c r="G939" s="1221"/>
      <c r="H939" s="1221"/>
      <c r="I939" s="1221"/>
      <c r="J939" s="1221"/>
      <c r="K939" s="1221"/>
      <c r="L939" s="1221"/>
      <c r="M939" s="1221"/>
      <c r="N939" s="1221"/>
      <c r="O939" s="1221"/>
      <c r="P939" s="1221"/>
      <c r="Q939" s="1221"/>
      <c r="R939" s="1221"/>
      <c r="S939" s="1221"/>
      <c r="T939" s="1221"/>
      <c r="U939" s="1221"/>
      <c r="V939" s="1221"/>
      <c r="W939" s="1221"/>
      <c r="X939" s="1221"/>
      <c r="Y939" s="1221"/>
      <c r="Z939" s="1221"/>
    </row>
    <row r="940" ht="15.75" customHeight="1">
      <c r="A940" s="1221"/>
      <c r="B940" s="1221"/>
      <c r="C940" s="1221"/>
      <c r="D940" s="1221"/>
      <c r="E940" s="1221"/>
      <c r="F940" s="1221"/>
      <c r="G940" s="1221"/>
      <c r="H940" s="1221"/>
      <c r="I940" s="1221"/>
      <c r="J940" s="1221"/>
      <c r="K940" s="1221"/>
      <c r="L940" s="1221"/>
      <c r="M940" s="1221"/>
      <c r="N940" s="1221"/>
      <c r="O940" s="1221"/>
      <c r="P940" s="1221"/>
      <c r="Q940" s="1221"/>
      <c r="R940" s="1221"/>
      <c r="S940" s="1221"/>
      <c r="T940" s="1221"/>
      <c r="U940" s="1221"/>
      <c r="V940" s="1221"/>
      <c r="W940" s="1221"/>
      <c r="X940" s="1221"/>
      <c r="Y940" s="1221"/>
      <c r="Z940" s="1221"/>
    </row>
    <row r="941" ht="15.75" customHeight="1">
      <c r="A941" s="1221"/>
      <c r="B941" s="1221"/>
      <c r="C941" s="1221"/>
      <c r="D941" s="1221"/>
      <c r="E941" s="1221"/>
      <c r="F941" s="1221"/>
      <c r="G941" s="1221"/>
      <c r="H941" s="1221"/>
      <c r="I941" s="1221"/>
      <c r="J941" s="1221"/>
      <c r="K941" s="1221"/>
      <c r="L941" s="1221"/>
      <c r="M941" s="1221"/>
      <c r="N941" s="1221"/>
      <c r="O941" s="1221"/>
      <c r="P941" s="1221"/>
      <c r="Q941" s="1221"/>
      <c r="R941" s="1221"/>
      <c r="S941" s="1221"/>
      <c r="T941" s="1221"/>
      <c r="U941" s="1221"/>
      <c r="V941" s="1221"/>
      <c r="W941" s="1221"/>
      <c r="X941" s="1221"/>
      <c r="Y941" s="1221"/>
      <c r="Z941" s="1221"/>
    </row>
    <row r="942" ht="15.75" customHeight="1">
      <c r="A942" s="1221"/>
      <c r="B942" s="1221"/>
      <c r="C942" s="1221"/>
      <c r="D942" s="1221"/>
      <c r="E942" s="1221"/>
      <c r="F942" s="1221"/>
      <c r="G942" s="1221"/>
      <c r="H942" s="1221"/>
      <c r="I942" s="1221"/>
      <c r="J942" s="1221"/>
      <c r="K942" s="1221"/>
      <c r="L942" s="1221"/>
      <c r="M942" s="1221"/>
      <c r="N942" s="1221"/>
      <c r="O942" s="1221"/>
      <c r="P942" s="1221"/>
      <c r="Q942" s="1221"/>
      <c r="R942" s="1221"/>
      <c r="S942" s="1221"/>
      <c r="T942" s="1221"/>
      <c r="U942" s="1221"/>
      <c r="V942" s="1221"/>
      <c r="W942" s="1221"/>
      <c r="X942" s="1221"/>
      <c r="Y942" s="1221"/>
      <c r="Z942" s="1221"/>
    </row>
    <row r="943" ht="15.75" customHeight="1">
      <c r="A943" s="1221"/>
      <c r="B943" s="1221"/>
      <c r="C943" s="1221"/>
      <c r="D943" s="1221"/>
      <c r="E943" s="1221"/>
      <c r="F943" s="1221"/>
      <c r="G943" s="1221"/>
      <c r="H943" s="1221"/>
      <c r="I943" s="1221"/>
      <c r="J943" s="1221"/>
      <c r="K943" s="1221"/>
      <c r="L943" s="1221"/>
      <c r="M943" s="1221"/>
      <c r="N943" s="1221"/>
      <c r="O943" s="1221"/>
      <c r="P943" s="1221"/>
      <c r="Q943" s="1221"/>
      <c r="R943" s="1221"/>
      <c r="S943" s="1221"/>
      <c r="T943" s="1221"/>
      <c r="U943" s="1221"/>
      <c r="V943" s="1221"/>
      <c r="W943" s="1221"/>
      <c r="X943" s="1221"/>
      <c r="Y943" s="1221"/>
      <c r="Z943" s="1221"/>
    </row>
    <row r="944" ht="15.75" customHeight="1">
      <c r="A944" s="1221"/>
      <c r="B944" s="1221"/>
      <c r="C944" s="1221"/>
      <c r="D944" s="1221"/>
      <c r="E944" s="1221"/>
      <c r="F944" s="1221"/>
      <c r="G944" s="1221"/>
      <c r="H944" s="1221"/>
      <c r="I944" s="1221"/>
      <c r="J944" s="1221"/>
      <c r="K944" s="1221"/>
      <c r="L944" s="1221"/>
      <c r="M944" s="1221"/>
      <c r="N944" s="1221"/>
      <c r="O944" s="1221"/>
      <c r="P944" s="1221"/>
      <c r="Q944" s="1221"/>
      <c r="R944" s="1221"/>
      <c r="S944" s="1221"/>
      <c r="T944" s="1221"/>
      <c r="U944" s="1221"/>
      <c r="V944" s="1221"/>
      <c r="W944" s="1221"/>
      <c r="X944" s="1221"/>
      <c r="Y944" s="1221"/>
      <c r="Z944" s="1221"/>
    </row>
    <row r="945" ht="15.75" customHeight="1">
      <c r="A945" s="1221"/>
      <c r="B945" s="1221"/>
      <c r="C945" s="1221"/>
      <c r="D945" s="1221"/>
      <c r="E945" s="1221"/>
      <c r="F945" s="1221"/>
      <c r="G945" s="1221"/>
      <c r="H945" s="1221"/>
      <c r="I945" s="1221"/>
      <c r="J945" s="1221"/>
      <c r="K945" s="1221"/>
      <c r="L945" s="1221"/>
      <c r="M945" s="1221"/>
      <c r="N945" s="1221"/>
      <c r="O945" s="1221"/>
      <c r="P945" s="1221"/>
      <c r="Q945" s="1221"/>
      <c r="R945" s="1221"/>
      <c r="S945" s="1221"/>
      <c r="T945" s="1221"/>
      <c r="U945" s="1221"/>
      <c r="V945" s="1221"/>
      <c r="W945" s="1221"/>
      <c r="X945" s="1221"/>
      <c r="Y945" s="1221"/>
      <c r="Z945" s="1221"/>
    </row>
    <row r="946" ht="15.75" customHeight="1">
      <c r="A946" s="1221"/>
      <c r="B946" s="1221"/>
      <c r="C946" s="1221"/>
      <c r="D946" s="1221"/>
      <c r="E946" s="1221"/>
      <c r="F946" s="1221"/>
      <c r="G946" s="1221"/>
      <c r="H946" s="1221"/>
      <c r="I946" s="1221"/>
      <c r="J946" s="1221"/>
      <c r="K946" s="1221"/>
      <c r="L946" s="1221"/>
      <c r="M946" s="1221"/>
      <c r="N946" s="1221"/>
      <c r="O946" s="1221"/>
      <c r="P946" s="1221"/>
      <c r="Q946" s="1221"/>
      <c r="R946" s="1221"/>
      <c r="S946" s="1221"/>
      <c r="T946" s="1221"/>
      <c r="U946" s="1221"/>
      <c r="V946" s="1221"/>
      <c r="W946" s="1221"/>
      <c r="X946" s="1221"/>
      <c r="Y946" s="1221"/>
      <c r="Z946" s="1221"/>
    </row>
    <row r="947" ht="15.75" customHeight="1">
      <c r="A947" s="1221"/>
      <c r="B947" s="1221"/>
      <c r="C947" s="1221"/>
      <c r="D947" s="1221"/>
      <c r="E947" s="1221"/>
      <c r="F947" s="1221"/>
      <c r="G947" s="1221"/>
      <c r="H947" s="1221"/>
      <c r="I947" s="1221"/>
      <c r="J947" s="1221"/>
      <c r="K947" s="1221"/>
      <c r="L947" s="1221"/>
      <c r="M947" s="1221"/>
      <c r="N947" s="1221"/>
      <c r="O947" s="1221"/>
      <c r="P947" s="1221"/>
      <c r="Q947" s="1221"/>
      <c r="R947" s="1221"/>
      <c r="S947" s="1221"/>
      <c r="T947" s="1221"/>
      <c r="U947" s="1221"/>
      <c r="V947" s="1221"/>
      <c r="W947" s="1221"/>
      <c r="X947" s="1221"/>
      <c r="Y947" s="1221"/>
      <c r="Z947" s="1221"/>
    </row>
    <row r="948" ht="15.75" customHeight="1">
      <c r="A948" s="1221"/>
      <c r="B948" s="1221"/>
      <c r="C948" s="1221"/>
      <c r="D948" s="1221"/>
      <c r="E948" s="1221"/>
      <c r="F948" s="1221"/>
      <c r="G948" s="1221"/>
      <c r="H948" s="1221"/>
      <c r="I948" s="1221"/>
      <c r="J948" s="1221"/>
      <c r="K948" s="1221"/>
      <c r="L948" s="1221"/>
      <c r="M948" s="1221"/>
      <c r="N948" s="1221"/>
      <c r="O948" s="1221"/>
      <c r="P948" s="1221"/>
      <c r="Q948" s="1221"/>
      <c r="R948" s="1221"/>
      <c r="S948" s="1221"/>
      <c r="T948" s="1221"/>
      <c r="U948" s="1221"/>
      <c r="V948" s="1221"/>
      <c r="W948" s="1221"/>
      <c r="X948" s="1221"/>
      <c r="Y948" s="1221"/>
      <c r="Z948" s="1221"/>
    </row>
    <row r="949" ht="15.75" customHeight="1">
      <c r="A949" s="1221"/>
      <c r="B949" s="1221"/>
      <c r="C949" s="1221"/>
      <c r="D949" s="1221"/>
      <c r="E949" s="1221"/>
      <c r="F949" s="1221"/>
      <c r="G949" s="1221"/>
      <c r="H949" s="1221"/>
      <c r="I949" s="1221"/>
      <c r="J949" s="1221"/>
      <c r="K949" s="1221"/>
      <c r="L949" s="1221"/>
      <c r="M949" s="1221"/>
      <c r="N949" s="1221"/>
      <c r="O949" s="1221"/>
      <c r="P949" s="1221"/>
      <c r="Q949" s="1221"/>
      <c r="R949" s="1221"/>
      <c r="S949" s="1221"/>
      <c r="T949" s="1221"/>
      <c r="U949" s="1221"/>
      <c r="V949" s="1221"/>
      <c r="W949" s="1221"/>
      <c r="X949" s="1221"/>
      <c r="Y949" s="1221"/>
      <c r="Z949" s="1221"/>
    </row>
    <row r="950" ht="15.75" customHeight="1">
      <c r="A950" s="1221"/>
      <c r="B950" s="1221"/>
      <c r="C950" s="1221"/>
      <c r="D950" s="1221"/>
      <c r="E950" s="1221"/>
      <c r="F950" s="1221"/>
      <c r="G950" s="1221"/>
      <c r="H950" s="1221"/>
      <c r="I950" s="1221"/>
      <c r="J950" s="1221"/>
      <c r="K950" s="1221"/>
      <c r="L950" s="1221"/>
      <c r="M950" s="1221"/>
      <c r="N950" s="1221"/>
      <c r="O950" s="1221"/>
      <c r="P950" s="1221"/>
      <c r="Q950" s="1221"/>
      <c r="R950" s="1221"/>
      <c r="S950" s="1221"/>
      <c r="T950" s="1221"/>
      <c r="U950" s="1221"/>
      <c r="V950" s="1221"/>
      <c r="W950" s="1221"/>
      <c r="X950" s="1221"/>
      <c r="Y950" s="1221"/>
      <c r="Z950" s="1221"/>
    </row>
    <row r="951" ht="15.75" customHeight="1">
      <c r="A951" s="1221"/>
      <c r="B951" s="1221"/>
      <c r="C951" s="1221"/>
      <c r="D951" s="1221"/>
      <c r="E951" s="1221"/>
      <c r="F951" s="1221"/>
      <c r="G951" s="1221"/>
      <c r="H951" s="1221"/>
      <c r="I951" s="1221"/>
      <c r="J951" s="1221"/>
      <c r="K951" s="1221"/>
      <c r="L951" s="1221"/>
      <c r="M951" s="1221"/>
      <c r="N951" s="1221"/>
      <c r="O951" s="1221"/>
      <c r="P951" s="1221"/>
      <c r="Q951" s="1221"/>
      <c r="R951" s="1221"/>
      <c r="S951" s="1221"/>
      <c r="T951" s="1221"/>
      <c r="U951" s="1221"/>
      <c r="V951" s="1221"/>
      <c r="W951" s="1221"/>
      <c r="X951" s="1221"/>
      <c r="Y951" s="1221"/>
      <c r="Z951" s="1221"/>
    </row>
    <row r="952" ht="15.75" customHeight="1">
      <c r="A952" s="1221"/>
      <c r="B952" s="1221"/>
      <c r="C952" s="1221"/>
      <c r="D952" s="1221"/>
      <c r="E952" s="1221"/>
      <c r="F952" s="1221"/>
      <c r="G952" s="1221"/>
      <c r="H952" s="1221"/>
      <c r="I952" s="1221"/>
      <c r="J952" s="1221"/>
      <c r="K952" s="1221"/>
      <c r="L952" s="1221"/>
      <c r="M952" s="1221"/>
      <c r="N952" s="1221"/>
      <c r="O952" s="1221"/>
      <c r="P952" s="1221"/>
      <c r="Q952" s="1221"/>
      <c r="R952" s="1221"/>
      <c r="S952" s="1221"/>
      <c r="T952" s="1221"/>
      <c r="U952" s="1221"/>
      <c r="V952" s="1221"/>
      <c r="W952" s="1221"/>
      <c r="X952" s="1221"/>
      <c r="Y952" s="1221"/>
      <c r="Z952" s="1221"/>
    </row>
    <row r="953" ht="15.75" customHeight="1">
      <c r="A953" s="1221"/>
      <c r="B953" s="1221"/>
      <c r="C953" s="1221"/>
      <c r="D953" s="1221"/>
      <c r="E953" s="1221"/>
      <c r="F953" s="1221"/>
      <c r="G953" s="1221"/>
      <c r="H953" s="1221"/>
      <c r="I953" s="1221"/>
      <c r="J953" s="1221"/>
      <c r="K953" s="1221"/>
      <c r="L953" s="1221"/>
      <c r="M953" s="1221"/>
      <c r="N953" s="1221"/>
      <c r="O953" s="1221"/>
      <c r="P953" s="1221"/>
      <c r="Q953" s="1221"/>
      <c r="R953" s="1221"/>
      <c r="S953" s="1221"/>
      <c r="T953" s="1221"/>
      <c r="U953" s="1221"/>
      <c r="V953" s="1221"/>
      <c r="W953" s="1221"/>
      <c r="X953" s="1221"/>
      <c r="Y953" s="1221"/>
      <c r="Z953" s="1221"/>
    </row>
    <row r="954" ht="15.75" customHeight="1">
      <c r="A954" s="1221"/>
      <c r="B954" s="1221"/>
      <c r="C954" s="1221"/>
      <c r="D954" s="1221"/>
      <c r="E954" s="1221"/>
      <c r="F954" s="1221"/>
      <c r="G954" s="1221"/>
      <c r="H954" s="1221"/>
      <c r="I954" s="1221"/>
      <c r="J954" s="1221"/>
      <c r="K954" s="1221"/>
      <c r="L954" s="1221"/>
      <c r="M954" s="1221"/>
      <c r="N954" s="1221"/>
      <c r="O954" s="1221"/>
      <c r="P954" s="1221"/>
      <c r="Q954" s="1221"/>
      <c r="R954" s="1221"/>
      <c r="S954" s="1221"/>
      <c r="T954" s="1221"/>
      <c r="U954" s="1221"/>
      <c r="V954" s="1221"/>
      <c r="W954" s="1221"/>
      <c r="X954" s="1221"/>
      <c r="Y954" s="1221"/>
      <c r="Z954" s="1221"/>
    </row>
    <row r="955" ht="15.75" customHeight="1">
      <c r="A955" s="1221"/>
      <c r="B955" s="1221"/>
      <c r="C955" s="1221"/>
      <c r="D955" s="1221"/>
      <c r="E955" s="1221"/>
      <c r="F955" s="1221"/>
      <c r="G955" s="1221"/>
      <c r="H955" s="1221"/>
      <c r="I955" s="1221"/>
      <c r="J955" s="1221"/>
      <c r="K955" s="1221"/>
      <c r="L955" s="1221"/>
      <c r="M955" s="1221"/>
      <c r="N955" s="1221"/>
      <c r="O955" s="1221"/>
      <c r="P955" s="1221"/>
      <c r="Q955" s="1221"/>
      <c r="R955" s="1221"/>
      <c r="S955" s="1221"/>
      <c r="T955" s="1221"/>
      <c r="U955" s="1221"/>
      <c r="V955" s="1221"/>
      <c r="W955" s="1221"/>
      <c r="X955" s="1221"/>
      <c r="Y955" s="1221"/>
      <c r="Z955" s="1221"/>
    </row>
    <row r="956" ht="15.75" customHeight="1">
      <c r="A956" s="1221"/>
      <c r="B956" s="1221"/>
      <c r="C956" s="1221"/>
      <c r="D956" s="1221"/>
      <c r="E956" s="1221"/>
      <c r="F956" s="1221"/>
      <c r="G956" s="1221"/>
      <c r="H956" s="1221"/>
      <c r="I956" s="1221"/>
      <c r="J956" s="1221"/>
      <c r="K956" s="1221"/>
      <c r="L956" s="1221"/>
      <c r="M956" s="1221"/>
      <c r="N956" s="1221"/>
      <c r="O956" s="1221"/>
      <c r="P956" s="1221"/>
      <c r="Q956" s="1221"/>
      <c r="R956" s="1221"/>
      <c r="S956" s="1221"/>
      <c r="T956" s="1221"/>
      <c r="U956" s="1221"/>
      <c r="V956" s="1221"/>
      <c r="W956" s="1221"/>
      <c r="X956" s="1221"/>
      <c r="Y956" s="1221"/>
      <c r="Z956" s="1221"/>
    </row>
    <row r="957" ht="15.75" customHeight="1">
      <c r="A957" s="1221"/>
      <c r="B957" s="1221"/>
      <c r="C957" s="1221"/>
      <c r="D957" s="1221"/>
      <c r="E957" s="1221"/>
      <c r="F957" s="1221"/>
      <c r="G957" s="1221"/>
      <c r="H957" s="1221"/>
      <c r="I957" s="1221"/>
      <c r="J957" s="1221"/>
      <c r="K957" s="1221"/>
      <c r="L957" s="1221"/>
      <c r="M957" s="1221"/>
      <c r="N957" s="1221"/>
      <c r="O957" s="1221"/>
      <c r="P957" s="1221"/>
      <c r="Q957" s="1221"/>
      <c r="R957" s="1221"/>
      <c r="S957" s="1221"/>
      <c r="T957" s="1221"/>
      <c r="U957" s="1221"/>
      <c r="V957" s="1221"/>
      <c r="W957" s="1221"/>
      <c r="X957" s="1221"/>
      <c r="Y957" s="1221"/>
      <c r="Z957" s="1221"/>
    </row>
    <row r="958" ht="15.75" customHeight="1">
      <c r="A958" s="1221"/>
      <c r="B958" s="1221"/>
      <c r="C958" s="1221"/>
      <c r="D958" s="1221"/>
      <c r="E958" s="1221"/>
      <c r="F958" s="1221"/>
      <c r="G958" s="1221"/>
      <c r="H958" s="1221"/>
      <c r="I958" s="1221"/>
      <c r="J958" s="1221"/>
      <c r="K958" s="1221"/>
      <c r="L958" s="1221"/>
      <c r="M958" s="1221"/>
      <c r="N958" s="1221"/>
      <c r="O958" s="1221"/>
      <c r="P958" s="1221"/>
      <c r="Q958" s="1221"/>
      <c r="R958" s="1221"/>
      <c r="S958" s="1221"/>
      <c r="T958" s="1221"/>
      <c r="U958" s="1221"/>
      <c r="V958" s="1221"/>
      <c r="W958" s="1221"/>
      <c r="X958" s="1221"/>
      <c r="Y958" s="1221"/>
      <c r="Z958" s="1221"/>
    </row>
    <row r="959" ht="15.75" customHeight="1">
      <c r="A959" s="1221"/>
      <c r="B959" s="1221"/>
      <c r="C959" s="1221"/>
      <c r="D959" s="1221"/>
      <c r="E959" s="1221"/>
      <c r="F959" s="1221"/>
      <c r="G959" s="1221"/>
      <c r="H959" s="1221"/>
      <c r="I959" s="1221"/>
      <c r="J959" s="1221"/>
      <c r="K959" s="1221"/>
      <c r="L959" s="1221"/>
      <c r="M959" s="1221"/>
      <c r="N959" s="1221"/>
      <c r="O959" s="1221"/>
      <c r="P959" s="1221"/>
      <c r="Q959" s="1221"/>
      <c r="R959" s="1221"/>
      <c r="S959" s="1221"/>
      <c r="T959" s="1221"/>
      <c r="U959" s="1221"/>
      <c r="V959" s="1221"/>
      <c r="W959" s="1221"/>
      <c r="X959" s="1221"/>
      <c r="Y959" s="1221"/>
      <c r="Z959" s="1221"/>
    </row>
    <row r="960" ht="15.75" customHeight="1">
      <c r="A960" s="1221"/>
      <c r="B960" s="1221"/>
      <c r="C960" s="1221"/>
      <c r="D960" s="1221"/>
      <c r="E960" s="1221"/>
      <c r="F960" s="1221"/>
      <c r="G960" s="1221"/>
      <c r="H960" s="1221"/>
      <c r="I960" s="1221"/>
      <c r="J960" s="1221"/>
      <c r="K960" s="1221"/>
      <c r="L960" s="1221"/>
      <c r="M960" s="1221"/>
      <c r="N960" s="1221"/>
      <c r="O960" s="1221"/>
      <c r="P960" s="1221"/>
      <c r="Q960" s="1221"/>
      <c r="R960" s="1221"/>
      <c r="S960" s="1221"/>
      <c r="T960" s="1221"/>
      <c r="U960" s="1221"/>
      <c r="V960" s="1221"/>
      <c r="W960" s="1221"/>
      <c r="X960" s="1221"/>
      <c r="Y960" s="1221"/>
      <c r="Z960" s="1221"/>
    </row>
    <row r="961" ht="15.75" customHeight="1">
      <c r="A961" s="1221"/>
      <c r="B961" s="1221"/>
      <c r="C961" s="1221"/>
      <c r="D961" s="1221"/>
      <c r="E961" s="1221"/>
      <c r="F961" s="1221"/>
      <c r="G961" s="1221"/>
      <c r="H961" s="1221"/>
      <c r="I961" s="1221"/>
      <c r="J961" s="1221"/>
      <c r="K961" s="1221"/>
      <c r="L961" s="1221"/>
      <c r="M961" s="1221"/>
      <c r="N961" s="1221"/>
      <c r="O961" s="1221"/>
      <c r="P961" s="1221"/>
      <c r="Q961" s="1221"/>
      <c r="R961" s="1221"/>
      <c r="S961" s="1221"/>
      <c r="T961" s="1221"/>
      <c r="U961" s="1221"/>
      <c r="V961" s="1221"/>
      <c r="W961" s="1221"/>
      <c r="X961" s="1221"/>
      <c r="Y961" s="1221"/>
      <c r="Z961" s="1221"/>
    </row>
    <row r="962" ht="15.75" customHeight="1">
      <c r="A962" s="1221"/>
      <c r="B962" s="1221"/>
      <c r="C962" s="1221"/>
      <c r="D962" s="1221"/>
      <c r="E962" s="1221"/>
      <c r="F962" s="1221"/>
      <c r="G962" s="1221"/>
      <c r="H962" s="1221"/>
      <c r="I962" s="1221"/>
      <c r="J962" s="1221"/>
      <c r="K962" s="1221"/>
      <c r="L962" s="1221"/>
      <c r="M962" s="1221"/>
      <c r="N962" s="1221"/>
      <c r="O962" s="1221"/>
      <c r="P962" s="1221"/>
      <c r="Q962" s="1221"/>
      <c r="R962" s="1221"/>
      <c r="S962" s="1221"/>
      <c r="T962" s="1221"/>
      <c r="U962" s="1221"/>
      <c r="V962" s="1221"/>
      <c r="W962" s="1221"/>
      <c r="X962" s="1221"/>
      <c r="Y962" s="1221"/>
      <c r="Z962" s="1221"/>
    </row>
    <row r="963" ht="15.75" customHeight="1">
      <c r="A963" s="1221"/>
      <c r="B963" s="1221"/>
      <c r="C963" s="1221"/>
      <c r="D963" s="1221"/>
      <c r="E963" s="1221"/>
      <c r="F963" s="1221"/>
      <c r="G963" s="1221"/>
      <c r="H963" s="1221"/>
      <c r="I963" s="1221"/>
      <c r="J963" s="1221"/>
      <c r="K963" s="1221"/>
      <c r="L963" s="1221"/>
      <c r="M963" s="1221"/>
      <c r="N963" s="1221"/>
      <c r="O963" s="1221"/>
      <c r="P963" s="1221"/>
      <c r="Q963" s="1221"/>
      <c r="R963" s="1221"/>
      <c r="S963" s="1221"/>
      <c r="T963" s="1221"/>
      <c r="U963" s="1221"/>
      <c r="V963" s="1221"/>
      <c r="W963" s="1221"/>
      <c r="X963" s="1221"/>
      <c r="Y963" s="1221"/>
      <c r="Z963" s="1221"/>
    </row>
    <row r="964" ht="15.75" customHeight="1">
      <c r="A964" s="1221"/>
      <c r="B964" s="1221"/>
      <c r="C964" s="1221"/>
      <c r="D964" s="1221"/>
      <c r="E964" s="1221"/>
      <c r="F964" s="1221"/>
      <c r="G964" s="1221"/>
      <c r="H964" s="1221"/>
      <c r="I964" s="1221"/>
      <c r="J964" s="1221"/>
      <c r="K964" s="1221"/>
      <c r="L964" s="1221"/>
      <c r="M964" s="1221"/>
      <c r="N964" s="1221"/>
      <c r="O964" s="1221"/>
      <c r="P964" s="1221"/>
      <c r="Q964" s="1221"/>
      <c r="R964" s="1221"/>
      <c r="S964" s="1221"/>
      <c r="T964" s="1221"/>
      <c r="U964" s="1221"/>
      <c r="V964" s="1221"/>
      <c r="W964" s="1221"/>
      <c r="X964" s="1221"/>
      <c r="Y964" s="1221"/>
      <c r="Z964" s="1221"/>
    </row>
    <row r="965" ht="15.75" customHeight="1">
      <c r="A965" s="1221"/>
      <c r="B965" s="1221"/>
      <c r="C965" s="1221"/>
      <c r="D965" s="1221"/>
      <c r="E965" s="1221"/>
      <c r="F965" s="1221"/>
      <c r="G965" s="1221"/>
      <c r="H965" s="1221"/>
      <c r="I965" s="1221"/>
      <c r="J965" s="1221"/>
      <c r="K965" s="1221"/>
      <c r="L965" s="1221"/>
      <c r="M965" s="1221"/>
      <c r="N965" s="1221"/>
      <c r="O965" s="1221"/>
      <c r="P965" s="1221"/>
      <c r="Q965" s="1221"/>
      <c r="R965" s="1221"/>
      <c r="S965" s="1221"/>
      <c r="T965" s="1221"/>
      <c r="U965" s="1221"/>
      <c r="V965" s="1221"/>
      <c r="W965" s="1221"/>
      <c r="X965" s="1221"/>
      <c r="Y965" s="1221"/>
      <c r="Z965" s="1221"/>
    </row>
    <row r="966" ht="15.75" customHeight="1">
      <c r="A966" s="1221"/>
      <c r="B966" s="1221"/>
      <c r="C966" s="1221"/>
      <c r="D966" s="1221"/>
      <c r="E966" s="1221"/>
      <c r="F966" s="1221"/>
      <c r="G966" s="1221"/>
      <c r="H966" s="1221"/>
      <c r="I966" s="1221"/>
      <c r="J966" s="1221"/>
      <c r="K966" s="1221"/>
      <c r="L966" s="1221"/>
      <c r="M966" s="1221"/>
      <c r="N966" s="1221"/>
      <c r="O966" s="1221"/>
      <c r="P966" s="1221"/>
      <c r="Q966" s="1221"/>
      <c r="R966" s="1221"/>
      <c r="S966" s="1221"/>
      <c r="T966" s="1221"/>
      <c r="U966" s="1221"/>
      <c r="V966" s="1221"/>
      <c r="W966" s="1221"/>
      <c r="X966" s="1221"/>
      <c r="Y966" s="1221"/>
      <c r="Z966" s="1221"/>
    </row>
    <row r="967" ht="15.75" customHeight="1">
      <c r="A967" s="1221"/>
      <c r="B967" s="1221"/>
      <c r="C967" s="1221"/>
      <c r="D967" s="1221"/>
      <c r="E967" s="1221"/>
      <c r="F967" s="1221"/>
      <c r="G967" s="1221"/>
      <c r="H967" s="1221"/>
      <c r="I967" s="1221"/>
      <c r="J967" s="1221"/>
      <c r="K967" s="1221"/>
      <c r="L967" s="1221"/>
      <c r="M967" s="1221"/>
      <c r="N967" s="1221"/>
      <c r="O967" s="1221"/>
      <c r="P967" s="1221"/>
      <c r="Q967" s="1221"/>
      <c r="R967" s="1221"/>
      <c r="S967" s="1221"/>
      <c r="T967" s="1221"/>
      <c r="U967" s="1221"/>
      <c r="V967" s="1221"/>
      <c r="W967" s="1221"/>
      <c r="X967" s="1221"/>
      <c r="Y967" s="1221"/>
      <c r="Z967" s="1221"/>
    </row>
    <row r="968" ht="15.75" customHeight="1">
      <c r="A968" s="1221"/>
      <c r="B968" s="1221"/>
      <c r="C968" s="1221"/>
      <c r="D968" s="1221"/>
      <c r="E968" s="1221"/>
      <c r="F968" s="1221"/>
      <c r="G968" s="1221"/>
      <c r="H968" s="1221"/>
      <c r="I968" s="1221"/>
      <c r="J968" s="1221"/>
      <c r="K968" s="1221"/>
      <c r="L968" s="1221"/>
      <c r="M968" s="1221"/>
      <c r="N968" s="1221"/>
      <c r="O968" s="1221"/>
      <c r="P968" s="1221"/>
      <c r="Q968" s="1221"/>
      <c r="R968" s="1221"/>
      <c r="S968" s="1221"/>
      <c r="T968" s="1221"/>
      <c r="U968" s="1221"/>
      <c r="V968" s="1221"/>
      <c r="W968" s="1221"/>
      <c r="X968" s="1221"/>
      <c r="Y968" s="1221"/>
      <c r="Z968" s="1221"/>
    </row>
    <row r="969" ht="15.75" customHeight="1">
      <c r="A969" s="1221"/>
      <c r="B969" s="1221"/>
      <c r="C969" s="1221"/>
      <c r="D969" s="1221"/>
      <c r="E969" s="1221"/>
      <c r="F969" s="1221"/>
      <c r="G969" s="1221"/>
      <c r="H969" s="1221"/>
      <c r="I969" s="1221"/>
      <c r="J969" s="1221"/>
      <c r="K969" s="1221"/>
      <c r="L969" s="1221"/>
      <c r="M969" s="1221"/>
      <c r="N969" s="1221"/>
      <c r="O969" s="1221"/>
      <c r="P969" s="1221"/>
      <c r="Q969" s="1221"/>
      <c r="R969" s="1221"/>
      <c r="S969" s="1221"/>
      <c r="T969" s="1221"/>
      <c r="U969" s="1221"/>
      <c r="V969" s="1221"/>
      <c r="W969" s="1221"/>
      <c r="X969" s="1221"/>
      <c r="Y969" s="1221"/>
      <c r="Z969" s="1221"/>
    </row>
    <row r="970" ht="15.75" customHeight="1">
      <c r="A970" s="1221"/>
      <c r="B970" s="1221"/>
      <c r="C970" s="1221"/>
      <c r="D970" s="1221"/>
      <c r="E970" s="1221"/>
      <c r="F970" s="1221"/>
      <c r="G970" s="1221"/>
      <c r="H970" s="1221"/>
      <c r="I970" s="1221"/>
      <c r="J970" s="1221"/>
      <c r="K970" s="1221"/>
      <c r="L970" s="1221"/>
      <c r="M970" s="1221"/>
      <c r="N970" s="1221"/>
      <c r="O970" s="1221"/>
      <c r="P970" s="1221"/>
      <c r="Q970" s="1221"/>
      <c r="R970" s="1221"/>
      <c r="S970" s="1221"/>
      <c r="T970" s="1221"/>
      <c r="U970" s="1221"/>
      <c r="V970" s="1221"/>
      <c r="W970" s="1221"/>
      <c r="X970" s="1221"/>
      <c r="Y970" s="1221"/>
      <c r="Z970" s="1221"/>
    </row>
    <row r="971" ht="15.75" customHeight="1">
      <c r="A971" s="1221"/>
      <c r="B971" s="1221"/>
      <c r="C971" s="1221"/>
      <c r="D971" s="1221"/>
      <c r="E971" s="1221"/>
      <c r="F971" s="1221"/>
      <c r="G971" s="1221"/>
      <c r="H971" s="1221"/>
      <c r="I971" s="1221"/>
      <c r="J971" s="1221"/>
      <c r="K971" s="1221"/>
      <c r="L971" s="1221"/>
      <c r="M971" s="1221"/>
      <c r="N971" s="1221"/>
      <c r="O971" s="1221"/>
      <c r="P971" s="1221"/>
      <c r="Q971" s="1221"/>
      <c r="R971" s="1221"/>
      <c r="S971" s="1221"/>
      <c r="T971" s="1221"/>
      <c r="U971" s="1221"/>
      <c r="V971" s="1221"/>
      <c r="W971" s="1221"/>
      <c r="X971" s="1221"/>
      <c r="Y971" s="1221"/>
      <c r="Z971" s="1221"/>
    </row>
    <row r="972" ht="15.75" customHeight="1">
      <c r="A972" s="1221"/>
      <c r="B972" s="1221"/>
      <c r="C972" s="1221"/>
      <c r="D972" s="1221"/>
      <c r="E972" s="1221"/>
      <c r="F972" s="1221"/>
      <c r="G972" s="1221"/>
      <c r="H972" s="1221"/>
      <c r="I972" s="1221"/>
      <c r="J972" s="1221"/>
      <c r="K972" s="1221"/>
      <c r="L972" s="1221"/>
      <c r="M972" s="1221"/>
      <c r="N972" s="1221"/>
      <c r="O972" s="1221"/>
      <c r="P972" s="1221"/>
      <c r="Q972" s="1221"/>
      <c r="R972" s="1221"/>
      <c r="S972" s="1221"/>
      <c r="T972" s="1221"/>
      <c r="U972" s="1221"/>
      <c r="V972" s="1221"/>
      <c r="W972" s="1221"/>
      <c r="X972" s="1221"/>
      <c r="Y972" s="1221"/>
      <c r="Z972" s="1221"/>
    </row>
    <row r="973" ht="15.75" customHeight="1">
      <c r="A973" s="1221"/>
      <c r="B973" s="1221"/>
      <c r="C973" s="1221"/>
      <c r="D973" s="1221"/>
      <c r="E973" s="1221"/>
      <c r="F973" s="1221"/>
      <c r="G973" s="1221"/>
      <c r="H973" s="1221"/>
      <c r="I973" s="1221"/>
      <c r="J973" s="1221"/>
      <c r="K973" s="1221"/>
      <c r="L973" s="1221"/>
      <c r="M973" s="1221"/>
      <c r="N973" s="1221"/>
      <c r="O973" s="1221"/>
      <c r="P973" s="1221"/>
      <c r="Q973" s="1221"/>
      <c r="R973" s="1221"/>
      <c r="S973" s="1221"/>
      <c r="T973" s="1221"/>
      <c r="U973" s="1221"/>
      <c r="V973" s="1221"/>
      <c r="W973" s="1221"/>
      <c r="X973" s="1221"/>
      <c r="Y973" s="1221"/>
      <c r="Z973" s="1221"/>
    </row>
    <row r="974" ht="15.75" customHeight="1">
      <c r="A974" s="1221"/>
      <c r="B974" s="1221"/>
      <c r="C974" s="1221"/>
      <c r="D974" s="1221"/>
      <c r="E974" s="1221"/>
      <c r="F974" s="1221"/>
      <c r="G974" s="1221"/>
      <c r="H974" s="1221"/>
      <c r="I974" s="1221"/>
      <c r="J974" s="1221"/>
      <c r="K974" s="1221"/>
      <c r="L974" s="1221"/>
      <c r="M974" s="1221"/>
      <c r="N974" s="1221"/>
      <c r="O974" s="1221"/>
      <c r="P974" s="1221"/>
      <c r="Q974" s="1221"/>
      <c r="R974" s="1221"/>
      <c r="S974" s="1221"/>
      <c r="T974" s="1221"/>
      <c r="U974" s="1221"/>
      <c r="V974" s="1221"/>
      <c r="W974" s="1221"/>
      <c r="X974" s="1221"/>
      <c r="Y974" s="1221"/>
      <c r="Z974" s="1221"/>
    </row>
    <row r="975" ht="15.75" customHeight="1">
      <c r="A975" s="1221"/>
      <c r="B975" s="1221"/>
      <c r="C975" s="1221"/>
      <c r="D975" s="1221"/>
      <c r="E975" s="1221"/>
      <c r="F975" s="1221"/>
      <c r="G975" s="1221"/>
      <c r="H975" s="1221"/>
      <c r="I975" s="1221"/>
      <c r="J975" s="1221"/>
      <c r="K975" s="1221"/>
      <c r="L975" s="1221"/>
      <c r="M975" s="1221"/>
      <c r="N975" s="1221"/>
      <c r="O975" s="1221"/>
      <c r="P975" s="1221"/>
      <c r="Q975" s="1221"/>
      <c r="R975" s="1221"/>
      <c r="S975" s="1221"/>
      <c r="T975" s="1221"/>
      <c r="U975" s="1221"/>
      <c r="V975" s="1221"/>
      <c r="W975" s="1221"/>
      <c r="X975" s="1221"/>
      <c r="Y975" s="1221"/>
      <c r="Z975" s="1221"/>
    </row>
    <row r="976" ht="15.75" customHeight="1">
      <c r="A976" s="1221"/>
      <c r="B976" s="1221"/>
      <c r="C976" s="1221"/>
      <c r="D976" s="1221"/>
      <c r="E976" s="1221"/>
      <c r="F976" s="1221"/>
      <c r="G976" s="1221"/>
      <c r="H976" s="1221"/>
      <c r="I976" s="1221"/>
      <c r="J976" s="1221"/>
      <c r="K976" s="1221"/>
      <c r="L976" s="1221"/>
      <c r="M976" s="1221"/>
      <c r="N976" s="1221"/>
      <c r="O976" s="1221"/>
      <c r="P976" s="1221"/>
      <c r="Q976" s="1221"/>
      <c r="R976" s="1221"/>
      <c r="S976" s="1221"/>
      <c r="T976" s="1221"/>
      <c r="U976" s="1221"/>
      <c r="V976" s="1221"/>
      <c r="W976" s="1221"/>
      <c r="X976" s="1221"/>
      <c r="Y976" s="1221"/>
      <c r="Z976" s="1221"/>
    </row>
    <row r="977" ht="15.75" customHeight="1">
      <c r="A977" s="1221"/>
      <c r="B977" s="1221"/>
      <c r="C977" s="1221"/>
      <c r="D977" s="1221"/>
      <c r="E977" s="1221"/>
      <c r="F977" s="1221"/>
      <c r="G977" s="1221"/>
      <c r="H977" s="1221"/>
      <c r="I977" s="1221"/>
      <c r="J977" s="1221"/>
      <c r="K977" s="1221"/>
      <c r="L977" s="1221"/>
      <c r="M977" s="1221"/>
      <c r="N977" s="1221"/>
      <c r="O977" s="1221"/>
      <c r="P977" s="1221"/>
      <c r="Q977" s="1221"/>
      <c r="R977" s="1221"/>
      <c r="S977" s="1221"/>
      <c r="T977" s="1221"/>
      <c r="U977" s="1221"/>
      <c r="V977" s="1221"/>
      <c r="W977" s="1221"/>
      <c r="X977" s="1221"/>
      <c r="Y977" s="1221"/>
      <c r="Z977" s="1221"/>
    </row>
    <row r="978" ht="15.75" customHeight="1">
      <c r="A978" s="1221"/>
      <c r="B978" s="1221"/>
      <c r="C978" s="1221"/>
      <c r="D978" s="1221"/>
      <c r="E978" s="1221"/>
      <c r="F978" s="1221"/>
      <c r="G978" s="1221"/>
      <c r="H978" s="1221"/>
      <c r="I978" s="1221"/>
      <c r="J978" s="1221"/>
      <c r="K978" s="1221"/>
      <c r="L978" s="1221"/>
      <c r="M978" s="1221"/>
      <c r="N978" s="1221"/>
      <c r="O978" s="1221"/>
      <c r="P978" s="1221"/>
      <c r="Q978" s="1221"/>
      <c r="R978" s="1221"/>
      <c r="S978" s="1221"/>
      <c r="T978" s="1221"/>
      <c r="U978" s="1221"/>
      <c r="V978" s="1221"/>
      <c r="W978" s="1221"/>
      <c r="X978" s="1221"/>
      <c r="Y978" s="1221"/>
      <c r="Z978" s="1221"/>
    </row>
    <row r="979" ht="15.75" customHeight="1">
      <c r="A979" s="1221"/>
      <c r="B979" s="1221"/>
      <c r="C979" s="1221"/>
      <c r="D979" s="1221"/>
      <c r="E979" s="1221"/>
      <c r="F979" s="1221"/>
      <c r="G979" s="1221"/>
      <c r="H979" s="1221"/>
      <c r="I979" s="1221"/>
      <c r="J979" s="1221"/>
      <c r="K979" s="1221"/>
      <c r="L979" s="1221"/>
      <c r="M979" s="1221"/>
      <c r="N979" s="1221"/>
      <c r="O979" s="1221"/>
      <c r="P979" s="1221"/>
      <c r="Q979" s="1221"/>
      <c r="R979" s="1221"/>
      <c r="S979" s="1221"/>
      <c r="T979" s="1221"/>
      <c r="U979" s="1221"/>
      <c r="V979" s="1221"/>
      <c r="W979" s="1221"/>
      <c r="X979" s="1221"/>
      <c r="Y979" s="1221"/>
      <c r="Z979" s="1221"/>
    </row>
    <row r="980" ht="15.75" customHeight="1">
      <c r="A980" s="1221"/>
      <c r="B980" s="1221"/>
      <c r="C980" s="1221"/>
      <c r="D980" s="1221"/>
      <c r="E980" s="1221"/>
      <c r="F980" s="1221"/>
      <c r="G980" s="1221"/>
      <c r="H980" s="1221"/>
      <c r="I980" s="1221"/>
      <c r="J980" s="1221"/>
      <c r="K980" s="1221"/>
      <c r="L980" s="1221"/>
      <c r="M980" s="1221"/>
      <c r="N980" s="1221"/>
      <c r="O980" s="1221"/>
      <c r="P980" s="1221"/>
      <c r="Q980" s="1221"/>
      <c r="R980" s="1221"/>
      <c r="S980" s="1221"/>
      <c r="T980" s="1221"/>
      <c r="U980" s="1221"/>
      <c r="V980" s="1221"/>
      <c r="W980" s="1221"/>
      <c r="X980" s="1221"/>
      <c r="Y980" s="1221"/>
      <c r="Z980" s="1221"/>
    </row>
    <row r="981" ht="15.75" customHeight="1">
      <c r="A981" s="1221"/>
      <c r="B981" s="1221"/>
      <c r="C981" s="1221"/>
      <c r="D981" s="1221"/>
      <c r="E981" s="1221"/>
      <c r="F981" s="1221"/>
      <c r="G981" s="1221"/>
      <c r="H981" s="1221"/>
      <c r="I981" s="1221"/>
      <c r="J981" s="1221"/>
      <c r="K981" s="1221"/>
      <c r="L981" s="1221"/>
      <c r="M981" s="1221"/>
      <c r="N981" s="1221"/>
      <c r="O981" s="1221"/>
      <c r="P981" s="1221"/>
      <c r="Q981" s="1221"/>
      <c r="R981" s="1221"/>
      <c r="S981" s="1221"/>
      <c r="T981" s="1221"/>
      <c r="U981" s="1221"/>
      <c r="V981" s="1221"/>
      <c r="W981" s="1221"/>
      <c r="X981" s="1221"/>
      <c r="Y981" s="1221"/>
      <c r="Z981" s="1221"/>
    </row>
    <row r="982" ht="15.75" customHeight="1">
      <c r="A982" s="1221"/>
      <c r="B982" s="1221"/>
      <c r="C982" s="1221"/>
      <c r="D982" s="1221"/>
      <c r="E982" s="1221"/>
      <c r="F982" s="1221"/>
      <c r="G982" s="1221"/>
      <c r="H982" s="1221"/>
      <c r="I982" s="1221"/>
      <c r="J982" s="1221"/>
      <c r="K982" s="1221"/>
      <c r="L982" s="1221"/>
      <c r="M982" s="1221"/>
      <c r="N982" s="1221"/>
      <c r="O982" s="1221"/>
      <c r="P982" s="1221"/>
      <c r="Q982" s="1221"/>
      <c r="R982" s="1221"/>
      <c r="S982" s="1221"/>
      <c r="T982" s="1221"/>
      <c r="U982" s="1221"/>
      <c r="V982" s="1221"/>
      <c r="W982" s="1221"/>
      <c r="X982" s="1221"/>
      <c r="Y982" s="1221"/>
      <c r="Z982" s="1221"/>
    </row>
    <row r="983" ht="15.75" customHeight="1">
      <c r="A983" s="1221"/>
      <c r="B983" s="1221"/>
      <c r="C983" s="1221"/>
      <c r="D983" s="1221"/>
      <c r="E983" s="1221"/>
      <c r="F983" s="1221"/>
      <c r="G983" s="1221"/>
      <c r="H983" s="1221"/>
      <c r="I983" s="1221"/>
      <c r="J983" s="1221"/>
      <c r="K983" s="1221"/>
      <c r="L983" s="1221"/>
      <c r="M983" s="1221"/>
      <c r="N983" s="1221"/>
      <c r="O983" s="1221"/>
      <c r="P983" s="1221"/>
      <c r="Q983" s="1221"/>
      <c r="R983" s="1221"/>
      <c r="S983" s="1221"/>
      <c r="T983" s="1221"/>
      <c r="U983" s="1221"/>
      <c r="V983" s="1221"/>
      <c r="W983" s="1221"/>
      <c r="X983" s="1221"/>
      <c r="Y983" s="1221"/>
      <c r="Z983" s="1221"/>
    </row>
    <row r="984" ht="15.75" customHeight="1">
      <c r="A984" s="1221"/>
      <c r="B984" s="1221"/>
      <c r="C984" s="1221"/>
      <c r="D984" s="1221"/>
      <c r="E984" s="1221"/>
      <c r="F984" s="1221"/>
      <c r="G984" s="1221"/>
      <c r="H984" s="1221"/>
      <c r="I984" s="1221"/>
      <c r="J984" s="1221"/>
      <c r="K984" s="1221"/>
      <c r="L984" s="1221"/>
      <c r="M984" s="1221"/>
      <c r="N984" s="1221"/>
      <c r="O984" s="1221"/>
      <c r="P984" s="1221"/>
      <c r="Q984" s="1221"/>
      <c r="R984" s="1221"/>
      <c r="S984" s="1221"/>
      <c r="T984" s="1221"/>
      <c r="U984" s="1221"/>
      <c r="V984" s="1221"/>
      <c r="W984" s="1221"/>
      <c r="X984" s="1221"/>
      <c r="Y984" s="1221"/>
      <c r="Z984" s="1221"/>
    </row>
    <row r="985" ht="15.75" customHeight="1">
      <c r="A985" s="1221"/>
      <c r="B985" s="1221"/>
      <c r="C985" s="1221"/>
      <c r="D985" s="1221"/>
      <c r="E985" s="1221"/>
      <c r="F985" s="1221"/>
      <c r="G985" s="1221"/>
      <c r="H985" s="1221"/>
      <c r="I985" s="1221"/>
      <c r="J985" s="1221"/>
      <c r="K985" s="1221"/>
      <c r="L985" s="1221"/>
      <c r="M985" s="1221"/>
      <c r="N985" s="1221"/>
      <c r="O985" s="1221"/>
      <c r="P985" s="1221"/>
      <c r="Q985" s="1221"/>
      <c r="R985" s="1221"/>
      <c r="S985" s="1221"/>
      <c r="T985" s="1221"/>
      <c r="U985" s="1221"/>
      <c r="V985" s="1221"/>
      <c r="W985" s="1221"/>
      <c r="X985" s="1221"/>
      <c r="Y985" s="1221"/>
      <c r="Z985" s="1221"/>
    </row>
    <row r="986" ht="15.75" customHeight="1">
      <c r="A986" s="1221"/>
      <c r="B986" s="1221"/>
      <c r="C986" s="1221"/>
      <c r="D986" s="1221"/>
      <c r="E986" s="1221"/>
      <c r="F986" s="1221"/>
      <c r="G986" s="1221"/>
      <c r="H986" s="1221"/>
      <c r="I986" s="1221"/>
      <c r="J986" s="1221"/>
      <c r="K986" s="1221"/>
      <c r="L986" s="1221"/>
      <c r="M986" s="1221"/>
      <c r="N986" s="1221"/>
      <c r="O986" s="1221"/>
      <c r="P986" s="1221"/>
      <c r="Q986" s="1221"/>
      <c r="R986" s="1221"/>
      <c r="S986" s="1221"/>
      <c r="T986" s="1221"/>
      <c r="U986" s="1221"/>
      <c r="V986" s="1221"/>
      <c r="W986" s="1221"/>
      <c r="X986" s="1221"/>
      <c r="Y986" s="1221"/>
      <c r="Z986" s="1221"/>
    </row>
    <row r="987" ht="15.75" customHeight="1">
      <c r="A987" s="1221"/>
      <c r="B987" s="1221"/>
      <c r="C987" s="1221"/>
      <c r="D987" s="1221"/>
      <c r="E987" s="1221"/>
      <c r="F987" s="1221"/>
      <c r="G987" s="1221"/>
      <c r="H987" s="1221"/>
      <c r="I987" s="1221"/>
      <c r="J987" s="1221"/>
      <c r="K987" s="1221"/>
      <c r="L987" s="1221"/>
      <c r="M987" s="1221"/>
      <c r="N987" s="1221"/>
      <c r="O987" s="1221"/>
      <c r="P987" s="1221"/>
      <c r="Q987" s="1221"/>
      <c r="R987" s="1221"/>
      <c r="S987" s="1221"/>
      <c r="T987" s="1221"/>
      <c r="U987" s="1221"/>
      <c r="V987" s="1221"/>
      <c r="W987" s="1221"/>
      <c r="X987" s="1221"/>
      <c r="Y987" s="1221"/>
      <c r="Z987" s="1221"/>
    </row>
    <row r="988" ht="15.75" customHeight="1">
      <c r="A988" s="1221"/>
      <c r="B988" s="1221"/>
      <c r="C988" s="1221"/>
      <c r="D988" s="1221"/>
      <c r="E988" s="1221"/>
      <c r="F988" s="1221"/>
      <c r="G988" s="1221"/>
      <c r="H988" s="1221"/>
      <c r="I988" s="1221"/>
      <c r="J988" s="1221"/>
      <c r="K988" s="1221"/>
      <c r="L988" s="1221"/>
      <c r="M988" s="1221"/>
      <c r="N988" s="1221"/>
      <c r="O988" s="1221"/>
      <c r="P988" s="1221"/>
      <c r="Q988" s="1221"/>
      <c r="R988" s="1221"/>
      <c r="S988" s="1221"/>
      <c r="T988" s="1221"/>
      <c r="U988" s="1221"/>
      <c r="V988" s="1221"/>
      <c r="W988" s="1221"/>
      <c r="X988" s="1221"/>
      <c r="Y988" s="1221"/>
      <c r="Z988" s="1221"/>
    </row>
    <row r="989" ht="15.75" customHeight="1">
      <c r="A989" s="1221"/>
      <c r="B989" s="1221"/>
      <c r="C989" s="1221"/>
      <c r="D989" s="1221"/>
      <c r="E989" s="1221"/>
      <c r="F989" s="1221"/>
      <c r="G989" s="1221"/>
      <c r="H989" s="1221"/>
      <c r="I989" s="1221"/>
      <c r="J989" s="1221"/>
      <c r="K989" s="1221"/>
      <c r="L989" s="1221"/>
      <c r="M989" s="1221"/>
      <c r="N989" s="1221"/>
      <c r="O989" s="1221"/>
      <c r="P989" s="1221"/>
      <c r="Q989" s="1221"/>
      <c r="R989" s="1221"/>
      <c r="S989" s="1221"/>
      <c r="T989" s="1221"/>
      <c r="U989" s="1221"/>
      <c r="V989" s="1221"/>
      <c r="W989" s="1221"/>
      <c r="X989" s="1221"/>
      <c r="Y989" s="1221"/>
      <c r="Z989" s="1221"/>
    </row>
    <row r="990" ht="15.75" customHeight="1">
      <c r="A990" s="1221"/>
      <c r="B990" s="1221"/>
      <c r="C990" s="1221"/>
      <c r="D990" s="1221"/>
      <c r="E990" s="1221"/>
      <c r="F990" s="1221"/>
      <c r="G990" s="1221"/>
      <c r="H990" s="1221"/>
      <c r="I990" s="1221"/>
      <c r="J990" s="1221"/>
      <c r="K990" s="1221"/>
      <c r="L990" s="1221"/>
      <c r="M990" s="1221"/>
      <c r="N990" s="1221"/>
      <c r="O990" s="1221"/>
      <c r="P990" s="1221"/>
      <c r="Q990" s="1221"/>
      <c r="R990" s="1221"/>
      <c r="S990" s="1221"/>
      <c r="T990" s="1221"/>
      <c r="U990" s="1221"/>
      <c r="V990" s="1221"/>
      <c r="W990" s="1221"/>
      <c r="X990" s="1221"/>
      <c r="Y990" s="1221"/>
      <c r="Z990" s="1221"/>
    </row>
    <row r="991" ht="15.75" customHeight="1">
      <c r="A991" s="1221"/>
      <c r="B991" s="1221"/>
      <c r="C991" s="1221"/>
      <c r="D991" s="1221"/>
      <c r="E991" s="1221"/>
      <c r="F991" s="1221"/>
      <c r="G991" s="1221"/>
      <c r="H991" s="1221"/>
      <c r="I991" s="1221"/>
      <c r="J991" s="1221"/>
      <c r="K991" s="1221"/>
      <c r="L991" s="1221"/>
      <c r="M991" s="1221"/>
      <c r="N991" s="1221"/>
      <c r="O991" s="1221"/>
      <c r="P991" s="1221"/>
      <c r="Q991" s="1221"/>
      <c r="R991" s="1221"/>
      <c r="S991" s="1221"/>
      <c r="T991" s="1221"/>
      <c r="U991" s="1221"/>
      <c r="V991" s="1221"/>
      <c r="W991" s="1221"/>
      <c r="X991" s="1221"/>
      <c r="Y991" s="1221"/>
      <c r="Z991" s="1221"/>
    </row>
    <row r="992" ht="15.75" customHeight="1">
      <c r="A992" s="1221"/>
      <c r="B992" s="1221"/>
      <c r="C992" s="1221"/>
      <c r="D992" s="1221"/>
      <c r="E992" s="1221"/>
      <c r="F992" s="1221"/>
      <c r="G992" s="1221"/>
      <c r="H992" s="1221"/>
      <c r="I992" s="1221"/>
      <c r="J992" s="1221"/>
      <c r="K992" s="1221"/>
      <c r="L992" s="1221"/>
      <c r="M992" s="1221"/>
      <c r="N992" s="1221"/>
      <c r="O992" s="1221"/>
      <c r="P992" s="1221"/>
      <c r="Q992" s="1221"/>
      <c r="R992" s="1221"/>
      <c r="S992" s="1221"/>
      <c r="T992" s="1221"/>
      <c r="U992" s="1221"/>
      <c r="V992" s="1221"/>
      <c r="W992" s="1221"/>
      <c r="X992" s="1221"/>
      <c r="Y992" s="1221"/>
      <c r="Z992" s="1221"/>
    </row>
    <row r="993" ht="15.75" customHeight="1">
      <c r="A993" s="1221"/>
      <c r="B993" s="1221"/>
      <c r="C993" s="1221"/>
      <c r="D993" s="1221"/>
      <c r="E993" s="1221"/>
      <c r="F993" s="1221"/>
      <c r="G993" s="1221"/>
      <c r="H993" s="1221"/>
      <c r="I993" s="1221"/>
      <c r="J993" s="1221"/>
      <c r="K993" s="1221"/>
      <c r="L993" s="1221"/>
      <c r="M993" s="1221"/>
      <c r="N993" s="1221"/>
      <c r="O993" s="1221"/>
      <c r="P993" s="1221"/>
      <c r="Q993" s="1221"/>
      <c r="R993" s="1221"/>
      <c r="S993" s="1221"/>
      <c r="T993" s="1221"/>
      <c r="U993" s="1221"/>
      <c r="V993" s="1221"/>
      <c r="W993" s="1221"/>
      <c r="X993" s="1221"/>
      <c r="Y993" s="1221"/>
      <c r="Z993" s="1221"/>
    </row>
    <row r="994" ht="15.75" customHeight="1">
      <c r="A994" s="1221"/>
      <c r="B994" s="1221"/>
      <c r="C994" s="1221"/>
      <c r="D994" s="1221"/>
      <c r="E994" s="1221"/>
      <c r="F994" s="1221"/>
      <c r="G994" s="1221"/>
      <c r="H994" s="1221"/>
      <c r="I994" s="1221"/>
      <c r="J994" s="1221"/>
      <c r="K994" s="1221"/>
      <c r="L994" s="1221"/>
      <c r="M994" s="1221"/>
      <c r="N994" s="1221"/>
      <c r="O994" s="1221"/>
      <c r="P994" s="1221"/>
      <c r="Q994" s="1221"/>
      <c r="R994" s="1221"/>
      <c r="S994" s="1221"/>
      <c r="T994" s="1221"/>
      <c r="U994" s="1221"/>
      <c r="V994" s="1221"/>
      <c r="W994" s="1221"/>
      <c r="X994" s="1221"/>
      <c r="Y994" s="1221"/>
      <c r="Z994" s="1221"/>
    </row>
    <row r="995" ht="15.75" customHeight="1">
      <c r="A995" s="1221"/>
      <c r="B995" s="1221"/>
      <c r="C995" s="1221"/>
      <c r="D995" s="1221"/>
      <c r="E995" s="1221"/>
      <c r="F995" s="1221"/>
      <c r="G995" s="1221"/>
      <c r="H995" s="1221"/>
      <c r="I995" s="1221"/>
      <c r="J995" s="1221"/>
      <c r="K995" s="1221"/>
      <c r="L995" s="1221"/>
      <c r="M995" s="1221"/>
      <c r="N995" s="1221"/>
      <c r="O995" s="1221"/>
      <c r="P995" s="1221"/>
      <c r="Q995" s="1221"/>
      <c r="R995" s="1221"/>
      <c r="S995" s="1221"/>
      <c r="T995" s="1221"/>
      <c r="U995" s="1221"/>
      <c r="V995" s="1221"/>
      <c r="W995" s="1221"/>
      <c r="X995" s="1221"/>
      <c r="Y995" s="1221"/>
      <c r="Z995" s="1221"/>
    </row>
    <row r="996" ht="15.75" customHeight="1">
      <c r="A996" s="1221"/>
      <c r="B996" s="1221"/>
      <c r="C996" s="1221"/>
      <c r="D996" s="1221"/>
      <c r="E996" s="1221"/>
      <c r="F996" s="1221"/>
      <c r="G996" s="1221"/>
      <c r="H996" s="1221"/>
      <c r="I996" s="1221"/>
      <c r="J996" s="1221"/>
      <c r="K996" s="1221"/>
      <c r="L996" s="1221"/>
      <c r="M996" s="1221"/>
      <c r="N996" s="1221"/>
      <c r="O996" s="1221"/>
      <c r="P996" s="1221"/>
      <c r="Q996" s="1221"/>
      <c r="R996" s="1221"/>
      <c r="S996" s="1221"/>
      <c r="T996" s="1221"/>
      <c r="U996" s="1221"/>
      <c r="V996" s="1221"/>
      <c r="W996" s="1221"/>
      <c r="X996" s="1221"/>
      <c r="Y996" s="1221"/>
      <c r="Z996" s="1221"/>
    </row>
    <row r="997" ht="15.75" customHeight="1">
      <c r="A997" s="1221"/>
      <c r="B997" s="1221"/>
      <c r="C997" s="1221"/>
      <c r="D997" s="1221"/>
      <c r="E997" s="1221"/>
      <c r="F997" s="1221"/>
      <c r="G997" s="1221"/>
      <c r="H997" s="1221"/>
      <c r="I997" s="1221"/>
      <c r="J997" s="1221"/>
      <c r="K997" s="1221"/>
      <c r="L997" s="1221"/>
      <c r="M997" s="1221"/>
      <c r="N997" s="1221"/>
      <c r="O997" s="1221"/>
      <c r="P997" s="1221"/>
      <c r="Q997" s="1221"/>
      <c r="R997" s="1221"/>
      <c r="S997" s="1221"/>
      <c r="T997" s="1221"/>
      <c r="U997" s="1221"/>
      <c r="V997" s="1221"/>
      <c r="W997" s="1221"/>
      <c r="X997" s="1221"/>
      <c r="Y997" s="1221"/>
      <c r="Z997" s="1221"/>
    </row>
    <row r="998" ht="15.75" customHeight="1">
      <c r="A998" s="1221"/>
      <c r="B998" s="1221"/>
      <c r="C998" s="1221"/>
      <c r="D998" s="1221"/>
      <c r="E998" s="1221"/>
      <c r="F998" s="1221"/>
      <c r="G998" s="1221"/>
      <c r="H998" s="1221"/>
      <c r="I998" s="1221"/>
      <c r="J998" s="1221"/>
      <c r="K998" s="1221"/>
      <c r="L998" s="1221"/>
      <c r="M998" s="1221"/>
      <c r="N998" s="1221"/>
      <c r="O998" s="1221"/>
      <c r="P998" s="1221"/>
      <c r="Q998" s="1221"/>
      <c r="R998" s="1221"/>
      <c r="S998" s="1221"/>
      <c r="T998" s="1221"/>
      <c r="U998" s="1221"/>
      <c r="V998" s="1221"/>
      <c r="W998" s="1221"/>
      <c r="X998" s="1221"/>
      <c r="Y998" s="1221"/>
      <c r="Z998" s="1221"/>
    </row>
    <row r="999" ht="15.75" customHeight="1">
      <c r="A999" s="1221"/>
      <c r="B999" s="1221"/>
      <c r="C999" s="1221"/>
      <c r="D999" s="1221"/>
      <c r="E999" s="1221"/>
      <c r="F999" s="1221"/>
      <c r="G999" s="1221"/>
      <c r="H999" s="1221"/>
      <c r="I999" s="1221"/>
      <c r="J999" s="1221"/>
      <c r="K999" s="1221"/>
      <c r="L999" s="1221"/>
      <c r="M999" s="1221"/>
      <c r="N999" s="1221"/>
      <c r="O999" s="1221"/>
      <c r="P999" s="1221"/>
      <c r="Q999" s="1221"/>
      <c r="R999" s="1221"/>
      <c r="S999" s="1221"/>
      <c r="T999" s="1221"/>
      <c r="U999" s="1221"/>
      <c r="V999" s="1221"/>
      <c r="W999" s="1221"/>
      <c r="X999" s="1221"/>
      <c r="Y999" s="1221"/>
      <c r="Z999" s="1221"/>
    </row>
  </sheetData>
  <mergeCells count="4">
    <mergeCell ref="B3:B4"/>
    <mergeCell ref="C3:G3"/>
    <mergeCell ref="H3:L3"/>
    <mergeCell ref="M3:Q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34.71"/>
    <col customWidth="1" min="3" max="14" width="11.29"/>
    <col customWidth="1" min="15" max="15" width="12.43"/>
    <col customWidth="1" min="16" max="17" width="12.86"/>
    <col customWidth="1" min="18" max="26" width="9.14"/>
  </cols>
  <sheetData>
    <row r="1" ht="10.5" customHeight="1"/>
    <row r="3" ht="24.0" customHeight="1">
      <c r="B3" s="1210" t="s">
        <v>469</v>
      </c>
      <c r="C3" s="1211" t="s">
        <v>9</v>
      </c>
      <c r="D3" s="1212"/>
      <c r="E3" s="1212"/>
      <c r="F3" s="1212"/>
      <c r="G3" s="1213"/>
      <c r="H3" s="1211" t="s">
        <v>15</v>
      </c>
      <c r="I3" s="1212"/>
      <c r="J3" s="1212"/>
      <c r="K3" s="1212"/>
      <c r="L3" s="1213"/>
      <c r="M3" s="1211" t="s">
        <v>3</v>
      </c>
      <c r="N3" s="1212"/>
      <c r="O3" s="1212"/>
      <c r="P3" s="1212"/>
      <c r="Q3" s="1213"/>
    </row>
    <row r="4" ht="49.5" customHeight="1">
      <c r="B4" s="1214"/>
      <c r="C4" s="1215" t="s">
        <v>27</v>
      </c>
      <c r="D4" s="1216" t="s">
        <v>30</v>
      </c>
      <c r="E4" s="1216" t="s">
        <v>31</v>
      </c>
      <c r="F4" s="1216" t="s">
        <v>32</v>
      </c>
      <c r="G4" s="1216" t="s">
        <v>34</v>
      </c>
      <c r="H4" s="1215" t="s">
        <v>27</v>
      </c>
      <c r="I4" s="1216" t="s">
        <v>30</v>
      </c>
      <c r="J4" s="1216" t="s">
        <v>31</v>
      </c>
      <c r="K4" s="1216" t="s">
        <v>32</v>
      </c>
      <c r="L4" s="1216" t="s">
        <v>34</v>
      </c>
      <c r="M4" s="1215" t="s">
        <v>27</v>
      </c>
      <c r="N4" s="1216" t="s">
        <v>30</v>
      </c>
      <c r="O4" s="1216" t="s">
        <v>36</v>
      </c>
      <c r="P4" s="1216" t="s">
        <v>38</v>
      </c>
      <c r="Q4" s="1216" t="s">
        <v>34</v>
      </c>
    </row>
    <row r="5" ht="18.0" customHeight="1">
      <c r="B5" s="1217" t="s">
        <v>470</v>
      </c>
      <c r="C5" s="1218">
        <f t="shared" ref="C5:E5" si="1">C36/1000</f>
        <v>394.25607</v>
      </c>
      <c r="D5" s="1219">
        <f t="shared" si="1"/>
        <v>-165.44883</v>
      </c>
      <c r="E5" s="1219">
        <f t="shared" si="1"/>
        <v>-228.66393</v>
      </c>
      <c r="F5" s="745">
        <f t="shared" ref="F5:F12" si="5">E5/D5-1</f>
        <v>0.3820824844</v>
      </c>
      <c r="G5" s="745">
        <f t="shared" ref="G5:G12" si="6">E5/C5-1</f>
        <v>-1.579988356</v>
      </c>
      <c r="H5" s="1218">
        <f t="shared" ref="H5:J5" si="2">G36/1000</f>
        <v>-968.18641</v>
      </c>
      <c r="I5" s="1219">
        <f t="shared" si="2"/>
        <v>-1632.02718</v>
      </c>
      <c r="J5" s="1219">
        <f t="shared" si="2"/>
        <v>-1670.1534</v>
      </c>
      <c r="K5" s="745">
        <f t="shared" ref="K5:K12" si="8">J5/I5-1</f>
        <v>0.02336126534</v>
      </c>
      <c r="L5" s="745">
        <f t="shared" ref="L5:L12" si="9">J5/H5-1</f>
        <v>0.7250328891</v>
      </c>
      <c r="M5" s="1191">
        <f t="shared" ref="M5:O5" si="3">K36/1000</f>
        <v>-1861.50217</v>
      </c>
      <c r="N5" s="1219">
        <f t="shared" si="3"/>
        <v>-2868.65077</v>
      </c>
      <c r="O5" s="1219">
        <f t="shared" si="3"/>
        <v>-3775.16751</v>
      </c>
      <c r="P5" s="745">
        <f t="shared" ref="P5:P12" si="11">O5/N5-1</f>
        <v>0.3160080514</v>
      </c>
      <c r="Q5" s="1220">
        <f t="shared" ref="Q5:Q12" si="12">O5/M5-1</f>
        <v>1.028022084</v>
      </c>
    </row>
    <row r="6" ht="18.0" customHeight="1">
      <c r="B6" s="1217" t="s">
        <v>471</v>
      </c>
      <c r="C6" s="1218">
        <f t="shared" ref="C6:E6" si="4">C37/1000</f>
        <v>-1.80673</v>
      </c>
      <c r="D6" s="1219">
        <f t="shared" si="4"/>
        <v>-1.74396</v>
      </c>
      <c r="E6" s="1219">
        <f t="shared" si="4"/>
        <v>-1.42521</v>
      </c>
      <c r="F6" s="745">
        <f t="shared" si="5"/>
        <v>-0.1827736875</v>
      </c>
      <c r="G6" s="745">
        <f t="shared" si="6"/>
        <v>-0.2111660292</v>
      </c>
      <c r="H6" s="1218">
        <f t="shared" ref="H6:J6" si="7">G37/1000</f>
        <v>-12.15904</v>
      </c>
      <c r="I6" s="1219">
        <f t="shared" si="7"/>
        <v>-12.07346</v>
      </c>
      <c r="J6" s="1219">
        <f t="shared" si="7"/>
        <v>-11.09213</v>
      </c>
      <c r="K6" s="745">
        <f t="shared" si="8"/>
        <v>-0.08127993135</v>
      </c>
      <c r="L6" s="745">
        <f t="shared" si="9"/>
        <v>-0.08774623654</v>
      </c>
      <c r="M6" s="1191">
        <f t="shared" ref="M6:O6" si="10">K37/1000</f>
        <v>-21.02069</v>
      </c>
      <c r="N6" s="1219">
        <f t="shared" si="10"/>
        <v>-20.66431</v>
      </c>
      <c r="O6" s="1219">
        <f t="shared" si="10"/>
        <v>-19.68298</v>
      </c>
      <c r="P6" s="745">
        <f t="shared" si="11"/>
        <v>-0.04748912497</v>
      </c>
      <c r="Q6" s="1220">
        <f t="shared" si="12"/>
        <v>-0.06363777783</v>
      </c>
    </row>
    <row r="7" ht="18.0" customHeight="1">
      <c r="B7" s="1217" t="s">
        <v>472</v>
      </c>
      <c r="C7" s="1218">
        <f t="shared" ref="C7:E7" si="13">C38/1000</f>
        <v>392.44934</v>
      </c>
      <c r="D7" s="1219">
        <f t="shared" si="13"/>
        <v>-167.19279</v>
      </c>
      <c r="E7" s="1219">
        <f t="shared" si="13"/>
        <v>-230.08914</v>
      </c>
      <c r="F7" s="745">
        <f t="shared" si="5"/>
        <v>0.3761905642</v>
      </c>
      <c r="G7" s="745">
        <f t="shared" si="6"/>
        <v>-1.586290042</v>
      </c>
      <c r="H7" s="1218">
        <f t="shared" ref="H7:J7" si="14">G38/1000</f>
        <v>-980.34545</v>
      </c>
      <c r="I7" s="1219">
        <f t="shared" si="14"/>
        <v>-1644.10064</v>
      </c>
      <c r="J7" s="1219">
        <f t="shared" si="14"/>
        <v>-1681.24553</v>
      </c>
      <c r="K7" s="745">
        <f t="shared" si="8"/>
        <v>0.02259283227</v>
      </c>
      <c r="L7" s="745">
        <f t="shared" si="9"/>
        <v>0.7149521426</v>
      </c>
      <c r="M7" s="1191">
        <f>M5+M6</f>
        <v>-1882.52286</v>
      </c>
      <c r="N7" s="1219">
        <f>SUM(N5:N6)</f>
        <v>-2889.31508</v>
      </c>
      <c r="O7" s="1219">
        <f>O5+O6</f>
        <v>-3794.85049</v>
      </c>
      <c r="P7" s="745">
        <f t="shared" si="11"/>
        <v>0.3134083286</v>
      </c>
      <c r="Q7" s="1220">
        <f t="shared" si="12"/>
        <v>1.015832355</v>
      </c>
    </row>
    <row r="8" ht="18.0" customHeight="1">
      <c r="B8" s="1217" t="s">
        <v>473</v>
      </c>
      <c r="C8" s="1218">
        <f>SUM(C9:C11)</f>
        <v>5451.481763</v>
      </c>
      <c r="D8" s="1219">
        <f t="shared" ref="D8:E8" si="15">D9+D10+D11</f>
        <v>3143.49136</v>
      </c>
      <c r="E8" s="1219">
        <f t="shared" si="15"/>
        <v>3702.60486</v>
      </c>
      <c r="F8" s="745">
        <f t="shared" si="5"/>
        <v>0.1778638576</v>
      </c>
      <c r="G8" s="745">
        <f t="shared" si="6"/>
        <v>-0.3208076224</v>
      </c>
      <c r="H8" s="1222">
        <f t="shared" ref="H8:J8" si="16">SUM(H9:H11)</f>
        <v>26673.70559</v>
      </c>
      <c r="I8" s="1223">
        <f t="shared" si="16"/>
        <v>20023.70537</v>
      </c>
      <c r="J8" s="1223">
        <f t="shared" si="16"/>
        <v>22415.06739</v>
      </c>
      <c r="K8" s="745">
        <f t="shared" si="8"/>
        <v>0.1194265481</v>
      </c>
      <c r="L8" s="745">
        <f t="shared" si="9"/>
        <v>-0.1596567896</v>
      </c>
      <c r="M8" s="1191">
        <f t="shared" ref="M8:O8" si="17">M9+M10+M11</f>
        <v>41610.906</v>
      </c>
      <c r="N8" s="1219">
        <f t="shared" si="17"/>
        <v>37038.64928</v>
      </c>
      <c r="O8" s="1219">
        <f t="shared" si="17"/>
        <v>38839.0802</v>
      </c>
      <c r="P8" s="745">
        <f t="shared" si="11"/>
        <v>0.04860951884</v>
      </c>
      <c r="Q8" s="1220">
        <f t="shared" si="12"/>
        <v>-0.0666129644</v>
      </c>
    </row>
    <row r="9" ht="18.0" customHeight="1">
      <c r="B9" s="1224" t="s">
        <v>474</v>
      </c>
      <c r="C9" s="1218">
        <f t="shared" ref="C9:E9" si="18">C40/1000</f>
        <v>60.90305</v>
      </c>
      <c r="D9" s="1219">
        <f t="shared" si="18"/>
        <v>167.34432</v>
      </c>
      <c r="E9" s="1219">
        <f t="shared" si="18"/>
        <v>178.24684</v>
      </c>
      <c r="F9" s="745">
        <f t="shared" si="5"/>
        <v>0.0651502244</v>
      </c>
      <c r="G9" s="745">
        <f t="shared" si="6"/>
        <v>1.926730927</v>
      </c>
      <c r="H9" s="1222">
        <f t="shared" ref="H9:J9" si="19">G40/1000</f>
        <v>442.50347</v>
      </c>
      <c r="I9" s="1223">
        <f t="shared" si="19"/>
        <v>616.69796</v>
      </c>
      <c r="J9" s="1223">
        <f t="shared" si="19"/>
        <v>675.59201</v>
      </c>
      <c r="K9" s="745">
        <f t="shared" si="8"/>
        <v>0.09549901868</v>
      </c>
      <c r="L9" s="745">
        <f t="shared" si="9"/>
        <v>0.526749632</v>
      </c>
      <c r="M9" s="1189">
        <f t="shared" ref="M9:O9" si="20">K40/1000</f>
        <v>562.73089</v>
      </c>
      <c r="N9" s="1223">
        <f t="shared" si="20"/>
        <v>1734.34363</v>
      </c>
      <c r="O9" s="1223">
        <f t="shared" si="20"/>
        <v>1597.92446</v>
      </c>
      <c r="P9" s="745">
        <f t="shared" si="11"/>
        <v>-0.07865752071</v>
      </c>
      <c r="Q9" s="1220">
        <f t="shared" si="12"/>
        <v>1.839589026</v>
      </c>
    </row>
    <row r="10" ht="18.0" customHeight="1">
      <c r="B10" s="1224" t="s">
        <v>475</v>
      </c>
      <c r="C10" s="1218">
        <f t="shared" ref="C10:E10" si="21">C41/1000</f>
        <v>-0.1501</v>
      </c>
      <c r="D10" s="1219">
        <f t="shared" si="21"/>
        <v>-490.5846</v>
      </c>
      <c r="E10" s="1219">
        <f t="shared" si="21"/>
        <v>-523.17488</v>
      </c>
      <c r="F10" s="745">
        <f t="shared" si="5"/>
        <v>0.06643151864</v>
      </c>
      <c r="G10" s="745">
        <f t="shared" si="6"/>
        <v>3484.508861</v>
      </c>
      <c r="H10" s="1218">
        <f t="shared" ref="H10:J10" si="22">G41/1000</f>
        <v>-2.61287</v>
      </c>
      <c r="I10" s="1219">
        <f t="shared" si="22"/>
        <v>-3350.87827</v>
      </c>
      <c r="J10" s="1219">
        <f t="shared" si="22"/>
        <v>-3308.0985</v>
      </c>
      <c r="K10" s="745">
        <f t="shared" si="8"/>
        <v>-0.01276673354</v>
      </c>
      <c r="L10" s="745">
        <f t="shared" si="9"/>
        <v>1265.078488</v>
      </c>
      <c r="M10" s="1191">
        <f t="shared" ref="M10:O10" si="23">K41/1000</f>
        <v>-772.2393</v>
      </c>
      <c r="N10" s="1219">
        <f t="shared" si="23"/>
        <v>-5598.69435</v>
      </c>
      <c r="O10" s="1219">
        <f t="shared" si="23"/>
        <v>-5555.91458</v>
      </c>
      <c r="P10" s="745">
        <f t="shared" si="11"/>
        <v>-0.007641026162</v>
      </c>
      <c r="Q10" s="1220">
        <f t="shared" si="12"/>
        <v>6.19455042</v>
      </c>
    </row>
    <row r="11" ht="18.0" customHeight="1">
      <c r="B11" s="1224" t="s">
        <v>476</v>
      </c>
      <c r="C11" s="1225">
        <v>5390.728813391911</v>
      </c>
      <c r="D11" s="1226">
        <v>3466.731640450654</v>
      </c>
      <c r="E11" s="1226">
        <v>4047.5329001981618</v>
      </c>
      <c r="F11" s="745">
        <f t="shared" si="5"/>
        <v>0.1675356849</v>
      </c>
      <c r="G11" s="745">
        <f t="shared" si="6"/>
        <v>-0.2491677767</v>
      </c>
      <c r="H11" s="1227">
        <v>26233.81498910658</v>
      </c>
      <c r="I11" s="908">
        <v>22757.88568378889</v>
      </c>
      <c r="J11" s="908">
        <v>25047.573877471663</v>
      </c>
      <c r="K11" s="745">
        <f t="shared" si="8"/>
        <v>0.1006107608</v>
      </c>
      <c r="L11" s="745">
        <f t="shared" si="9"/>
        <v>-0.04521801774</v>
      </c>
      <c r="M11" s="1191">
        <v>41820.41441</v>
      </c>
      <c r="N11" s="1219">
        <v>40903.0</v>
      </c>
      <c r="O11" s="1219">
        <v>42797.07032</v>
      </c>
      <c r="P11" s="745">
        <f t="shared" si="11"/>
        <v>0.04630639122</v>
      </c>
      <c r="Q11" s="1220">
        <f t="shared" si="12"/>
        <v>0.02335356844</v>
      </c>
    </row>
    <row r="12" ht="18.0" customHeight="1">
      <c r="B12" s="1217" t="s">
        <v>477</v>
      </c>
      <c r="C12" s="1218">
        <f t="shared" ref="C12:E12" si="24">C7+C8</f>
        <v>5843.931103</v>
      </c>
      <c r="D12" s="1219">
        <f t="shared" si="24"/>
        <v>2976.29857</v>
      </c>
      <c r="E12" s="1219">
        <f t="shared" si="24"/>
        <v>3472.51572</v>
      </c>
      <c r="F12" s="745">
        <f t="shared" si="5"/>
        <v>0.166722907</v>
      </c>
      <c r="G12" s="745">
        <f t="shared" si="6"/>
        <v>-0.4057911261</v>
      </c>
      <c r="H12" s="1222">
        <f t="shared" ref="H12:J12" si="25">H7+H8</f>
        <v>25693.36014</v>
      </c>
      <c r="I12" s="1223">
        <f t="shared" si="25"/>
        <v>18379.60473</v>
      </c>
      <c r="J12" s="1223">
        <f t="shared" si="25"/>
        <v>20733.82186</v>
      </c>
      <c r="K12" s="745">
        <f t="shared" si="8"/>
        <v>0.1280885611</v>
      </c>
      <c r="L12" s="745">
        <f t="shared" si="9"/>
        <v>-0.193028014</v>
      </c>
      <c r="M12" s="1191">
        <f t="shared" ref="M12:O12" si="26">M7+M8</f>
        <v>39728.38314</v>
      </c>
      <c r="N12" s="1219">
        <f t="shared" si="26"/>
        <v>34149.3342</v>
      </c>
      <c r="O12" s="1219">
        <f t="shared" si="26"/>
        <v>35044.22971</v>
      </c>
      <c r="P12" s="745">
        <f t="shared" si="11"/>
        <v>0.02620535747</v>
      </c>
      <c r="Q12" s="1220">
        <f t="shared" si="12"/>
        <v>-0.1179044567</v>
      </c>
    </row>
    <row r="13" ht="18.0" customHeight="1">
      <c r="A13" s="1231"/>
      <c r="B13" s="1232" t="s">
        <v>359</v>
      </c>
      <c r="C13" s="305">
        <v>0.0</v>
      </c>
      <c r="D13" s="305">
        <v>0.0</v>
      </c>
      <c r="E13" s="305">
        <v>0.0</v>
      </c>
      <c r="F13" s="305">
        <v>0.0</v>
      </c>
      <c r="G13" s="1234">
        <v>0.0</v>
      </c>
      <c r="H13" s="305">
        <v>0.0</v>
      </c>
      <c r="I13" s="305">
        <v>0.0</v>
      </c>
      <c r="J13" s="305">
        <v>0.0</v>
      </c>
      <c r="K13" s="305">
        <v>0.0</v>
      </c>
      <c r="L13" s="305">
        <v>0.0</v>
      </c>
      <c r="M13" s="305">
        <v>0.0</v>
      </c>
      <c r="N13" s="305">
        <v>0.0</v>
      </c>
      <c r="O13" s="305">
        <v>0.0</v>
      </c>
      <c r="P13" s="305">
        <v>0.0</v>
      </c>
      <c r="Q13" s="1234">
        <v>0.0</v>
      </c>
      <c r="R13" s="1231"/>
      <c r="S13" s="1231"/>
      <c r="T13" s="1231"/>
      <c r="U13" s="1231"/>
      <c r="V13" s="1231"/>
      <c r="W13" s="1231"/>
      <c r="X13" s="1231"/>
      <c r="Y13" s="1231"/>
      <c r="Z13" s="1231"/>
    </row>
    <row r="14">
      <c r="A14" s="1235"/>
      <c r="B14" s="1236" t="s">
        <v>479</v>
      </c>
      <c r="C14" s="1239">
        <f t="shared" ref="C14:E14" si="27">C12+C13</f>
        <v>5843.931103</v>
      </c>
      <c r="D14" s="1240">
        <f t="shared" si="27"/>
        <v>2976.29857</v>
      </c>
      <c r="E14" s="1240">
        <f t="shared" si="27"/>
        <v>3472.51572</v>
      </c>
      <c r="F14" s="1241">
        <f>E14/D14-1</f>
        <v>0.166722907</v>
      </c>
      <c r="G14" s="1241">
        <f>E14/C14-1</f>
        <v>-0.4057911261</v>
      </c>
      <c r="H14" s="1242">
        <f t="shared" ref="H14:J14" si="28">H12+H13</f>
        <v>25693.36014</v>
      </c>
      <c r="I14" s="1244">
        <f t="shared" si="28"/>
        <v>18379.60473</v>
      </c>
      <c r="J14" s="1244">
        <f t="shared" si="28"/>
        <v>20733.82186</v>
      </c>
      <c r="K14" s="1241">
        <f>J14/I14-1</f>
        <v>0.1280885611</v>
      </c>
      <c r="L14" s="1245">
        <f>J14/H14-1</f>
        <v>-0.193028014</v>
      </c>
      <c r="M14" s="1239">
        <f t="shared" ref="M14:O14" si="29">M12+M13</f>
        <v>39728.38314</v>
      </c>
      <c r="N14" s="1240">
        <f t="shared" si="29"/>
        <v>34149.3342</v>
      </c>
      <c r="O14" s="1240">
        <f t="shared" si="29"/>
        <v>35044.22971</v>
      </c>
      <c r="P14" s="1241">
        <f>O14/N14-1</f>
        <v>0.02620535747</v>
      </c>
      <c r="Q14" s="1245">
        <f>O14/M14-1</f>
        <v>-0.1179044567</v>
      </c>
      <c r="R14" s="1235"/>
      <c r="S14" s="1235"/>
      <c r="T14" s="1235"/>
      <c r="U14" s="1235"/>
      <c r="V14" s="1235"/>
      <c r="W14" s="1235"/>
      <c r="X14" s="1235"/>
      <c r="Y14" s="1235"/>
      <c r="Z14" s="1235"/>
    </row>
    <row r="16">
      <c r="J16" s="301"/>
      <c r="L16" s="1247"/>
      <c r="M16" s="301"/>
      <c r="O16" s="1248">
        <f>O11+O5</f>
        <v>39021.90281</v>
      </c>
    </row>
    <row r="17" ht="13.5" hidden="1" customHeight="1">
      <c r="J17" s="301"/>
      <c r="L17" s="1247"/>
      <c r="M17" s="301"/>
    </row>
    <row r="18" ht="24.0" hidden="1" customHeight="1">
      <c r="B18" s="1249" t="s">
        <v>483</v>
      </c>
      <c r="C18" s="1250"/>
      <c r="D18" s="1212"/>
      <c r="E18" s="1212"/>
      <c r="F18" s="1212"/>
      <c r="G18" s="1213"/>
      <c r="H18" s="1251" t="s">
        <v>484</v>
      </c>
      <c r="I18" s="1212"/>
      <c r="J18" s="1212"/>
      <c r="K18" s="1212"/>
      <c r="L18" s="1213"/>
      <c r="M18" s="1251" t="s">
        <v>3</v>
      </c>
      <c r="N18" s="1212"/>
      <c r="O18" s="1212"/>
      <c r="P18" s="1212"/>
      <c r="Q18" s="1213"/>
    </row>
    <row r="19" ht="49.5" hidden="1" customHeight="1">
      <c r="B19" s="1252"/>
      <c r="C19" s="1253"/>
      <c r="D19" s="1254"/>
      <c r="E19" s="1254"/>
      <c r="F19" s="1254"/>
      <c r="G19" s="1254"/>
      <c r="H19" s="1253" t="s">
        <v>149</v>
      </c>
      <c r="I19" s="1254" t="s">
        <v>150</v>
      </c>
      <c r="J19" s="1254" t="s">
        <v>19</v>
      </c>
      <c r="K19" s="1254" t="s">
        <v>151</v>
      </c>
      <c r="L19" s="1254" t="s">
        <v>152</v>
      </c>
      <c r="M19" s="1253" t="s">
        <v>149</v>
      </c>
      <c r="N19" s="1254" t="s">
        <v>150</v>
      </c>
      <c r="O19" s="1254" t="s">
        <v>157</v>
      </c>
      <c r="P19" s="1254" t="s">
        <v>158</v>
      </c>
      <c r="Q19" s="1255" t="s">
        <v>159</v>
      </c>
    </row>
    <row r="20" ht="15.75" hidden="1" customHeight="1">
      <c r="B20" s="1256" t="s">
        <v>485</v>
      </c>
      <c r="C20" s="1257"/>
      <c r="D20" s="1258"/>
      <c r="E20" s="1258"/>
      <c r="F20" s="1259"/>
      <c r="G20" s="1260"/>
      <c r="H20" s="1257">
        <v>0.0</v>
      </c>
      <c r="I20" s="1258">
        <v>0.0</v>
      </c>
      <c r="J20" s="1258">
        <v>0.0</v>
      </c>
      <c r="K20" s="1259" t="s">
        <v>115</v>
      </c>
      <c r="L20" s="1260" t="s">
        <v>115</v>
      </c>
      <c r="M20" s="1257">
        <v>0.0</v>
      </c>
      <c r="N20" s="1258">
        <v>-4.19</v>
      </c>
      <c r="O20" s="1258">
        <v>-3.826</v>
      </c>
      <c r="P20" s="745">
        <f t="shared" ref="P20:P21" si="32">O20/N20-1</f>
        <v>-0.08687350835</v>
      </c>
      <c r="Q20" s="1260" t="s">
        <v>486</v>
      </c>
    </row>
    <row r="21" ht="15.75" hidden="1" customHeight="1">
      <c r="A21" s="1235"/>
      <c r="B21" s="1263" t="s">
        <v>487</v>
      </c>
      <c r="C21" s="1264"/>
      <c r="D21" s="1266"/>
      <c r="E21" s="1266"/>
      <c r="F21" s="1267"/>
      <c r="G21" s="1269"/>
      <c r="H21" s="1264">
        <f t="shared" ref="H21:J21" si="30">H20</f>
        <v>0</v>
      </c>
      <c r="I21" s="1266">
        <f t="shared" si="30"/>
        <v>0</v>
      </c>
      <c r="J21" s="1266">
        <f t="shared" si="30"/>
        <v>0</v>
      </c>
      <c r="K21" s="1267" t="s">
        <v>115</v>
      </c>
      <c r="L21" s="1269" t="s">
        <v>115</v>
      </c>
      <c r="M21" s="1264">
        <f t="shared" ref="M21:O21" si="31">M20</f>
        <v>0</v>
      </c>
      <c r="N21" s="1266">
        <f t="shared" si="31"/>
        <v>-4.19</v>
      </c>
      <c r="O21" s="1266">
        <f t="shared" si="31"/>
        <v>-3.826</v>
      </c>
      <c r="P21" s="1271">
        <f t="shared" si="32"/>
        <v>-0.08687350835</v>
      </c>
      <c r="Q21" s="1272">
        <v>0.0</v>
      </c>
      <c r="R21" s="1235"/>
      <c r="S21" s="1235"/>
      <c r="T21" s="1235"/>
      <c r="U21" s="1235"/>
      <c r="V21" s="1235"/>
      <c r="W21" s="1235"/>
      <c r="X21" s="1235"/>
      <c r="Y21" s="1235"/>
      <c r="Z21" s="1235"/>
    </row>
    <row r="22" ht="15.75" hidden="1" customHeight="1"/>
    <row r="23" ht="15.75" hidden="1" customHeight="1"/>
    <row r="24" ht="24.0" hidden="1" customHeight="1">
      <c r="B24" s="1273" t="s">
        <v>490</v>
      </c>
      <c r="C24" s="1274"/>
      <c r="D24" s="1275"/>
      <c r="E24" s="1275"/>
      <c r="F24" s="1275"/>
      <c r="G24" s="1276"/>
      <c r="H24" s="1277" t="s">
        <v>492</v>
      </c>
      <c r="I24" s="1275"/>
      <c r="J24" s="1275"/>
      <c r="K24" s="1275"/>
      <c r="L24" s="1276"/>
      <c r="M24" s="1277" t="s">
        <v>190</v>
      </c>
      <c r="N24" s="1275"/>
      <c r="O24" s="1275"/>
      <c r="P24" s="1275"/>
      <c r="Q24" s="1276"/>
    </row>
    <row r="25" ht="49.5" hidden="1" customHeight="1">
      <c r="B25" s="1278"/>
      <c r="C25" s="1279"/>
      <c r="D25" s="1254"/>
      <c r="E25" s="1254"/>
      <c r="F25" s="1254"/>
      <c r="G25" s="1280"/>
      <c r="H25" s="1279" t="s">
        <v>193</v>
      </c>
      <c r="I25" s="1254" t="s">
        <v>493</v>
      </c>
      <c r="J25" s="1254" t="s">
        <v>153</v>
      </c>
      <c r="K25" s="1254" t="s">
        <v>494</v>
      </c>
      <c r="L25" s="1280" t="s">
        <v>495</v>
      </c>
      <c r="M25" s="1279" t="s">
        <v>193</v>
      </c>
      <c r="N25" s="1254" t="s">
        <v>493</v>
      </c>
      <c r="O25" s="1254" t="s">
        <v>496</v>
      </c>
      <c r="P25" s="1254" t="s">
        <v>497</v>
      </c>
      <c r="Q25" s="1280" t="s">
        <v>498</v>
      </c>
    </row>
    <row r="26" ht="15.75" hidden="1" customHeight="1">
      <c r="B26" s="1256" t="s">
        <v>499</v>
      </c>
      <c r="C26" s="1257"/>
      <c r="D26" s="1258"/>
      <c r="E26" s="1258"/>
      <c r="F26" s="745"/>
      <c r="G26" s="1281"/>
      <c r="H26" s="1258">
        <v>40.0</v>
      </c>
      <c r="I26" s="1258">
        <v>33.5</v>
      </c>
      <c r="J26" s="1258">
        <v>33.5</v>
      </c>
      <c r="K26" s="745">
        <v>-0.17</v>
      </c>
      <c r="L26" s="1281">
        <v>0.0</v>
      </c>
      <c r="M26" s="1257">
        <v>69.0</v>
      </c>
      <c r="N26" s="1258">
        <v>59.0</v>
      </c>
      <c r="O26" s="1258">
        <v>59.0</v>
      </c>
      <c r="P26" s="745">
        <v>-0.15</v>
      </c>
      <c r="Q26" s="1281">
        <v>0.0</v>
      </c>
    </row>
    <row r="27" ht="15.75" hidden="1" customHeight="1">
      <c r="B27" s="1256" t="s">
        <v>500</v>
      </c>
      <c r="C27" s="1257"/>
      <c r="D27" s="1258"/>
      <c r="E27" s="1258"/>
      <c r="F27" s="745"/>
      <c r="G27" s="1281"/>
      <c r="H27" s="1258">
        <v>28.0</v>
      </c>
      <c r="I27" s="1258">
        <v>55.0</v>
      </c>
      <c r="J27" s="1258">
        <v>46.0</v>
      </c>
      <c r="K27" s="745">
        <v>0.61</v>
      </c>
      <c r="L27" s="1281">
        <v>-0.17</v>
      </c>
      <c r="M27" s="1257">
        <v>61.0</v>
      </c>
      <c r="N27" s="1258">
        <v>73.0</v>
      </c>
      <c r="O27" s="1258">
        <v>64.0</v>
      </c>
      <c r="P27" s="745">
        <v>0.04</v>
      </c>
      <c r="Q27" s="1281">
        <v>-0.13</v>
      </c>
    </row>
    <row r="28" ht="15.75" hidden="1" customHeight="1">
      <c r="B28" s="1256" t="s">
        <v>485</v>
      </c>
      <c r="C28" s="1257"/>
      <c r="D28" s="1258"/>
      <c r="E28" s="1258"/>
      <c r="F28" s="1259"/>
      <c r="G28" s="1260"/>
      <c r="H28" s="1257">
        <v>0.0</v>
      </c>
      <c r="I28" s="1258">
        <v>0.0</v>
      </c>
      <c r="J28" s="1258">
        <v>0.0</v>
      </c>
      <c r="K28" s="1259" t="s">
        <v>115</v>
      </c>
      <c r="L28" s="1260" t="s">
        <v>115</v>
      </c>
      <c r="M28" s="1257">
        <v>2.7</v>
      </c>
      <c r="N28" s="1258">
        <v>2.7</v>
      </c>
      <c r="O28" s="1258">
        <v>2.7</v>
      </c>
      <c r="P28" s="745">
        <v>0.02</v>
      </c>
      <c r="Q28" s="1281">
        <v>0.0</v>
      </c>
    </row>
    <row r="29" ht="15.75" hidden="1" customHeight="1">
      <c r="B29" s="1256" t="s">
        <v>501</v>
      </c>
      <c r="C29" s="1257"/>
      <c r="D29" s="1258"/>
      <c r="E29" s="1258"/>
      <c r="F29" s="1259"/>
      <c r="G29" s="1260"/>
      <c r="H29" s="1257">
        <v>0.0</v>
      </c>
      <c r="I29" s="1258">
        <v>0.0</v>
      </c>
      <c r="J29" s="1258">
        <v>0.0</v>
      </c>
      <c r="K29" s="1259" t="s">
        <v>115</v>
      </c>
      <c r="L29" s="1260" t="s">
        <v>115</v>
      </c>
      <c r="M29" s="1257">
        <v>6.7</v>
      </c>
      <c r="N29" s="1258">
        <v>6.8</v>
      </c>
      <c r="O29" s="1258">
        <v>6.8</v>
      </c>
      <c r="P29" s="745">
        <v>0.01</v>
      </c>
      <c r="Q29" s="1281">
        <v>0.0</v>
      </c>
    </row>
    <row r="30" ht="15.75" hidden="1" customHeight="1">
      <c r="B30" s="1256" t="s">
        <v>503</v>
      </c>
      <c r="C30" s="1257"/>
      <c r="D30" s="1258"/>
      <c r="E30" s="1258"/>
      <c r="F30" s="1259"/>
      <c r="G30" s="1260"/>
      <c r="H30" s="1257">
        <v>0.9</v>
      </c>
      <c r="I30" s="1258">
        <v>0.0</v>
      </c>
      <c r="J30" s="1258">
        <v>0.0</v>
      </c>
      <c r="K30" s="745">
        <v>-1.0</v>
      </c>
      <c r="L30" s="1260" t="s">
        <v>115</v>
      </c>
      <c r="M30" s="1257">
        <v>1.6</v>
      </c>
      <c r="N30" s="1258">
        <v>0.0</v>
      </c>
      <c r="O30" s="1258">
        <v>0.0</v>
      </c>
      <c r="P30" s="745">
        <v>-1.0</v>
      </c>
      <c r="Q30" s="1260" t="s">
        <v>115</v>
      </c>
    </row>
    <row r="31" ht="15.75" hidden="1" customHeight="1">
      <c r="B31" s="1263" t="s">
        <v>504</v>
      </c>
      <c r="C31" s="1264"/>
      <c r="D31" s="1266"/>
      <c r="E31" s="1266"/>
      <c r="F31" s="1271"/>
      <c r="G31" s="1272"/>
      <c r="H31" s="1264">
        <v>88.0</v>
      </c>
      <c r="I31" s="1266">
        <v>88.0</v>
      </c>
      <c r="J31" s="1266">
        <v>79.0</v>
      </c>
      <c r="K31" s="1271">
        <v>0.14</v>
      </c>
      <c r="L31" s="1272">
        <v>-0.1</v>
      </c>
      <c r="M31" s="1264">
        <v>141.0</v>
      </c>
      <c r="N31" s="1266">
        <v>141.0</v>
      </c>
      <c r="O31" s="1266">
        <v>132.0</v>
      </c>
      <c r="P31" s="1271">
        <v>0.07</v>
      </c>
      <c r="Q31" s="1272">
        <v>-0.06</v>
      </c>
    </row>
    <row r="32" ht="15.75" hidden="1" customHeight="1"/>
    <row r="33" ht="15.75" customHeight="1"/>
    <row r="34" ht="15.75" customHeight="1"/>
    <row r="35" ht="15.75" customHeight="1">
      <c r="B35" s="979"/>
      <c r="C35" s="980" t="s">
        <v>506</v>
      </c>
      <c r="D35" s="1285" t="s">
        <v>507</v>
      </c>
      <c r="E35" s="1285" t="s">
        <v>508</v>
      </c>
      <c r="F35" s="1145" t="s">
        <v>451</v>
      </c>
      <c r="G35" s="980" t="s">
        <v>509</v>
      </c>
      <c r="H35" s="1285" t="s">
        <v>510</v>
      </c>
      <c r="I35" s="1285" t="s">
        <v>511</v>
      </c>
      <c r="J35" s="1145" t="s">
        <v>451</v>
      </c>
      <c r="K35" s="980" t="s">
        <v>512</v>
      </c>
      <c r="L35" s="1285" t="s">
        <v>510</v>
      </c>
      <c r="M35" s="1285" t="s">
        <v>513</v>
      </c>
    </row>
    <row r="36" ht="15.75" customHeight="1">
      <c r="B36" s="1287" t="s">
        <v>398</v>
      </c>
      <c r="C36" s="983">
        <v>394256.07</v>
      </c>
      <c r="D36" s="985">
        <v>-165448.83</v>
      </c>
      <c r="E36" s="985">
        <v>-228663.93</v>
      </c>
      <c r="F36" s="1289"/>
      <c r="G36" s="985">
        <v>-968186.41</v>
      </c>
      <c r="H36" s="985">
        <v>-1632027.18</v>
      </c>
      <c r="I36" s="985">
        <v>-1670153.4</v>
      </c>
      <c r="J36" s="1289"/>
      <c r="K36" s="985">
        <v>-1861502.17</v>
      </c>
      <c r="L36" s="985">
        <v>-2868650.77</v>
      </c>
      <c r="M36" s="985">
        <v>-3775167.51</v>
      </c>
    </row>
    <row r="37" ht="15.75" customHeight="1">
      <c r="B37" s="1287" t="s">
        <v>514</v>
      </c>
      <c r="C37" s="985">
        <v>-1806.73</v>
      </c>
      <c r="D37" s="985">
        <v>-1743.96</v>
      </c>
      <c r="E37" s="985">
        <v>-1425.21</v>
      </c>
      <c r="F37" s="1289"/>
      <c r="G37" s="985">
        <v>-12159.04</v>
      </c>
      <c r="H37" s="985">
        <v>-12073.46</v>
      </c>
      <c r="I37" s="985">
        <v>-11092.13</v>
      </c>
      <c r="J37" s="1289"/>
      <c r="K37" s="985">
        <v>-21020.69</v>
      </c>
      <c r="L37" s="985">
        <v>-20664.31</v>
      </c>
      <c r="M37" s="985">
        <v>-19682.98</v>
      </c>
    </row>
    <row r="38" ht="15.75" customHeight="1">
      <c r="B38" s="1287" t="s">
        <v>515</v>
      </c>
      <c r="C38" s="983">
        <v>392449.34</v>
      </c>
      <c r="D38" s="985">
        <v>-167192.79</v>
      </c>
      <c r="E38" s="985">
        <v>-230089.14</v>
      </c>
      <c r="F38" s="1289"/>
      <c r="G38" s="985">
        <v>-980345.45</v>
      </c>
      <c r="H38" s="985">
        <v>-1644100.64</v>
      </c>
      <c r="I38" s="985">
        <v>-1681245.53</v>
      </c>
      <c r="J38" s="1289"/>
      <c r="K38" s="985">
        <v>-1882522.86</v>
      </c>
      <c r="L38" s="985">
        <v>-2889315.08</v>
      </c>
      <c r="M38" s="985">
        <v>-3794850.49</v>
      </c>
    </row>
    <row r="39" ht="15.75" customHeight="1">
      <c r="B39" s="1287" t="s">
        <v>516</v>
      </c>
      <c r="C39" s="983">
        <v>60752.95</v>
      </c>
      <c r="D39" s="985">
        <v>-323240.28</v>
      </c>
      <c r="E39" s="985">
        <v>-344928.04</v>
      </c>
      <c r="F39" s="1289"/>
      <c r="G39" s="983">
        <v>439890.6</v>
      </c>
      <c r="H39" s="985">
        <v>-2734180.31</v>
      </c>
      <c r="I39" s="985">
        <v>-2632506.49</v>
      </c>
      <c r="J39" s="1289"/>
      <c r="K39" s="985">
        <v>-209508.41</v>
      </c>
      <c r="L39" s="985">
        <v>-3864350.72</v>
      </c>
      <c r="M39" s="985">
        <v>-3957990.12</v>
      </c>
    </row>
    <row r="40" ht="15.75" customHeight="1">
      <c r="B40" s="1036" t="s">
        <v>452</v>
      </c>
      <c r="C40" s="989">
        <v>60903.05</v>
      </c>
      <c r="D40" s="989">
        <v>167344.32</v>
      </c>
      <c r="E40" s="989">
        <v>178246.84</v>
      </c>
      <c r="F40" s="1289"/>
      <c r="G40" s="989">
        <v>442503.47</v>
      </c>
      <c r="H40" s="989">
        <v>616697.96</v>
      </c>
      <c r="I40" s="989">
        <v>675592.01</v>
      </c>
      <c r="J40" s="1289"/>
      <c r="K40" s="989">
        <v>562730.89</v>
      </c>
      <c r="L40" s="989">
        <v>1734343.63</v>
      </c>
      <c r="M40" s="989">
        <v>1597924.46</v>
      </c>
    </row>
    <row r="41" ht="15.75" customHeight="1">
      <c r="B41" s="1036" t="s">
        <v>453</v>
      </c>
      <c r="C41" s="990">
        <v>-150.1</v>
      </c>
      <c r="D41" s="990">
        <v>-490584.6</v>
      </c>
      <c r="E41" s="990">
        <v>-523174.88</v>
      </c>
      <c r="F41" s="1289"/>
      <c r="G41" s="990">
        <v>-2612.87</v>
      </c>
      <c r="H41" s="990">
        <v>-3350878.27</v>
      </c>
      <c r="I41" s="990">
        <v>-3308098.5</v>
      </c>
      <c r="J41" s="1289"/>
      <c r="K41" s="990">
        <v>-772239.3</v>
      </c>
      <c r="L41" s="990">
        <v>-5598694.35</v>
      </c>
      <c r="M41" s="990">
        <v>-5555914.58</v>
      </c>
    </row>
    <row r="42" ht="15.75" customHeight="1">
      <c r="B42" s="1287" t="s">
        <v>518</v>
      </c>
      <c r="C42" s="983">
        <v>453202.29</v>
      </c>
      <c r="D42" s="985">
        <v>-490433.07</v>
      </c>
      <c r="E42" s="985">
        <v>-575017.18</v>
      </c>
      <c r="F42" s="1289"/>
      <c r="G42" s="985">
        <v>-540454.85</v>
      </c>
      <c r="H42" s="985">
        <v>-4378280.95</v>
      </c>
      <c r="I42" s="985">
        <v>-4313752.02</v>
      </c>
      <c r="J42" s="1289"/>
      <c r="K42" s="985">
        <v>-2092031.27</v>
      </c>
      <c r="L42" s="985">
        <v>-6753665.8</v>
      </c>
      <c r="M42" s="985">
        <v>-7752840.61</v>
      </c>
    </row>
    <row r="43" ht="15.75" customHeight="1">
      <c r="B43" s="1287" t="s">
        <v>519</v>
      </c>
      <c r="C43" s="984"/>
      <c r="D43" s="987"/>
      <c r="E43" s="987"/>
      <c r="F43" s="1289"/>
      <c r="G43" s="987"/>
      <c r="H43" s="987"/>
      <c r="I43" s="987"/>
      <c r="J43" s="1289"/>
      <c r="K43" s="987"/>
      <c r="L43" s="987"/>
      <c r="M43" s="987"/>
    </row>
    <row r="44" ht="15.75" customHeight="1">
      <c r="B44" s="1287" t="s">
        <v>520</v>
      </c>
      <c r="C44" s="983">
        <v>453202.29</v>
      </c>
      <c r="D44" s="985">
        <v>-490433.07</v>
      </c>
      <c r="E44" s="985">
        <v>-575017.18</v>
      </c>
      <c r="F44" s="1289"/>
      <c r="G44" s="985">
        <v>-540454.85</v>
      </c>
      <c r="H44" s="985">
        <v>-4378280.95</v>
      </c>
      <c r="I44" s="985">
        <v>-4313752.02</v>
      </c>
      <c r="J44" s="1289"/>
      <c r="K44" s="985">
        <v>-2092031.27</v>
      </c>
      <c r="L44" s="985">
        <v>-6753665.8</v>
      </c>
      <c r="M44" s="985">
        <v>-7752840.61</v>
      </c>
    </row>
    <row r="45" ht="15.75" customHeight="1">
      <c r="C45" s="992">
        <v>0.0</v>
      </c>
      <c r="D45" s="992">
        <v>0.0</v>
      </c>
      <c r="E45" s="992">
        <v>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2">
    <mergeCell ref="B18:B19"/>
    <mergeCell ref="B24:B25"/>
    <mergeCell ref="C24:G24"/>
    <mergeCell ref="H24:L24"/>
    <mergeCell ref="M24:Q24"/>
    <mergeCell ref="B3:B4"/>
    <mergeCell ref="C3:G3"/>
    <mergeCell ref="H3:L3"/>
    <mergeCell ref="M3:Q3"/>
    <mergeCell ref="C18:G18"/>
    <mergeCell ref="H18:L18"/>
    <mergeCell ref="M18:Q1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5.29"/>
    <col customWidth="1" min="3" max="3" width="14.43"/>
    <col customWidth="1" min="4" max="7" width="11.57"/>
    <col customWidth="1" min="8" max="27" width="8.71"/>
  </cols>
  <sheetData>
    <row r="1" ht="18.0" customHeight="1"/>
    <row r="2" ht="15.0" customHeight="1">
      <c r="B2" s="1228" t="s">
        <v>478</v>
      </c>
      <c r="C2" s="1229" t="s">
        <v>27</v>
      </c>
      <c r="D2" s="1229" t="s">
        <v>30</v>
      </c>
      <c r="E2" s="1229" t="s">
        <v>31</v>
      </c>
      <c r="F2" s="1230" t="s">
        <v>258</v>
      </c>
      <c r="G2" s="1230" t="s">
        <v>259</v>
      </c>
    </row>
    <row r="3" ht="13.5" customHeight="1">
      <c r="B3" s="1077" t="s">
        <v>378</v>
      </c>
      <c r="C3" s="1233">
        <v>7559.7</v>
      </c>
      <c r="D3" s="305">
        <v>0.0</v>
      </c>
      <c r="E3" s="1233">
        <v>47500</v>
      </c>
      <c r="F3" s="1237">
        <f t="shared" ref="F3:F11" si="1">E3-D3</f>
        <v>47500</v>
      </c>
      <c r="G3" s="1238">
        <v>1.0</v>
      </c>
    </row>
    <row r="4" ht="12.75" customHeight="1">
      <c r="B4" s="754" t="s">
        <v>379</v>
      </c>
      <c r="C4" s="1233">
        <v>60083.33</v>
      </c>
      <c r="D4" s="1233">
        <v>14835</v>
      </c>
      <c r="E4" s="1233">
        <v>28175.99</v>
      </c>
      <c r="F4" s="1237">
        <f t="shared" si="1"/>
        <v>13340.99</v>
      </c>
      <c r="G4" s="1243">
        <f t="shared" ref="G4:G11" si="2">E4/D4-1</f>
        <v>0.8992915403</v>
      </c>
    </row>
    <row r="5" ht="11.25" customHeight="1">
      <c r="B5" s="754" t="s">
        <v>393</v>
      </c>
      <c r="C5" s="1233">
        <v>16545.41</v>
      </c>
      <c r="D5" s="1233">
        <v>16209.33</v>
      </c>
      <c r="E5" s="1233">
        <v>21257.33</v>
      </c>
      <c r="F5" s="1237">
        <f t="shared" si="1"/>
        <v>5048</v>
      </c>
      <c r="G5" s="1243">
        <f t="shared" si="2"/>
        <v>0.3114255802</v>
      </c>
    </row>
    <row r="6">
      <c r="B6" s="754" t="s">
        <v>480</v>
      </c>
      <c r="C6" s="1246">
        <v>-41969.47</v>
      </c>
      <c r="D6" s="1246">
        <v>-45413.32</v>
      </c>
      <c r="E6" s="1246">
        <v>-43561.21</v>
      </c>
      <c r="F6" s="1237">
        <f t="shared" si="1"/>
        <v>1852.11</v>
      </c>
      <c r="G6" s="1243">
        <f t="shared" si="2"/>
        <v>-0.04078340892</v>
      </c>
    </row>
    <row r="7" ht="12.75" customHeight="1">
      <c r="B7" s="754" t="s">
        <v>481</v>
      </c>
      <c r="C7" s="1233">
        <v>210.77</v>
      </c>
      <c r="D7" s="1233">
        <v>1144.5</v>
      </c>
      <c r="E7" s="1233">
        <v>2006.34</v>
      </c>
      <c r="F7" s="1237">
        <f t="shared" si="1"/>
        <v>861.84</v>
      </c>
      <c r="G7" s="1243">
        <f t="shared" si="2"/>
        <v>0.7530275229</v>
      </c>
    </row>
    <row r="8" ht="12.75" customHeight="1">
      <c r="B8" s="754" t="s">
        <v>482</v>
      </c>
      <c r="C8" s="1233">
        <v>19802.17</v>
      </c>
      <c r="D8" s="1233">
        <v>19843.65</v>
      </c>
      <c r="E8" s="1233">
        <v>20294.61</v>
      </c>
      <c r="F8" s="1237">
        <f t="shared" si="1"/>
        <v>450.96</v>
      </c>
      <c r="G8" s="1243">
        <f t="shared" si="2"/>
        <v>0.02272565783</v>
      </c>
    </row>
    <row r="9">
      <c r="B9" s="754" t="s">
        <v>408</v>
      </c>
      <c r="C9" s="1233">
        <v>68.51</v>
      </c>
      <c r="D9" s="1233">
        <v>80</v>
      </c>
      <c r="E9" s="1233">
        <v>87.53</v>
      </c>
      <c r="F9" s="1237">
        <f t="shared" si="1"/>
        <v>7.53</v>
      </c>
      <c r="G9" s="1243">
        <f t="shared" si="2"/>
        <v>0.094125</v>
      </c>
    </row>
    <row r="10" ht="12.75" customHeight="1">
      <c r="B10" s="754" t="s">
        <v>278</v>
      </c>
      <c r="C10" s="1233">
        <v>3325.54</v>
      </c>
      <c r="D10" s="1233">
        <v>3325.53</v>
      </c>
      <c r="E10" s="1233">
        <v>3325.54</v>
      </c>
      <c r="F10" s="1237">
        <f t="shared" si="1"/>
        <v>0.01</v>
      </c>
      <c r="G10" s="1243">
        <f t="shared" si="2"/>
        <v>0.000003007039479</v>
      </c>
    </row>
    <row r="11" ht="12.75" customHeight="1">
      <c r="B11" s="1261" t="s">
        <v>419</v>
      </c>
      <c r="C11" s="1262">
        <f t="shared" ref="C11:E11" si="3">SUM(C3:C10)</f>
        <v>65625.96</v>
      </c>
      <c r="D11" s="1262">
        <f t="shared" si="3"/>
        <v>10024.69</v>
      </c>
      <c r="E11" s="1262">
        <f t="shared" si="3"/>
        <v>79086.13</v>
      </c>
      <c r="F11" s="1265">
        <f t="shared" si="1"/>
        <v>69061.44</v>
      </c>
      <c r="G11" s="1268">
        <f t="shared" si="2"/>
        <v>6.889134726</v>
      </c>
    </row>
    <row r="12" ht="15.0" customHeight="1">
      <c r="B12" s="1228" t="s">
        <v>488</v>
      </c>
      <c r="C12" s="1229" t="s">
        <v>27</v>
      </c>
      <c r="D12" s="1229" t="s">
        <v>30</v>
      </c>
      <c r="E12" s="1229" t="s">
        <v>31</v>
      </c>
      <c r="F12" s="1270" t="s">
        <v>258</v>
      </c>
      <c r="G12" s="1230" t="s">
        <v>259</v>
      </c>
    </row>
    <row r="13" ht="12.75" customHeight="1">
      <c r="B13" s="754" t="s">
        <v>489</v>
      </c>
      <c r="C13" s="1233">
        <v>15398.58</v>
      </c>
      <c r="D13" s="1233">
        <v>19520.49</v>
      </c>
      <c r="E13" s="1246">
        <v>15720.33</v>
      </c>
      <c r="F13" s="1237">
        <f t="shared" ref="F13:F21" si="4">E13-D13</f>
        <v>-3800.16</v>
      </c>
      <c r="G13" s="1243">
        <f t="shared" ref="G13:G17" si="5">E13/D13-1</f>
        <v>-0.194675441</v>
      </c>
    </row>
    <row r="14" ht="13.5" customHeight="1">
      <c r="B14" s="754" t="s">
        <v>491</v>
      </c>
      <c r="C14" s="1233">
        <v>123436.12</v>
      </c>
      <c r="D14" s="1233">
        <v>132471.99</v>
      </c>
      <c r="E14" s="1233">
        <v>130977.47</v>
      </c>
      <c r="F14" s="1237">
        <f t="shared" si="4"/>
        <v>-1494.52</v>
      </c>
      <c r="G14" s="1243">
        <f t="shared" si="5"/>
        <v>-0.01128178115</v>
      </c>
    </row>
    <row r="15" ht="13.5" customHeight="1">
      <c r="B15" s="754" t="s">
        <v>369</v>
      </c>
      <c r="C15" s="1233">
        <v>1975</v>
      </c>
      <c r="D15" s="1233">
        <v>2916.66</v>
      </c>
      <c r="E15" s="1233">
        <v>2500</v>
      </c>
      <c r="F15" s="1237">
        <f t="shared" si="4"/>
        <v>-416.66</v>
      </c>
      <c r="G15" s="1243">
        <f t="shared" si="5"/>
        <v>-0.1428551837</v>
      </c>
      <c r="L15" s="1282"/>
    </row>
    <row r="16">
      <c r="B16" s="754" t="s">
        <v>409</v>
      </c>
      <c r="C16" s="305">
        <v>0.0</v>
      </c>
      <c r="D16" s="1233">
        <v>100</v>
      </c>
      <c r="E16" s="305">
        <v>0.0</v>
      </c>
      <c r="F16" s="1237">
        <f t="shared" si="4"/>
        <v>-100</v>
      </c>
      <c r="G16" s="1243">
        <f t="shared" si="5"/>
        <v>-1</v>
      </c>
    </row>
    <row r="17" ht="13.5" customHeight="1">
      <c r="B17" s="1283" t="s">
        <v>502</v>
      </c>
      <c r="C17" s="1233">
        <v>350</v>
      </c>
      <c r="D17" s="1233">
        <v>415</v>
      </c>
      <c r="E17" s="1233">
        <v>380</v>
      </c>
      <c r="F17" s="1237">
        <f t="shared" si="4"/>
        <v>-35</v>
      </c>
      <c r="G17" s="1243">
        <f t="shared" si="5"/>
        <v>-0.0843373494</v>
      </c>
    </row>
    <row r="18" ht="13.5" customHeight="1">
      <c r="B18" s="1284" t="s">
        <v>505</v>
      </c>
      <c r="C18" s="1246">
        <v>-602544.01</v>
      </c>
      <c r="D18" s="305">
        <v>0.0</v>
      </c>
      <c r="E18" s="305">
        <v>0.0</v>
      </c>
      <c r="F18" s="1237">
        <f t="shared" si="4"/>
        <v>0</v>
      </c>
      <c r="G18" s="1238">
        <v>0.0</v>
      </c>
    </row>
    <row r="19" ht="13.5" customHeight="1">
      <c r="B19" s="754" t="s">
        <v>396</v>
      </c>
      <c r="C19" s="1233">
        <v>1502.28</v>
      </c>
      <c r="D19" s="305">
        <v>0.0</v>
      </c>
      <c r="E19" s="305">
        <v>0.0</v>
      </c>
      <c r="F19" s="1237">
        <f t="shared" si="4"/>
        <v>0</v>
      </c>
      <c r="G19" s="1238">
        <v>1.0</v>
      </c>
    </row>
    <row r="20" ht="12.75" customHeight="1">
      <c r="B20" s="1286" t="s">
        <v>419</v>
      </c>
      <c r="C20" s="1288">
        <f t="shared" ref="C20:E20" si="6">SUM(C13:C19)</f>
        <v>-459882.03</v>
      </c>
      <c r="D20" s="1290">
        <f t="shared" si="6"/>
        <v>155424.14</v>
      </c>
      <c r="E20" s="1290">
        <f t="shared" si="6"/>
        <v>149577.8</v>
      </c>
      <c r="F20" s="1291">
        <f t="shared" si="4"/>
        <v>-5846.34</v>
      </c>
      <c r="G20" s="1292">
        <f t="shared" ref="G20:G21" si="8">E20/D20-1</f>
        <v>-0.03761539231</v>
      </c>
    </row>
    <row r="21" ht="12.75" customHeight="1">
      <c r="B21" s="1293" t="s">
        <v>517</v>
      </c>
      <c r="C21" s="1288">
        <f t="shared" ref="C21:E21" si="7">C11+C20</f>
        <v>-394256.07</v>
      </c>
      <c r="D21" s="1288">
        <f t="shared" si="7"/>
        <v>165448.83</v>
      </c>
      <c r="E21" s="1288">
        <f t="shared" si="7"/>
        <v>228663.93</v>
      </c>
      <c r="F21" s="1294">
        <f t="shared" si="4"/>
        <v>63215.1</v>
      </c>
      <c r="G21" s="1292">
        <f t="shared" si="8"/>
        <v>0.3820824844</v>
      </c>
    </row>
    <row r="22" ht="15.75" customHeight="1">
      <c r="C22" s="1179">
        <f>-'DRE Deminvet'!C36</f>
        <v>-394256.07</v>
      </c>
      <c r="D22" s="1179">
        <f>-'DRE Deminvet'!D36</f>
        <v>165448.83</v>
      </c>
      <c r="E22" s="1179">
        <f>-'DRE Deminvet'!E36</f>
        <v>228663.93</v>
      </c>
    </row>
    <row r="23" ht="15.75" customHeight="1">
      <c r="C23" s="1295">
        <f t="shared" ref="C23:E23" si="9">C21-C22</f>
        <v>0</v>
      </c>
      <c r="D23" s="1295">
        <f t="shared" si="9"/>
        <v>0</v>
      </c>
      <c r="E23" s="1295">
        <f t="shared" si="9"/>
        <v>0</v>
      </c>
    </row>
    <row r="24" ht="15.75" customHeight="1">
      <c r="B24" s="754"/>
    </row>
    <row r="25" ht="15.75" customHeight="1">
      <c r="B25" s="754"/>
    </row>
    <row r="26" ht="15.75" customHeight="1">
      <c r="B26" s="75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F21">
    <cfRule type="cellIs" dxfId="0" priority="1" stopIfTrue="1" operator="greaterThan">
      <formula>0</formula>
    </cfRule>
  </conditionalFormatting>
  <conditionalFormatting sqref="F21">
    <cfRule type="cellIs" dxfId="1" priority="2" stopIfTrue="1" operator="lessThanOrEqual">
      <formula>0</formula>
    </cfRule>
  </conditionalFormatting>
  <conditionalFormatting sqref="F3:F10 F13:F20">
    <cfRule type="cellIs" dxfId="0" priority="3" stopIfTrue="1" operator="greaterThan">
      <formula>0</formula>
    </cfRule>
  </conditionalFormatting>
  <conditionalFormatting sqref="F3:F10 F13:F20">
    <cfRule type="cellIs" dxfId="1" priority="4" stopIfTrue="1" operator="less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69.86"/>
    <col customWidth="1" min="3" max="3" width="21.14"/>
    <col customWidth="1" min="4" max="26" width="8.71"/>
  </cols>
  <sheetData>
    <row r="1" ht="15.75" customHeight="1">
      <c r="A1" s="1"/>
      <c r="B1" s="1"/>
      <c r="C1" s="129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29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29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7"/>
      <c r="B4" s="1297" t="s">
        <v>521</v>
      </c>
      <c r="C4" s="1298" t="s">
        <v>522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7"/>
      <c r="B5" s="1299" t="s">
        <v>523</v>
      </c>
      <c r="C5" s="859" t="s">
        <v>524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7"/>
      <c r="B6" s="730" t="s">
        <v>525</v>
      </c>
      <c r="C6" s="1300">
        <v>7763.47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301"/>
      <c r="B7" s="742" t="s">
        <v>526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7"/>
      <c r="B8" s="1299" t="s">
        <v>527</v>
      </c>
      <c r="C8" s="859" t="s">
        <v>524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7"/>
      <c r="B9" s="1302" t="s">
        <v>528</v>
      </c>
      <c r="C9" s="1303">
        <v>1940.87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7"/>
      <c r="B10" s="1302" t="s">
        <v>529</v>
      </c>
      <c r="C10" s="1303">
        <v>1940.87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7"/>
      <c r="B11" s="1302" t="s">
        <v>530</v>
      </c>
      <c r="C11" s="1303">
        <v>1940.87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7"/>
      <c r="B12" s="1304" t="s">
        <v>531</v>
      </c>
      <c r="C12" s="1303">
        <v>1940.87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7"/>
      <c r="B13" s="1305" t="s">
        <v>419</v>
      </c>
      <c r="C13" s="1306">
        <f>C6</f>
        <v>7763.47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1301"/>
      <c r="B14" s="1307" t="s">
        <v>532</v>
      </c>
      <c r="C14" s="1298" t="s">
        <v>522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1301"/>
      <c r="B15" s="1299" t="s">
        <v>523</v>
      </c>
      <c r="C15" s="859" t="s">
        <v>524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1301"/>
      <c r="B16" s="730" t="s">
        <v>525</v>
      </c>
      <c r="C16" s="1308">
        <f>C6</f>
        <v>7763.47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301"/>
      <c r="B17" s="742" t="s">
        <v>526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1301"/>
      <c r="B18" s="1299" t="s">
        <v>533</v>
      </c>
      <c r="C18" s="859" t="s">
        <v>524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1301"/>
      <c r="B19" s="1302" t="s">
        <v>534</v>
      </c>
      <c r="C19" s="1303">
        <v>2587.82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1301"/>
      <c r="B20" s="1302" t="s">
        <v>535</v>
      </c>
      <c r="C20" s="1303">
        <v>2587.82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1301"/>
      <c r="B21" s="1302" t="s">
        <v>536</v>
      </c>
      <c r="C21" s="1303">
        <v>2587.82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7"/>
      <c r="B22" s="1305" t="s">
        <v>419</v>
      </c>
      <c r="C22" s="1306">
        <f>C16</f>
        <v>7763.47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"/>
      <c r="B23" s="930"/>
      <c r="C23" s="129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29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.5" customHeight="1">
      <c r="A25" s="1"/>
      <c r="B25" s="1"/>
      <c r="C25" s="129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29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29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29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29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29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29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29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29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2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29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29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29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29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29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29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29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29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29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29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29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29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29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29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29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29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29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29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29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29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29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29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29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29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29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29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29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29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29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29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29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29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29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29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29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29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29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29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29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29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29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29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29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29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29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29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29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29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29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29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29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29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29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29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29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29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29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29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29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29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29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29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29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29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29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29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29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29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29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29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2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29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2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2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29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29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29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29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29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29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29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29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29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29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29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29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29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29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29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29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29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29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29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29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2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29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2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2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29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2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2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29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29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29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29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29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29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29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29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29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29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29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29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29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29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29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29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29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29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29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29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29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29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29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29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29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29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29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29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29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29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29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29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29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29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29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29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29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29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29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29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29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29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29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29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29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29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29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29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29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29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29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29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29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29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29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29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29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29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29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29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29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29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29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29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29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29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29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29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29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29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29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29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29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29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29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29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29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29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29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29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29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29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29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29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29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29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29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29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29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29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29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29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29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29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29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29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29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29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29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29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29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29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29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29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29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29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29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29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29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29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29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29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29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29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29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29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29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29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29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29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29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29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29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29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29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29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29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29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29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29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29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29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29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29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29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29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29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29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29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29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29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29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29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29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29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29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29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29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29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29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29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29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29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29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29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29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29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29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29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29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29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29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29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29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29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29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29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29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29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29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29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29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29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29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29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29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29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29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29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29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29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29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29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29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29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29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29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29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29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29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29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29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29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29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29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29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29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29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29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29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29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29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29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29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29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29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29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29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29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29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29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29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29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29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29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29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29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29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29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29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29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29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29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29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29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29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29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29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29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29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29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29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29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29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29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29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29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29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29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29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29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29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29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29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29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29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29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29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29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29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29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29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29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29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29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29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29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29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29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29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29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29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29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29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29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29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29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29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29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29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29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29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29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29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29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29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29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29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29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29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29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29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29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29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29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29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29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29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29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29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29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29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29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29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29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29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29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29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29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29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29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29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29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29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29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29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29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29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29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29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29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29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29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29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29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29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29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29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29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29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29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29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29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29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29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29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29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29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29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29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29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29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29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29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29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29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29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29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29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29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29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29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29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29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29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29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29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29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29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29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29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29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29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29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29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29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29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29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29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29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29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29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29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29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29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29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29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29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29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29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29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29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29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29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29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29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29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29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29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29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29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29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29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29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29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29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29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29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29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29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29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29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29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29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29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29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29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29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29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29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29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29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29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29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29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29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29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29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29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29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29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29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29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29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29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29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29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29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29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29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29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29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29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29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29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29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29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29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29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29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29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29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29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29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29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29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29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29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29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29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29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29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29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29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29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29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29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29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29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29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29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29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29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29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29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29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29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29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29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29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29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29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29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29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29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29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29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29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29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29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29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29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29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29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29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29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29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29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29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29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29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29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29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29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29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29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29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29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29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29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29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29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29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29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29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29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29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29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29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29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29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29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29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29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29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29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29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29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29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29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29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29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29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29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29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29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29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29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29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29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29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29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29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29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29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29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29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29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29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29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29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29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29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29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29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29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29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29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29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29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29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29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29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29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29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29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29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29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29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29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29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29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29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29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29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29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29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29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29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29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29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29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29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29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29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29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29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29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29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29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29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29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29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29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29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29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29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29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29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29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29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29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29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29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29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29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29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29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29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29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29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29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29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29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29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29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29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29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29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29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29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29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29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29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29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29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29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29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29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29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29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29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29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29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29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29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29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29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29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29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29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29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29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29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29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29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29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29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29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29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29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29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29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29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29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29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29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29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29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29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29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29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29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29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29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29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29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29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29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29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29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29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29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29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29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29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29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29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29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29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29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29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29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29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29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29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29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29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29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29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29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29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29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29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29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29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29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29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29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29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29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29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29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29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29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29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29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29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29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29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29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29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29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29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29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29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29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29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29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29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29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29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29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29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29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29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29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29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29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29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29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29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29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29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29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29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29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29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29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29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29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29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29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29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29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29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29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29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29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29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29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29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29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29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29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29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29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29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29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29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29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29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29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29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29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29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29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29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29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29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29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29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29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29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29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29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29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29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29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29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29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29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29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29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29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29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29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29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29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29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29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29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29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29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29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29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29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29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29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29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29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29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29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29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29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29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29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29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29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29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29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29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29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29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29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29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29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29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29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29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29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29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29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29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29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29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29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29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29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29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29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29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29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29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29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29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29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29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29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29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29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29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29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29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29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29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29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29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29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29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29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29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29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29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29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29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29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29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29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29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29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29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29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29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29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29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29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29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29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29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29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29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29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29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29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29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29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29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29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2">
    <mergeCell ref="C6:C7"/>
    <mergeCell ref="C16:C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4.43"/>
    <col customWidth="1" min="3" max="3" width="76.71"/>
    <col customWidth="1" min="4" max="4" width="21.14"/>
    <col customWidth="1" min="5" max="5" width="15.71"/>
    <col customWidth="1" min="6" max="25" width="8.71"/>
  </cols>
  <sheetData>
    <row r="1" ht="18.0" customHeight="1"/>
    <row r="2" ht="22.5" customHeight="1">
      <c r="B2" s="1309"/>
      <c r="C2" s="1310" t="s">
        <v>537</v>
      </c>
      <c r="D2" s="1311" t="s">
        <v>538</v>
      </c>
      <c r="E2" s="1312" t="s">
        <v>539</v>
      </c>
    </row>
    <row r="3" ht="18.75" customHeight="1">
      <c r="B3" s="1313"/>
      <c r="C3" s="1314"/>
      <c r="D3" s="1315">
        <v>5.885802351E7</v>
      </c>
      <c r="E3" s="1316"/>
    </row>
    <row r="4" ht="22.5" customHeight="1">
      <c r="A4" s="414"/>
      <c r="B4" s="1317"/>
      <c r="C4" s="1318" t="s">
        <v>540</v>
      </c>
      <c r="D4" s="1319">
        <v>856052.69</v>
      </c>
      <c r="E4" s="1320">
        <v>0.18</v>
      </c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</row>
    <row r="5" ht="22.5" customHeight="1">
      <c r="A5" s="414"/>
      <c r="B5" s="1321"/>
      <c r="C5" s="772" t="s">
        <v>541</v>
      </c>
      <c r="D5" s="1319">
        <v>1669093.73</v>
      </c>
      <c r="E5" s="1322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</row>
    <row r="6" ht="22.5" customHeight="1">
      <c r="A6" s="414"/>
      <c r="B6" s="1317"/>
      <c r="C6" s="1318" t="s">
        <v>542</v>
      </c>
      <c r="D6" s="1319">
        <v>7960933.33</v>
      </c>
      <c r="E6" s="1322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</row>
    <row r="7" ht="18.75" customHeight="1">
      <c r="A7" s="414"/>
      <c r="B7" s="1323"/>
      <c r="C7" s="1324" t="s">
        <v>543</v>
      </c>
      <c r="D7" s="1325">
        <f>SUM(D4:D6)</f>
        <v>10486079.75</v>
      </c>
      <c r="E7" s="1326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</row>
    <row r="8" ht="22.5" customHeight="1">
      <c r="A8" s="414"/>
      <c r="B8" s="1317"/>
      <c r="C8" s="1318" t="s">
        <v>544</v>
      </c>
      <c r="D8" s="1319">
        <v>61539.2</v>
      </c>
      <c r="E8" s="1320">
        <v>0.06</v>
      </c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</row>
    <row r="9" ht="22.5" customHeight="1">
      <c r="A9" s="414"/>
      <c r="B9" s="1321"/>
      <c r="C9" s="772" t="s">
        <v>545</v>
      </c>
      <c r="D9" s="1319">
        <v>8603107.09</v>
      </c>
      <c r="E9" s="1322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</row>
    <row r="10" ht="22.5" customHeight="1">
      <c r="A10" s="414"/>
      <c r="B10" s="1317"/>
      <c r="C10" s="1318" t="s">
        <v>546</v>
      </c>
      <c r="D10" s="1319">
        <v>3389607.08</v>
      </c>
      <c r="E10" s="1322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</row>
    <row r="11" ht="18.75" customHeight="1">
      <c r="A11" s="414"/>
      <c r="B11" s="1323"/>
      <c r="C11" s="1324" t="s">
        <v>543</v>
      </c>
      <c r="D11" s="1325">
        <f>SUM(D8:D10)</f>
        <v>12054253.37</v>
      </c>
      <c r="E11" s="1326"/>
      <c r="F11" s="414"/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14"/>
      <c r="T11" s="414"/>
      <c r="U11" s="414"/>
      <c r="V11" s="414"/>
      <c r="W11" s="414"/>
      <c r="X11" s="414"/>
      <c r="Y11" s="414"/>
    </row>
    <row r="12" ht="22.5" customHeight="1">
      <c r="A12" s="414"/>
      <c r="B12" s="1317"/>
      <c r="C12" s="1318" t="s">
        <v>547</v>
      </c>
      <c r="D12" s="1319">
        <v>5884403.59</v>
      </c>
      <c r="E12" s="1320">
        <v>0.1</v>
      </c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4"/>
      <c r="X12" s="414"/>
      <c r="Y12" s="414"/>
    </row>
    <row r="13" ht="18.75" customHeight="1">
      <c r="A13" s="414"/>
      <c r="B13" s="1323"/>
      <c r="C13" s="1324" t="s">
        <v>543</v>
      </c>
      <c r="D13" s="1325">
        <f>D12</f>
        <v>5884403.59</v>
      </c>
      <c r="E13" s="1326"/>
      <c r="F13" s="414"/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4"/>
      <c r="R13" s="414"/>
      <c r="S13" s="414"/>
      <c r="T13" s="414"/>
      <c r="U13" s="414"/>
      <c r="V13" s="414"/>
      <c r="W13" s="414"/>
      <c r="X13" s="414"/>
      <c r="Y13" s="414"/>
    </row>
    <row r="14" ht="22.5" customHeight="1">
      <c r="A14" s="414"/>
      <c r="B14" s="1317"/>
      <c r="C14" s="1318" t="s">
        <v>548</v>
      </c>
      <c r="D14" s="1319">
        <v>5561420.0</v>
      </c>
      <c r="E14" s="1320">
        <v>0.09</v>
      </c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  <c r="T14" s="414"/>
      <c r="U14" s="414"/>
      <c r="V14" s="414"/>
      <c r="W14" s="414"/>
      <c r="X14" s="414"/>
      <c r="Y14" s="414"/>
    </row>
    <row r="15" ht="18.75" customHeight="1">
      <c r="A15" s="414"/>
      <c r="B15" s="1323"/>
      <c r="C15" s="1324" t="s">
        <v>543</v>
      </c>
      <c r="D15" s="1325">
        <f>D14</f>
        <v>5561420</v>
      </c>
      <c r="E15" s="1326"/>
      <c r="F15" s="414"/>
      <c r="G15" s="414"/>
      <c r="H15" s="414"/>
      <c r="I15" s="414"/>
      <c r="J15" s="414"/>
      <c r="K15" s="414"/>
      <c r="L15" s="414"/>
      <c r="M15" s="414"/>
      <c r="N15" s="414"/>
      <c r="O15" s="414"/>
      <c r="P15" s="414"/>
      <c r="Q15" s="414"/>
      <c r="R15" s="414"/>
      <c r="S15" s="414"/>
      <c r="T15" s="414"/>
      <c r="U15" s="414"/>
      <c r="V15" s="414"/>
      <c r="W15" s="414"/>
      <c r="X15" s="414"/>
      <c r="Y15" s="414"/>
    </row>
    <row r="16" ht="22.5" customHeight="1">
      <c r="A16" s="414"/>
      <c r="B16" s="1317"/>
      <c r="C16" s="1318" t="s">
        <v>549</v>
      </c>
      <c r="D16" s="1319">
        <v>932.01</v>
      </c>
      <c r="E16" s="1320">
        <v>0.17</v>
      </c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</row>
    <row r="17" ht="22.5" customHeight="1">
      <c r="A17" s="414"/>
      <c r="B17" s="1321"/>
      <c r="C17" s="1318" t="s">
        <v>550</v>
      </c>
      <c r="D17" s="1319">
        <v>1850612.06</v>
      </c>
      <c r="E17" s="1322"/>
      <c r="F17" s="414"/>
      <c r="G17" s="414"/>
      <c r="H17" s="414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  <c r="X17" s="414"/>
      <c r="Y17" s="414"/>
    </row>
    <row r="18" ht="22.5" customHeight="1">
      <c r="A18" s="414"/>
      <c r="B18" s="1317"/>
      <c r="C18" s="1318" t="s">
        <v>551</v>
      </c>
      <c r="D18" s="1319">
        <v>1017464.35</v>
      </c>
      <c r="E18" s="1322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</row>
    <row r="19" ht="22.5" customHeight="1">
      <c r="A19" s="414"/>
      <c r="B19" s="1317"/>
      <c r="C19" s="1318" t="s">
        <v>552</v>
      </c>
      <c r="D19" s="1319">
        <v>1113069.0</v>
      </c>
      <c r="E19" s="1322"/>
      <c r="F19" s="414"/>
      <c r="G19" s="414"/>
      <c r="H19" s="414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</row>
    <row r="20" ht="22.5" customHeight="1">
      <c r="A20" s="414"/>
      <c r="B20" s="1321"/>
      <c r="C20" s="1318" t="s">
        <v>553</v>
      </c>
      <c r="D20" s="1319">
        <v>1277149.05</v>
      </c>
      <c r="E20" s="1322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  <c r="Y20" s="414"/>
    </row>
    <row r="21" ht="22.5" customHeight="1">
      <c r="A21" s="414"/>
      <c r="B21" s="1317"/>
      <c r="C21" s="1318" t="s">
        <v>554</v>
      </c>
      <c r="D21" s="1319">
        <v>2201722.51</v>
      </c>
      <c r="E21" s="1322"/>
      <c r="F21" s="414"/>
      <c r="G21" s="414"/>
      <c r="H21" s="414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  <c r="X21" s="414"/>
      <c r="Y21" s="414"/>
    </row>
    <row r="22" ht="22.5" customHeight="1">
      <c r="A22" s="414"/>
      <c r="B22" s="1317"/>
      <c r="C22" s="1318" t="s">
        <v>555</v>
      </c>
      <c r="D22" s="1319">
        <v>2725162.34</v>
      </c>
      <c r="E22" s="1322"/>
      <c r="F22" s="414"/>
      <c r="G22" s="414"/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  <c r="Y22" s="414"/>
    </row>
    <row r="23" ht="18.75" customHeight="1">
      <c r="A23" s="414"/>
      <c r="B23" s="1323"/>
      <c r="C23" s="1324" t="s">
        <v>543</v>
      </c>
      <c r="D23" s="1325">
        <f>SUM(D16:D22)</f>
        <v>10186111.32</v>
      </c>
      <c r="E23" s="1326"/>
      <c r="F23" s="414"/>
      <c r="G23" s="414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</row>
    <row r="24" ht="22.5" customHeight="1">
      <c r="A24" s="414"/>
      <c r="B24" s="1317"/>
      <c r="C24" s="1327" t="s">
        <v>556</v>
      </c>
      <c r="D24" s="1328">
        <f>D7+D11+D13+D15+D23</f>
        <v>44172268.03</v>
      </c>
      <c r="E24" s="1329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</row>
    <row r="25" ht="22.5" customHeight="1">
      <c r="A25" s="414"/>
      <c r="B25" s="1317"/>
      <c r="C25" s="1318" t="s">
        <v>557</v>
      </c>
      <c r="D25" s="1319">
        <v>6674571.12</v>
      </c>
      <c r="E25" s="1320">
        <v>0.25</v>
      </c>
      <c r="F25" s="414"/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</row>
    <row r="26" ht="22.5" customHeight="1">
      <c r="A26" s="414"/>
      <c r="B26" s="1317"/>
      <c r="C26" s="1318" t="s">
        <v>558</v>
      </c>
      <c r="D26" s="1319">
        <v>1112338.41</v>
      </c>
      <c r="E26" s="1322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</row>
    <row r="27" ht="22.5" customHeight="1">
      <c r="A27" s="414"/>
      <c r="B27" s="1317"/>
      <c r="C27" s="1318" t="s">
        <v>559</v>
      </c>
      <c r="D27" s="1319">
        <v>6898845.95</v>
      </c>
      <c r="E27" s="1322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4"/>
    </row>
    <row r="28" ht="22.5" customHeight="1">
      <c r="A28" s="414"/>
      <c r="B28" s="1323"/>
      <c r="C28" s="1324" t="s">
        <v>543</v>
      </c>
      <c r="D28" s="1325">
        <f>D25+D26+D27</f>
        <v>14685755.48</v>
      </c>
      <c r="E28" s="1330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</row>
    <row r="29" ht="22.5" customHeight="1">
      <c r="A29" s="1331"/>
      <c r="B29" s="1332"/>
      <c r="C29" s="1333" t="s">
        <v>560</v>
      </c>
      <c r="D29" s="1334">
        <f>D28</f>
        <v>14685755.48</v>
      </c>
      <c r="E29" s="1335"/>
      <c r="F29" s="1331"/>
      <c r="G29" s="1331"/>
      <c r="H29" s="1331"/>
      <c r="I29" s="1331"/>
      <c r="J29" s="1331"/>
      <c r="K29" s="1331"/>
      <c r="L29" s="1331"/>
      <c r="M29" s="1331"/>
      <c r="N29" s="1331"/>
      <c r="O29" s="1331"/>
      <c r="P29" s="1331"/>
      <c r="Q29" s="1331"/>
      <c r="R29" s="1331"/>
      <c r="S29" s="1331"/>
      <c r="T29" s="1331"/>
      <c r="U29" s="1331"/>
      <c r="V29" s="1331"/>
      <c r="W29" s="1331"/>
      <c r="X29" s="1331"/>
      <c r="Y29" s="1331"/>
    </row>
    <row r="30" ht="15.75" customHeight="1">
      <c r="A30" s="414"/>
      <c r="B30" s="414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  <c r="X30" s="414"/>
      <c r="Y30" s="414"/>
    </row>
    <row r="31" ht="15.75" customHeight="1"/>
    <row r="32" ht="22.5" customHeight="1">
      <c r="B32" s="1309"/>
      <c r="C32" s="1310" t="s">
        <v>561</v>
      </c>
      <c r="D32" s="1311" t="s">
        <v>538</v>
      </c>
      <c r="E32" s="1312" t="s">
        <v>539</v>
      </c>
    </row>
    <row r="33" ht="18.75" customHeight="1">
      <c r="B33" s="1313"/>
      <c r="C33" s="1314"/>
      <c r="D33" s="1315">
        <v>3694373.97</v>
      </c>
      <c r="E33" s="1316"/>
    </row>
    <row r="34" ht="22.5" customHeight="1">
      <c r="A34" s="414"/>
      <c r="B34" s="1317"/>
      <c r="C34" s="1318" t="s">
        <v>540</v>
      </c>
      <c r="D34" s="1319">
        <v>189927.13</v>
      </c>
      <c r="E34" s="1320">
        <v>0.33</v>
      </c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  <c r="X34" s="414"/>
      <c r="Y34" s="414"/>
    </row>
    <row r="35" ht="22.5" customHeight="1">
      <c r="A35" s="414"/>
      <c r="B35" s="1321"/>
      <c r="C35" s="772" t="s">
        <v>541</v>
      </c>
      <c r="D35" s="1319">
        <v>586350.92</v>
      </c>
      <c r="E35" s="1322"/>
      <c r="F35" s="414"/>
      <c r="G35" s="414"/>
      <c r="H35" s="414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  <c r="X35" s="414"/>
      <c r="Y35" s="414"/>
    </row>
    <row r="36" ht="22.5" customHeight="1">
      <c r="A36" s="414"/>
      <c r="B36" s="1317"/>
      <c r="C36" s="1318" t="s">
        <v>542</v>
      </c>
      <c r="D36" s="1319">
        <v>455001.73</v>
      </c>
      <c r="E36" s="1322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  <c r="X36" s="414"/>
      <c r="Y36" s="414"/>
    </row>
    <row r="37" ht="18.75" customHeight="1">
      <c r="A37" s="414"/>
      <c r="B37" s="1323"/>
      <c r="C37" s="1324" t="s">
        <v>543</v>
      </c>
      <c r="D37" s="1325">
        <f>SUM(D34:D36)</f>
        <v>1231279.78</v>
      </c>
      <c r="E37" s="1326"/>
      <c r="F37" s="414"/>
      <c r="G37" s="414"/>
      <c r="H37" s="414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  <c r="X37" s="414"/>
      <c r="Y37" s="414"/>
    </row>
    <row r="38" ht="22.5" customHeight="1">
      <c r="A38" s="414"/>
      <c r="B38" s="1317"/>
      <c r="C38" s="1318" t="s">
        <v>547</v>
      </c>
      <c r="D38" s="1319">
        <v>1247016.31</v>
      </c>
      <c r="E38" s="1320">
        <v>0.34</v>
      </c>
      <c r="F38" s="414"/>
      <c r="G38" s="414"/>
      <c r="H38" s="414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  <c r="X38" s="414"/>
      <c r="Y38" s="414"/>
    </row>
    <row r="39" ht="18.75" customHeight="1">
      <c r="A39" s="414"/>
      <c r="B39" s="1323"/>
      <c r="C39" s="1324" t="s">
        <v>543</v>
      </c>
      <c r="D39" s="1325">
        <f>D38</f>
        <v>1247016.31</v>
      </c>
      <c r="E39" s="1326"/>
      <c r="F39" s="414"/>
      <c r="G39" s="414"/>
      <c r="H39" s="414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</row>
    <row r="40" ht="22.5" customHeight="1">
      <c r="A40" s="414"/>
      <c r="B40" s="1317"/>
      <c r="C40" s="1318" t="s">
        <v>548</v>
      </c>
      <c r="D40" s="1319">
        <v>5561420.0</v>
      </c>
      <c r="E40" s="1320">
        <v>0.09</v>
      </c>
      <c r="F40" s="414"/>
      <c r="G40" s="414"/>
      <c r="H40" s="414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  <c r="X40" s="414"/>
      <c r="Y40" s="414"/>
    </row>
    <row r="41" ht="18.75" customHeight="1">
      <c r="A41" s="414"/>
      <c r="B41" s="1323"/>
      <c r="C41" s="1324" t="s">
        <v>543</v>
      </c>
      <c r="D41" s="1325">
        <f>D40</f>
        <v>5561420</v>
      </c>
      <c r="E41" s="1326"/>
      <c r="F41" s="414"/>
      <c r="G41" s="414"/>
      <c r="H41" s="414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414"/>
    </row>
    <row r="42" ht="22.5" customHeight="1">
      <c r="A42" s="414"/>
      <c r="B42" s="1321"/>
      <c r="C42" s="1318" t="s">
        <v>550</v>
      </c>
      <c r="D42" s="1319">
        <v>176324.05</v>
      </c>
      <c r="E42" s="1320">
        <v>0.33</v>
      </c>
      <c r="F42" s="414"/>
      <c r="G42" s="414"/>
      <c r="H42" s="414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</row>
    <row r="43" ht="22.5" customHeight="1">
      <c r="A43" s="414"/>
      <c r="B43" s="1317"/>
      <c r="C43" s="1318" t="s">
        <v>551</v>
      </c>
      <c r="D43" s="1319">
        <v>890224.25</v>
      </c>
      <c r="E43" s="1322"/>
      <c r="F43" s="414"/>
      <c r="G43" s="414"/>
      <c r="H43" s="414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</row>
    <row r="44" ht="22.5" customHeight="1">
      <c r="A44" s="414"/>
      <c r="B44" s="1317"/>
      <c r="C44" s="1318" t="s">
        <v>562</v>
      </c>
      <c r="D44" s="1319">
        <v>149529.48</v>
      </c>
      <c r="E44" s="1322"/>
      <c r="F44" s="414"/>
      <c r="G44" s="414"/>
      <c r="H44" s="414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  <c r="X44" s="414"/>
      <c r="Y44" s="414"/>
    </row>
    <row r="45" ht="18.75" customHeight="1">
      <c r="A45" s="414"/>
      <c r="B45" s="1323"/>
      <c r="C45" s="1324" t="s">
        <v>543</v>
      </c>
      <c r="D45" s="1325">
        <f>SUM(D42:D44)</f>
        <v>1216077.78</v>
      </c>
      <c r="E45" s="1326"/>
      <c r="F45" s="414"/>
      <c r="G45" s="414"/>
      <c r="H45" s="414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  <c r="X45" s="414"/>
      <c r="Y45" s="414"/>
    </row>
    <row r="46" ht="15.75" customHeight="1"/>
    <row r="47" ht="15.75" customHeight="1"/>
    <row r="48" ht="22.5" customHeight="1">
      <c r="B48" s="1309"/>
      <c r="C48" s="1310" t="s">
        <v>563</v>
      </c>
      <c r="D48" s="1311" t="s">
        <v>538</v>
      </c>
      <c r="E48" s="1312" t="s">
        <v>539</v>
      </c>
    </row>
    <row r="49" ht="18.75" customHeight="1">
      <c r="B49" s="1313"/>
      <c r="C49" s="1314"/>
      <c r="D49" s="1315">
        <v>2498037.52</v>
      </c>
      <c r="E49" s="1316"/>
    </row>
    <row r="50" ht="22.5" customHeight="1">
      <c r="A50" s="414"/>
      <c r="B50" s="1317"/>
      <c r="C50" s="1318" t="s">
        <v>540</v>
      </c>
      <c r="D50" s="1319">
        <v>996085.94</v>
      </c>
      <c r="E50" s="1320">
        <v>0.4</v>
      </c>
      <c r="F50" s="414"/>
      <c r="G50" s="414"/>
      <c r="H50" s="414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414"/>
      <c r="U50" s="414"/>
      <c r="V50" s="414"/>
      <c r="W50" s="414"/>
      <c r="X50" s="414"/>
      <c r="Y50" s="414"/>
    </row>
    <row r="51" ht="18.75" customHeight="1">
      <c r="A51" s="414"/>
      <c r="B51" s="1323"/>
      <c r="C51" s="1324" t="s">
        <v>543</v>
      </c>
      <c r="D51" s="1325">
        <f>SUM(D50)</f>
        <v>996085.94</v>
      </c>
      <c r="E51" s="1326"/>
      <c r="F51" s="414"/>
      <c r="G51" s="414"/>
      <c r="H51" s="414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  <c r="X51" s="414"/>
      <c r="Y51" s="414"/>
    </row>
    <row r="52" ht="22.5" customHeight="1">
      <c r="A52" s="414"/>
      <c r="B52" s="1317"/>
      <c r="C52" s="1318" t="s">
        <v>540</v>
      </c>
      <c r="D52" s="1319">
        <v>786949.89</v>
      </c>
      <c r="E52" s="1320">
        <v>0.32</v>
      </c>
      <c r="F52" s="414"/>
      <c r="G52" s="414"/>
      <c r="H52" s="414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  <c r="X52" s="414"/>
      <c r="Y52" s="414"/>
    </row>
    <row r="53" ht="18.75" customHeight="1">
      <c r="A53" s="414"/>
      <c r="B53" s="1323"/>
      <c r="C53" s="1324" t="s">
        <v>543</v>
      </c>
      <c r="D53" s="1325">
        <f>D52</f>
        <v>786949.89</v>
      </c>
      <c r="E53" s="1326"/>
      <c r="F53" s="414"/>
      <c r="G53" s="414"/>
      <c r="H53" s="414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  <c r="X53" s="414"/>
      <c r="Y53" s="414"/>
    </row>
    <row r="54" ht="22.5" customHeight="1">
      <c r="A54" s="414"/>
      <c r="B54" s="1317"/>
      <c r="C54" s="1318" t="s">
        <v>564</v>
      </c>
      <c r="D54" s="1319">
        <v>203205.65</v>
      </c>
      <c r="E54" s="1320">
        <v>0.29</v>
      </c>
      <c r="F54" s="414"/>
      <c r="G54" s="414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</row>
    <row r="55" ht="22.5" customHeight="1">
      <c r="A55" s="414"/>
      <c r="B55" s="1317"/>
      <c r="C55" s="1318" t="s">
        <v>550</v>
      </c>
      <c r="D55" s="1319">
        <v>511796.04</v>
      </c>
      <c r="E55" s="1322"/>
      <c r="F55" s="414"/>
      <c r="G55" s="414"/>
      <c r="H55" s="414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414"/>
      <c r="Y55" s="414"/>
    </row>
    <row r="56" ht="18.75" customHeight="1">
      <c r="A56" s="414"/>
      <c r="B56" s="1323"/>
      <c r="C56" s="1324" t="s">
        <v>543</v>
      </c>
      <c r="D56" s="1325">
        <f>SUM(D54:D55)</f>
        <v>715001.69</v>
      </c>
      <c r="E56" s="1326"/>
      <c r="F56" s="414"/>
      <c r="G56" s="414"/>
      <c r="H56" s="414"/>
      <c r="I56" s="414"/>
      <c r="J56" s="414"/>
      <c r="K56" s="414"/>
      <c r="L56" s="414"/>
      <c r="M56" s="414"/>
      <c r="N56" s="414"/>
      <c r="O56" s="414"/>
      <c r="P56" s="414"/>
      <c r="Q56" s="414"/>
      <c r="R56" s="414"/>
      <c r="S56" s="414"/>
      <c r="T56" s="414"/>
      <c r="U56" s="414"/>
      <c r="V56" s="414"/>
      <c r="W56" s="414"/>
      <c r="X56" s="414"/>
      <c r="Y56" s="41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3">
    <mergeCell ref="E32:E33"/>
    <mergeCell ref="E34:E36"/>
    <mergeCell ref="E42:E44"/>
    <mergeCell ref="C48:C49"/>
    <mergeCell ref="E48:E49"/>
    <mergeCell ref="E54:E55"/>
    <mergeCell ref="C2:C3"/>
    <mergeCell ref="E2:E3"/>
    <mergeCell ref="E4:E6"/>
    <mergeCell ref="E8:E10"/>
    <mergeCell ref="E16:E22"/>
    <mergeCell ref="E25:E27"/>
    <mergeCell ref="C32:C3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33.57"/>
    <col customWidth="1" min="3" max="5" width="11.29"/>
    <col customWidth="1" min="6" max="7" width="12.29"/>
    <col customWidth="1" min="8" max="10" width="11.29"/>
    <col customWidth="1" min="11" max="12" width="12.29"/>
    <col customWidth="1" min="13" max="13" width="12.71"/>
    <col customWidth="1" min="14" max="14" width="11.29"/>
    <col customWidth="1" min="15" max="15" width="12.29"/>
    <col customWidth="1" min="16" max="17" width="13.71"/>
    <col customWidth="1" min="18" max="26" width="9.14"/>
  </cols>
  <sheetData>
    <row r="1" ht="20.25" hidden="1" customHeight="1"/>
    <row r="2" hidden="1">
      <c r="B2" s="16" t="s">
        <v>565</v>
      </c>
      <c r="C2" s="590" t="s">
        <v>566</v>
      </c>
      <c r="D2" s="27"/>
      <c r="E2" s="27"/>
      <c r="F2" s="27"/>
      <c r="G2" s="28"/>
      <c r="H2" s="590" t="s">
        <v>249</v>
      </c>
      <c r="I2" s="27"/>
      <c r="J2" s="27"/>
      <c r="K2" s="27"/>
      <c r="L2" s="28"/>
      <c r="M2" s="590" t="s">
        <v>3</v>
      </c>
      <c r="N2" s="27"/>
      <c r="O2" s="27"/>
      <c r="P2" s="27"/>
      <c r="Q2" s="28"/>
    </row>
    <row r="3" ht="38.25" hidden="1" customHeight="1">
      <c r="B3" s="38"/>
      <c r="C3" s="350" t="s">
        <v>193</v>
      </c>
      <c r="D3" s="348" t="s">
        <v>493</v>
      </c>
      <c r="E3" s="348" t="s">
        <v>153</v>
      </c>
      <c r="F3" s="348" t="s">
        <v>494</v>
      </c>
      <c r="G3" s="349" t="s">
        <v>495</v>
      </c>
      <c r="H3" s="350" t="s">
        <v>193</v>
      </c>
      <c r="I3" s="348" t="s">
        <v>493</v>
      </c>
      <c r="J3" s="348" t="s">
        <v>153</v>
      </c>
      <c r="K3" s="348" t="s">
        <v>494</v>
      </c>
      <c r="L3" s="349" t="s">
        <v>495</v>
      </c>
      <c r="M3" s="350" t="s">
        <v>193</v>
      </c>
      <c r="N3" s="348" t="s">
        <v>493</v>
      </c>
      <c r="O3" s="348" t="s">
        <v>496</v>
      </c>
      <c r="P3" s="348" t="s">
        <v>567</v>
      </c>
      <c r="Q3" s="349" t="s">
        <v>498</v>
      </c>
    </row>
    <row r="4" ht="18.0" hidden="1" customHeight="1">
      <c r="B4" s="1336" t="s">
        <v>40</v>
      </c>
      <c r="C4" s="1337">
        <v>21176.89</v>
      </c>
      <c r="D4" s="1338">
        <v>29000.0</v>
      </c>
      <c r="E4" s="1338">
        <v>88963.67</v>
      </c>
      <c r="F4" s="734">
        <f t="shared" ref="F4:F10" si="1">IFERROR(E4/C4-1," ")</f>
        <v>3.200978992</v>
      </c>
      <c r="G4" s="1339">
        <f t="shared" ref="G4:G10" si="2">IFERROR(E4/D4-1," ")</f>
        <v>2.067712759</v>
      </c>
      <c r="H4" s="1337">
        <v>51500.48</v>
      </c>
      <c r="I4" s="1338">
        <v>58000.0</v>
      </c>
      <c r="J4" s="1338">
        <v>104974.92</v>
      </c>
      <c r="K4" s="734">
        <f t="shared" ref="K4:K10" si="3">IFERROR(J4/H4-1," ")</f>
        <v>1.038328963</v>
      </c>
      <c r="L4" s="1339">
        <f t="shared" ref="L4:L10" si="4">IFERROR(J4/I4-1," ")</f>
        <v>0.8099124138</v>
      </c>
      <c r="M4" s="1337">
        <v>377107.71</v>
      </c>
      <c r="N4" s="1338">
        <v>348000.0</v>
      </c>
      <c r="O4" s="1338">
        <v>104974.92</v>
      </c>
      <c r="P4" s="734">
        <f t="shared" ref="P4:P10" si="5">IFERROR(O4/M4-1," ")</f>
        <v>-0.721631467</v>
      </c>
      <c r="Q4" s="1339">
        <f t="shared" ref="Q4:Q10" si="6">IFERROR(O4/N4-1," ")</f>
        <v>-0.698347931</v>
      </c>
    </row>
    <row r="5" ht="18.0" hidden="1" customHeight="1">
      <c r="A5" s="505">
        <v>0.7</v>
      </c>
      <c r="B5" s="1336" t="s">
        <v>71</v>
      </c>
      <c r="C5" s="1337">
        <v>-1411.94</v>
      </c>
      <c r="D5" s="1338">
        <v>-2682.5</v>
      </c>
      <c r="E5" s="1338">
        <v>-8537.62</v>
      </c>
      <c r="F5" s="734">
        <f t="shared" si="1"/>
        <v>5.046730031</v>
      </c>
      <c r="G5" s="1339">
        <f t="shared" si="2"/>
        <v>2.182710158</v>
      </c>
      <c r="H5" s="1337">
        <v>-3430.01</v>
      </c>
      <c r="I5" s="1338">
        <v>-5365.0</v>
      </c>
      <c r="J5" s="1338">
        <v>-10245.86</v>
      </c>
      <c r="K5" s="734">
        <f t="shared" si="3"/>
        <v>1.987122487</v>
      </c>
      <c r="L5" s="1339">
        <f t="shared" si="4"/>
        <v>0.9097595527</v>
      </c>
      <c r="M5" s="1337">
        <v>-29192.89</v>
      </c>
      <c r="N5" s="1338">
        <v>-32190.0</v>
      </c>
      <c r="O5" s="1338">
        <v>-10245.86</v>
      </c>
      <c r="P5" s="734">
        <f t="shared" si="5"/>
        <v>-0.6490289245</v>
      </c>
      <c r="Q5" s="1339">
        <f t="shared" si="6"/>
        <v>-0.6817067412</v>
      </c>
    </row>
    <row r="6" ht="18.0" hidden="1" customHeight="1">
      <c r="B6" s="1336" t="s">
        <v>72</v>
      </c>
      <c r="C6" s="1337">
        <f t="shared" ref="C6:E6" si="7">C4+C5</f>
        <v>19764.95</v>
      </c>
      <c r="D6" s="1338">
        <f t="shared" si="7"/>
        <v>26317.5</v>
      </c>
      <c r="E6" s="1338">
        <f t="shared" si="7"/>
        <v>80426.05</v>
      </c>
      <c r="F6" s="734">
        <f t="shared" si="1"/>
        <v>3.06912489</v>
      </c>
      <c r="G6" s="1339">
        <f t="shared" si="2"/>
        <v>2.055991261</v>
      </c>
      <c r="H6" s="1337">
        <f t="shared" ref="H6:J6" si="8">H4+H5</f>
        <v>48070.47</v>
      </c>
      <c r="I6" s="1338">
        <f t="shared" si="8"/>
        <v>52635</v>
      </c>
      <c r="J6" s="1338">
        <f t="shared" si="8"/>
        <v>94729.06</v>
      </c>
      <c r="K6" s="734">
        <f t="shared" si="3"/>
        <v>0.9706289537</v>
      </c>
      <c r="L6" s="1339">
        <f t="shared" si="4"/>
        <v>0.7997351572</v>
      </c>
      <c r="M6" s="1337">
        <f t="shared" ref="M6:O6" si="9">M4+M5</f>
        <v>347914.82</v>
      </c>
      <c r="N6" s="1338">
        <f t="shared" si="9"/>
        <v>315810</v>
      </c>
      <c r="O6" s="1338">
        <f t="shared" si="9"/>
        <v>94729.06</v>
      </c>
      <c r="P6" s="734">
        <f t="shared" si="5"/>
        <v>-0.7277234123</v>
      </c>
      <c r="Q6" s="1339">
        <f t="shared" si="6"/>
        <v>-0.7000441405</v>
      </c>
    </row>
    <row r="7" ht="18.0" hidden="1" customHeight="1">
      <c r="B7" s="1336" t="s">
        <v>73</v>
      </c>
      <c r="C7" s="1337">
        <v>-9551.16</v>
      </c>
      <c r="D7" s="1338">
        <v>-15500.0</v>
      </c>
      <c r="E7" s="1338">
        <v>-86999.42</v>
      </c>
      <c r="F7" s="734">
        <f t="shared" si="1"/>
        <v>8.108780504</v>
      </c>
      <c r="G7" s="1339">
        <f t="shared" si="2"/>
        <v>4.612865806</v>
      </c>
      <c r="H7" s="1337">
        <v>-25309.21</v>
      </c>
      <c r="I7" s="1338">
        <v>-31000.0</v>
      </c>
      <c r="J7" s="1338">
        <v>-98350.85</v>
      </c>
      <c r="K7" s="734">
        <f t="shared" si="3"/>
        <v>2.885970759</v>
      </c>
      <c r="L7" s="1339">
        <f t="shared" si="4"/>
        <v>2.172608065</v>
      </c>
      <c r="M7" s="1337">
        <v>-185084.66</v>
      </c>
      <c r="N7" s="1338">
        <v>-186000.0</v>
      </c>
      <c r="O7" s="1338">
        <v>-98350.85</v>
      </c>
      <c r="P7" s="734">
        <f t="shared" si="5"/>
        <v>-0.4686169562</v>
      </c>
      <c r="Q7" s="1339">
        <f t="shared" si="6"/>
        <v>-0.4712319892</v>
      </c>
    </row>
    <row r="8" ht="18.0" hidden="1" customHeight="1">
      <c r="B8" s="1336" t="s">
        <v>75</v>
      </c>
      <c r="C8" s="1337">
        <f t="shared" ref="C8:E8" si="10">C6+C7</f>
        <v>10213.79</v>
      </c>
      <c r="D8" s="1338">
        <f t="shared" si="10"/>
        <v>10817.5</v>
      </c>
      <c r="E8" s="1338">
        <f t="shared" si="10"/>
        <v>-6573.37</v>
      </c>
      <c r="F8" s="734">
        <f t="shared" si="1"/>
        <v>-1.643577947</v>
      </c>
      <c r="G8" s="1339">
        <f t="shared" si="2"/>
        <v>-1.607660735</v>
      </c>
      <c r="H8" s="1337">
        <f t="shared" ref="H8:J8" si="11">H6+H7</f>
        <v>22761.26</v>
      </c>
      <c r="I8" s="1338">
        <f t="shared" si="11"/>
        <v>21635</v>
      </c>
      <c r="J8" s="1338">
        <f t="shared" si="11"/>
        <v>-3621.79</v>
      </c>
      <c r="K8" s="734">
        <f t="shared" si="3"/>
        <v>-1.159120804</v>
      </c>
      <c r="L8" s="1339">
        <f t="shared" si="4"/>
        <v>-1.167404206</v>
      </c>
      <c r="M8" s="1337">
        <f t="shared" ref="M8:O8" si="12">M6+M7</f>
        <v>162830.16</v>
      </c>
      <c r="N8" s="1338">
        <f t="shared" si="12"/>
        <v>129810</v>
      </c>
      <c r="O8" s="1338">
        <f t="shared" si="12"/>
        <v>-3621.79</v>
      </c>
      <c r="P8" s="734">
        <f t="shared" si="5"/>
        <v>-1.022242747</v>
      </c>
      <c r="Q8" s="1339">
        <f t="shared" si="6"/>
        <v>-1.027900701</v>
      </c>
    </row>
    <row r="9" ht="18.0" hidden="1" customHeight="1">
      <c r="B9" s="1336" t="s">
        <v>77</v>
      </c>
      <c r="C9" s="1337">
        <v>-3241.63</v>
      </c>
      <c r="D9" s="1338">
        <v>-3871.72</v>
      </c>
      <c r="E9" s="1338">
        <v>-3893.79</v>
      </c>
      <c r="F9" s="734">
        <f t="shared" si="1"/>
        <v>0.2011827383</v>
      </c>
      <c r="G9" s="1339">
        <f t="shared" si="2"/>
        <v>0.005700308907</v>
      </c>
      <c r="H9" s="1337">
        <v>-6342.03</v>
      </c>
      <c r="I9" s="1338">
        <v>-7743.44</v>
      </c>
      <c r="J9" s="1338">
        <v>-7676.19</v>
      </c>
      <c r="K9" s="734">
        <f t="shared" si="3"/>
        <v>0.2103679737</v>
      </c>
      <c r="L9" s="1339">
        <f t="shared" si="4"/>
        <v>-0.008684770593</v>
      </c>
      <c r="M9" s="1337">
        <v>-33432.02</v>
      </c>
      <c r="N9" s="1338">
        <v>-47261.13</v>
      </c>
      <c r="O9" s="1338">
        <v>-7676.19</v>
      </c>
      <c r="P9" s="734">
        <f t="shared" si="5"/>
        <v>-0.7703940713</v>
      </c>
      <c r="Q9" s="1339">
        <f t="shared" si="6"/>
        <v>-0.8375792115</v>
      </c>
    </row>
    <row r="10" ht="18.0" hidden="1" customHeight="1">
      <c r="B10" s="1340" t="s">
        <v>80</v>
      </c>
      <c r="C10" s="1341">
        <f t="shared" ref="C10:E10" si="13">C8+C9</f>
        <v>6972.16</v>
      </c>
      <c r="D10" s="1342">
        <f t="shared" si="13"/>
        <v>6945.78</v>
      </c>
      <c r="E10" s="1342">
        <f t="shared" si="13"/>
        <v>-10467.16</v>
      </c>
      <c r="F10" s="858">
        <f t="shared" si="1"/>
        <v>-2.501279374</v>
      </c>
      <c r="G10" s="1343">
        <f t="shared" si="2"/>
        <v>-2.506981217</v>
      </c>
      <c r="H10" s="1341">
        <f t="shared" ref="H10:J10" si="14">H8+H9</f>
        <v>16419.23</v>
      </c>
      <c r="I10" s="1342">
        <f t="shared" si="14"/>
        <v>13891.56</v>
      </c>
      <c r="J10" s="1342">
        <f t="shared" si="14"/>
        <v>-11297.98</v>
      </c>
      <c r="K10" s="858">
        <f t="shared" si="3"/>
        <v>-1.688094387</v>
      </c>
      <c r="L10" s="1343">
        <f t="shared" si="4"/>
        <v>-1.813298147</v>
      </c>
      <c r="M10" s="1341">
        <f t="shared" ref="M10:O10" si="15">M8+M9</f>
        <v>129398.14</v>
      </c>
      <c r="N10" s="1342">
        <f t="shared" si="15"/>
        <v>82548.87</v>
      </c>
      <c r="O10" s="1342">
        <f t="shared" si="15"/>
        <v>-11297.98</v>
      </c>
      <c r="P10" s="858">
        <f t="shared" si="5"/>
        <v>-1.087311765</v>
      </c>
      <c r="Q10" s="1343">
        <f t="shared" si="6"/>
        <v>-1.136864139</v>
      </c>
    </row>
    <row r="11" ht="6.0" hidden="1" customHeight="1">
      <c r="B11" s="393"/>
      <c r="C11" s="404"/>
      <c r="D11" s="3"/>
      <c r="E11" s="3"/>
      <c r="G11" s="405"/>
      <c r="H11" s="404"/>
      <c r="I11" s="3"/>
      <c r="J11" s="3"/>
      <c r="L11" s="405"/>
      <c r="M11" s="404"/>
      <c r="N11" s="3"/>
      <c r="O11" s="3"/>
      <c r="P11" s="273"/>
      <c r="Q11" s="1344"/>
    </row>
    <row r="12" ht="18.0" hidden="1" customHeight="1">
      <c r="B12" s="1345" t="s">
        <v>100</v>
      </c>
      <c r="C12" s="1346">
        <f t="shared" ref="C12:E12" si="16">C10/C6</f>
        <v>0.3527537383</v>
      </c>
      <c r="D12" s="1347">
        <f t="shared" si="16"/>
        <v>0.263922485</v>
      </c>
      <c r="E12" s="1347">
        <f t="shared" si="16"/>
        <v>-0.1301463891</v>
      </c>
      <c r="F12" s="1348"/>
      <c r="G12" s="1349"/>
      <c r="H12" s="1346">
        <f t="shared" ref="H12:J12" si="17">H10/H6</f>
        <v>0.3415658303</v>
      </c>
      <c r="I12" s="1347">
        <f t="shared" si="17"/>
        <v>0.263922485</v>
      </c>
      <c r="J12" s="1347">
        <f t="shared" si="17"/>
        <v>-0.1192662526</v>
      </c>
      <c r="K12" s="1348"/>
      <c r="L12" s="1349"/>
      <c r="M12" s="1346">
        <f t="shared" ref="M12:O12" si="18">M10/M6</f>
        <v>0.3719247717</v>
      </c>
      <c r="N12" s="1347">
        <f t="shared" si="18"/>
        <v>0.2613877648</v>
      </c>
      <c r="O12" s="1347">
        <f t="shared" si="18"/>
        <v>-0.1192662526</v>
      </c>
      <c r="P12" s="1348"/>
      <c r="Q12" s="1349"/>
    </row>
    <row r="13" ht="6.0" hidden="1" customHeight="1">
      <c r="B13" s="393"/>
      <c r="C13" s="1350"/>
      <c r="G13" s="405"/>
      <c r="H13" s="1350"/>
      <c r="L13" s="405"/>
      <c r="M13" s="1350"/>
      <c r="N13" s="1"/>
      <c r="O13" s="1"/>
      <c r="P13" s="1"/>
      <c r="Q13" s="405"/>
    </row>
    <row r="14" ht="18.0" hidden="1" customHeight="1">
      <c r="B14" s="1351" t="s">
        <v>211</v>
      </c>
      <c r="C14" s="1352">
        <f t="shared" ref="C14:E14" si="19">IFERROR(C7/C6,0)</f>
        <v>-0.4832372457</v>
      </c>
      <c r="D14" s="1353">
        <f t="shared" si="19"/>
        <v>-0.5889617175</v>
      </c>
      <c r="E14" s="1353">
        <f t="shared" si="19"/>
        <v>-1.081731852</v>
      </c>
      <c r="F14" s="1354"/>
      <c r="G14" s="1355"/>
      <c r="H14" s="1352">
        <f t="shared" ref="H14:J14" si="20">IFERROR(H7/H6,0)</f>
        <v>-0.5265022372</v>
      </c>
      <c r="I14" s="1353">
        <f t="shared" si="20"/>
        <v>-0.5889617175</v>
      </c>
      <c r="J14" s="1353">
        <f t="shared" si="20"/>
        <v>-1.038233146</v>
      </c>
      <c r="K14" s="1354"/>
      <c r="L14" s="1355"/>
      <c r="M14" s="1352">
        <f t="shared" ref="M14:O14" si="21">IFERROR(M7/M6,0)</f>
        <v>-0.5319826847</v>
      </c>
      <c r="N14" s="1353">
        <f t="shared" si="21"/>
        <v>-0.5889617175</v>
      </c>
      <c r="O14" s="1353">
        <f t="shared" si="21"/>
        <v>-1.038233146</v>
      </c>
      <c r="P14" s="1354"/>
      <c r="Q14" s="1355"/>
    </row>
    <row r="16" ht="14.25" customHeight="1">
      <c r="B16" s="16" t="s">
        <v>568</v>
      </c>
      <c r="C16" s="590" t="s">
        <v>566</v>
      </c>
      <c r="D16" s="27"/>
      <c r="E16" s="27"/>
      <c r="F16" s="27"/>
      <c r="G16" s="28"/>
      <c r="H16" s="590" t="s">
        <v>249</v>
      </c>
      <c r="I16" s="27"/>
      <c r="J16" s="27"/>
      <c r="K16" s="27"/>
      <c r="L16" s="28"/>
      <c r="M16" s="590" t="s">
        <v>3</v>
      </c>
      <c r="N16" s="27"/>
      <c r="O16" s="27"/>
      <c r="P16" s="27"/>
      <c r="Q16" s="28"/>
    </row>
    <row r="17" ht="38.25" customHeight="1">
      <c r="B17" s="38"/>
      <c r="C17" s="350" t="s">
        <v>191</v>
      </c>
      <c r="D17" s="348" t="s">
        <v>192</v>
      </c>
      <c r="E17" s="348" t="s">
        <v>193</v>
      </c>
      <c r="F17" s="348" t="s">
        <v>569</v>
      </c>
      <c r="G17" s="349" t="s">
        <v>570</v>
      </c>
      <c r="H17" s="350" t="s">
        <v>191</v>
      </c>
      <c r="I17" s="348" t="s">
        <v>192</v>
      </c>
      <c r="J17" s="348" t="s">
        <v>193</v>
      </c>
      <c r="K17" s="348" t="s">
        <v>569</v>
      </c>
      <c r="L17" s="349" t="s">
        <v>570</v>
      </c>
      <c r="M17" s="350" t="s">
        <v>191</v>
      </c>
      <c r="N17" s="348" t="s">
        <v>192</v>
      </c>
      <c r="O17" s="348" t="s">
        <v>362</v>
      </c>
      <c r="P17" s="348" t="s">
        <v>571</v>
      </c>
      <c r="Q17" s="349" t="s">
        <v>572</v>
      </c>
    </row>
    <row r="18">
      <c r="B18" s="393" t="s">
        <v>40</v>
      </c>
      <c r="C18" s="361">
        <v>28288.82999999998</v>
      </c>
      <c r="D18" s="248">
        <v>25000.0</v>
      </c>
      <c r="E18" s="248">
        <v>14826.889999999968</v>
      </c>
      <c r="F18" s="244">
        <f t="shared" ref="F18:F24" si="22">IFERROR(E18/C18-1," ")</f>
        <v>-0.4758747534</v>
      </c>
      <c r="G18" s="394">
        <f t="shared" ref="G18:G24" si="23">IFERROR(E18/D18-1," ")</f>
        <v>-0.4069244</v>
      </c>
      <c r="H18" s="361">
        <v>47801.49000000006</v>
      </c>
      <c r="I18" s="248">
        <v>50000.0</v>
      </c>
      <c r="J18" s="248">
        <v>39350.4800000001</v>
      </c>
      <c r="K18" s="244">
        <f t="shared" ref="K18:K24" si="24">IFERROR(J18/H18-1," ")</f>
        <v>-0.1767938614</v>
      </c>
      <c r="L18" s="394">
        <f t="shared" ref="L18:L24" si="25">IFERROR(J18/I18-1," ")</f>
        <v>-0.2129904</v>
      </c>
      <c r="M18" s="361">
        <v>276361.8099999966</v>
      </c>
      <c r="N18" s="248">
        <v>300000.0</v>
      </c>
      <c r="O18" s="248">
        <v>282350.48</v>
      </c>
      <c r="P18" s="244">
        <f t="shared" ref="P18:P24" si="26">IFERROR(O18/M18-1," ")</f>
        <v>0.02166967281</v>
      </c>
      <c r="Q18" s="394">
        <f t="shared" ref="Q18:Q24" si="27">IFERROR(O18/N18-1," ")</f>
        <v>-0.05883173333</v>
      </c>
    </row>
    <row r="19">
      <c r="B19" s="393" t="s">
        <v>71</v>
      </c>
      <c r="C19" s="361">
        <v>-2482.31</v>
      </c>
      <c r="D19" s="248">
        <v>-2312.5</v>
      </c>
      <c r="E19" s="248">
        <v>-619.64</v>
      </c>
      <c r="F19" s="244">
        <f t="shared" si="22"/>
        <v>-0.7503776724</v>
      </c>
      <c r="G19" s="394">
        <f t="shared" si="23"/>
        <v>-0.7320475676</v>
      </c>
      <c r="H19" s="361">
        <v>-4298.14</v>
      </c>
      <c r="I19" s="248">
        <v>-4625.0</v>
      </c>
      <c r="J19" s="248">
        <v>-1990.93</v>
      </c>
      <c r="K19" s="244">
        <f t="shared" si="24"/>
        <v>-0.5367926592</v>
      </c>
      <c r="L19" s="394">
        <f t="shared" si="25"/>
        <v>-0.5695286486</v>
      </c>
      <c r="M19" s="361">
        <v>-19131.78</v>
      </c>
      <c r="N19" s="248">
        <v>-27750.0</v>
      </c>
      <c r="O19" s="248">
        <v>-24468.43</v>
      </c>
      <c r="P19" s="244">
        <f t="shared" si="26"/>
        <v>0.2789416353</v>
      </c>
      <c r="Q19" s="394">
        <f t="shared" si="27"/>
        <v>-0.1182547748</v>
      </c>
    </row>
    <row r="20">
      <c r="B20" s="393" t="s">
        <v>72</v>
      </c>
      <c r="C20" s="361">
        <f t="shared" ref="C20:E20" si="28">C18+C19</f>
        <v>25806.52</v>
      </c>
      <c r="D20" s="248">
        <f t="shared" si="28"/>
        <v>22687.5</v>
      </c>
      <c r="E20" s="248">
        <f t="shared" si="28"/>
        <v>14207.25</v>
      </c>
      <c r="F20" s="244">
        <f t="shared" si="22"/>
        <v>-0.4494705214</v>
      </c>
      <c r="G20" s="394">
        <f t="shared" si="23"/>
        <v>-0.373785124</v>
      </c>
      <c r="H20" s="361">
        <f t="shared" ref="H20:J20" si="29">H18+H19</f>
        <v>43503.35</v>
      </c>
      <c r="I20" s="248">
        <f t="shared" si="29"/>
        <v>45375</v>
      </c>
      <c r="J20" s="248">
        <f t="shared" si="29"/>
        <v>37359.55</v>
      </c>
      <c r="K20" s="244">
        <f t="shared" si="24"/>
        <v>-0.1412259056</v>
      </c>
      <c r="L20" s="394">
        <f t="shared" si="25"/>
        <v>-0.1766490358</v>
      </c>
      <c r="M20" s="361">
        <f t="shared" ref="M20:O20" si="30">M18+M19</f>
        <v>257230.03</v>
      </c>
      <c r="N20" s="248">
        <f t="shared" si="30"/>
        <v>272250</v>
      </c>
      <c r="O20" s="248">
        <f t="shared" si="30"/>
        <v>257882.05</v>
      </c>
      <c r="P20" s="244">
        <f t="shared" si="26"/>
        <v>0.002534774031</v>
      </c>
      <c r="Q20" s="394">
        <f t="shared" si="27"/>
        <v>-0.0527748393</v>
      </c>
    </row>
    <row r="21" ht="15.75" customHeight="1">
      <c r="B21" s="393" t="s">
        <v>73</v>
      </c>
      <c r="C21" s="361">
        <v>-18156.84</v>
      </c>
      <c r="D21" s="248">
        <v>-15500.0</v>
      </c>
      <c r="E21" s="248">
        <v>-9551.16</v>
      </c>
      <c r="F21" s="244">
        <f t="shared" si="22"/>
        <v>-0.4739635311</v>
      </c>
      <c r="G21" s="394">
        <f t="shared" si="23"/>
        <v>-0.383796129</v>
      </c>
      <c r="H21" s="361">
        <v>-30730.01</v>
      </c>
      <c r="I21" s="248">
        <v>-31000.0</v>
      </c>
      <c r="J21" s="248">
        <v>-25309.21</v>
      </c>
      <c r="K21" s="244">
        <f t="shared" si="24"/>
        <v>-0.1764008538</v>
      </c>
      <c r="L21" s="394">
        <f t="shared" si="25"/>
        <v>-0.183573871</v>
      </c>
      <c r="M21" s="361">
        <v>-170110.0</v>
      </c>
      <c r="N21" s="248">
        <v>-186000.0</v>
      </c>
      <c r="O21" s="248">
        <v>-175969.21</v>
      </c>
      <c r="P21" s="244">
        <f t="shared" si="26"/>
        <v>0.03444365411</v>
      </c>
      <c r="Q21" s="394">
        <f t="shared" si="27"/>
        <v>-0.05392897849</v>
      </c>
    </row>
    <row r="22" ht="15.75" customHeight="1">
      <c r="B22" s="393" t="s">
        <v>75</v>
      </c>
      <c r="C22" s="361">
        <f t="shared" ref="C22:E22" si="31">C20+C21</f>
        <v>7649.68</v>
      </c>
      <c r="D22" s="248">
        <f t="shared" si="31"/>
        <v>7187.5</v>
      </c>
      <c r="E22" s="248">
        <f t="shared" si="31"/>
        <v>4656.09</v>
      </c>
      <c r="F22" s="244">
        <f t="shared" si="22"/>
        <v>-0.3913353238</v>
      </c>
      <c r="G22" s="394">
        <f t="shared" si="23"/>
        <v>-0.3521961739</v>
      </c>
      <c r="H22" s="361">
        <f t="shared" ref="H22:J22" si="32">H20+H21</f>
        <v>12773.34</v>
      </c>
      <c r="I22" s="248">
        <f t="shared" si="32"/>
        <v>14375</v>
      </c>
      <c r="J22" s="248">
        <f t="shared" si="32"/>
        <v>12050.34</v>
      </c>
      <c r="K22" s="244">
        <f t="shared" si="24"/>
        <v>-0.05660226691</v>
      </c>
      <c r="L22" s="394">
        <f t="shared" si="25"/>
        <v>-0.1617154783</v>
      </c>
      <c r="M22" s="361">
        <f t="shared" ref="M22:O22" si="33">M20+M21</f>
        <v>87120.03</v>
      </c>
      <c r="N22" s="248">
        <f t="shared" si="33"/>
        <v>86250</v>
      </c>
      <c r="O22" s="248">
        <f t="shared" si="33"/>
        <v>81912.84</v>
      </c>
      <c r="P22" s="244">
        <f t="shared" si="26"/>
        <v>-0.05977029622</v>
      </c>
      <c r="Q22" s="394">
        <f t="shared" si="27"/>
        <v>-0.05028591304</v>
      </c>
    </row>
    <row r="23" ht="15.75" customHeight="1">
      <c r="B23" s="393" t="s">
        <v>77</v>
      </c>
      <c r="C23" s="361">
        <v>-297.54</v>
      </c>
      <c r="D23" s="248">
        <v>0.0</v>
      </c>
      <c r="E23" s="248">
        <v>-333.49</v>
      </c>
      <c r="F23" s="244">
        <f t="shared" si="22"/>
        <v>0.1208240909</v>
      </c>
      <c r="G23" s="394" t="str">
        <f t="shared" si="23"/>
        <v> </v>
      </c>
      <c r="H23" s="361">
        <v>-596.44</v>
      </c>
      <c r="I23" s="248">
        <v>0.0</v>
      </c>
      <c r="J23" s="248">
        <v>-666.98</v>
      </c>
      <c r="K23" s="244">
        <f t="shared" si="24"/>
        <v>0.1182683925</v>
      </c>
      <c r="L23" s="394" t="str">
        <f t="shared" si="25"/>
        <v> </v>
      </c>
      <c r="M23" s="361">
        <v>-3725.43</v>
      </c>
      <c r="N23" s="248">
        <v>0.0</v>
      </c>
      <c r="O23" s="248">
        <v>-666.98</v>
      </c>
      <c r="P23" s="244">
        <f t="shared" si="26"/>
        <v>-0.8209656335</v>
      </c>
      <c r="Q23" s="394" t="str">
        <f t="shared" si="27"/>
        <v> </v>
      </c>
    </row>
    <row r="24" ht="15.75" customHeight="1">
      <c r="B24" s="1356" t="s">
        <v>80</v>
      </c>
      <c r="C24" s="1357">
        <f t="shared" ref="C24:E24" si="34">C22+C23</f>
        <v>7352.14</v>
      </c>
      <c r="D24" s="1358">
        <f t="shared" si="34"/>
        <v>7187.5</v>
      </c>
      <c r="E24" s="1358">
        <f t="shared" si="34"/>
        <v>4322.6</v>
      </c>
      <c r="F24" s="1359">
        <f t="shared" si="22"/>
        <v>-0.4120623383</v>
      </c>
      <c r="G24" s="1360">
        <f t="shared" si="23"/>
        <v>-0.3985947826</v>
      </c>
      <c r="H24" s="1357">
        <f t="shared" ref="H24:J24" si="35">H22+H23</f>
        <v>12176.9</v>
      </c>
      <c r="I24" s="1358">
        <f t="shared" si="35"/>
        <v>14375</v>
      </c>
      <c r="J24" s="1358">
        <f t="shared" si="35"/>
        <v>11383.36</v>
      </c>
      <c r="K24" s="1359">
        <f t="shared" si="24"/>
        <v>-0.06516765351</v>
      </c>
      <c r="L24" s="1360">
        <f t="shared" si="25"/>
        <v>-0.208114087</v>
      </c>
      <c r="M24" s="1357">
        <f t="shared" ref="M24:O24" si="36">M22+M23</f>
        <v>83394.6</v>
      </c>
      <c r="N24" s="1358">
        <f t="shared" si="36"/>
        <v>86250</v>
      </c>
      <c r="O24" s="1358">
        <f t="shared" si="36"/>
        <v>81245.86</v>
      </c>
      <c r="P24" s="1359">
        <f t="shared" si="26"/>
        <v>-0.02576593688</v>
      </c>
      <c r="Q24" s="1360">
        <f t="shared" si="27"/>
        <v>-0.05801901449</v>
      </c>
    </row>
    <row r="25" ht="6.0" customHeight="1">
      <c r="B25" s="393"/>
      <c r="C25" s="404"/>
      <c r="D25" s="3"/>
      <c r="E25" s="3"/>
      <c r="G25" s="405"/>
      <c r="H25" s="404"/>
      <c r="I25" s="3"/>
      <c r="J25" s="3"/>
      <c r="L25" s="405"/>
      <c r="M25" s="404"/>
      <c r="N25" s="3"/>
      <c r="O25" s="3"/>
      <c r="P25" s="273"/>
      <c r="Q25" s="1344"/>
    </row>
    <row r="26" ht="16.5" customHeight="1">
      <c r="B26" s="384" t="s">
        <v>100</v>
      </c>
      <c r="C26" s="385">
        <f t="shared" ref="C26:E26" si="37">C24/C20</f>
        <v>0.28489467</v>
      </c>
      <c r="D26" s="386">
        <f t="shared" si="37"/>
        <v>0.3168044077</v>
      </c>
      <c r="E26" s="386">
        <f t="shared" si="37"/>
        <v>0.3042531102</v>
      </c>
      <c r="F26" s="387"/>
      <c r="G26" s="388"/>
      <c r="H26" s="385">
        <f t="shared" ref="H26:J26" si="38">H24/H20</f>
        <v>0.2799071796</v>
      </c>
      <c r="I26" s="386">
        <f t="shared" si="38"/>
        <v>0.3168044077</v>
      </c>
      <c r="J26" s="386">
        <f t="shared" si="38"/>
        <v>0.3046974602</v>
      </c>
      <c r="K26" s="387"/>
      <c r="L26" s="388"/>
      <c r="M26" s="377">
        <f t="shared" ref="M26:O26" si="39">M24/M20</f>
        <v>0.3242024269</v>
      </c>
      <c r="N26" s="379">
        <f t="shared" si="39"/>
        <v>0.3168044077</v>
      </c>
      <c r="O26" s="379">
        <f t="shared" si="39"/>
        <v>0.3150504659</v>
      </c>
      <c r="P26" s="380"/>
      <c r="Q26" s="381"/>
    </row>
    <row r="27" ht="6.0" customHeight="1">
      <c r="B27" s="393"/>
      <c r="C27" s="1350"/>
      <c r="G27" s="405"/>
      <c r="H27" s="1350"/>
      <c r="L27" s="405"/>
      <c r="M27" s="1350"/>
      <c r="Q27" s="405"/>
    </row>
    <row r="28" ht="16.5" customHeight="1">
      <c r="B28" s="376" t="s">
        <v>211</v>
      </c>
      <c r="C28" s="377">
        <f t="shared" ref="C28:E28" si="40">IFERROR(C21/C20,0)</f>
        <v>-0.7035756855</v>
      </c>
      <c r="D28" s="379">
        <f t="shared" si="40"/>
        <v>-0.6831955923</v>
      </c>
      <c r="E28" s="379">
        <f t="shared" si="40"/>
        <v>-0.6722736631</v>
      </c>
      <c r="F28" s="380"/>
      <c r="G28" s="381"/>
      <c r="H28" s="377">
        <f t="shared" ref="H28:J28" si="41">IFERROR(H21/H20,0)</f>
        <v>-0.7063826119</v>
      </c>
      <c r="I28" s="379">
        <f t="shared" si="41"/>
        <v>-0.6831955923</v>
      </c>
      <c r="J28" s="379">
        <f t="shared" si="41"/>
        <v>-0.677449541</v>
      </c>
      <c r="K28" s="380"/>
      <c r="L28" s="381"/>
      <c r="M28" s="377">
        <f t="shared" ref="M28:O28" si="42">IFERROR(M21/M20,0)</f>
        <v>-0.6613146995</v>
      </c>
      <c r="N28" s="379">
        <f t="shared" si="42"/>
        <v>-0.6831955923</v>
      </c>
      <c r="O28" s="379">
        <f t="shared" si="42"/>
        <v>-0.6823631579</v>
      </c>
      <c r="P28" s="380"/>
      <c r="Q28" s="381"/>
    </row>
    <row r="29" ht="4.5" customHeight="1"/>
    <row r="30" ht="15.75" customHeight="1">
      <c r="B30" s="505" t="s">
        <v>573</v>
      </c>
    </row>
    <row r="31" ht="15.75" customHeight="1">
      <c r="E31" s="274"/>
    </row>
    <row r="32" ht="13.5" customHeight="1"/>
    <row r="33" ht="15.75" customHeight="1"/>
    <row r="34" ht="15.75" customHeight="1">
      <c r="B34" s="1361" t="s">
        <v>574</v>
      </c>
      <c r="C34" s="1362" t="s">
        <v>506</v>
      </c>
      <c r="D34" s="1362" t="s">
        <v>507</v>
      </c>
      <c r="E34" s="1362" t="s">
        <v>508</v>
      </c>
      <c r="F34" s="1363" t="s">
        <v>451</v>
      </c>
      <c r="G34" s="1362" t="s">
        <v>509</v>
      </c>
      <c r="H34" s="1362" t="s">
        <v>510</v>
      </c>
      <c r="I34" s="1362" t="s">
        <v>511</v>
      </c>
      <c r="J34" s="1363" t="s">
        <v>451</v>
      </c>
      <c r="K34" s="1362" t="s">
        <v>512</v>
      </c>
      <c r="L34" s="1362" t="s">
        <v>510</v>
      </c>
      <c r="M34" s="1362" t="s">
        <v>513</v>
      </c>
    </row>
    <row r="35" ht="15.75" customHeight="1">
      <c r="B35" s="1364" t="s">
        <v>398</v>
      </c>
      <c r="C35" s="1365">
        <v>0.0</v>
      </c>
      <c r="D35" s="1365">
        <v>0.0</v>
      </c>
      <c r="E35" s="1365">
        <v>0.0</v>
      </c>
      <c r="F35" s="1366"/>
      <c r="G35" s="1365">
        <v>0.0</v>
      </c>
      <c r="H35" s="1365">
        <v>0.0</v>
      </c>
      <c r="I35" s="1365">
        <v>0.0</v>
      </c>
      <c r="J35" s="1366"/>
      <c r="K35" s="1365">
        <v>0.0</v>
      </c>
      <c r="L35" s="1365">
        <v>0.0</v>
      </c>
      <c r="M35" s="1365">
        <v>0.0</v>
      </c>
    </row>
    <row r="36" ht="15.75" customHeight="1">
      <c r="B36" s="1364" t="s">
        <v>575</v>
      </c>
      <c r="C36" s="1367">
        <v>0.0</v>
      </c>
      <c r="D36" s="1367">
        <v>0.0</v>
      </c>
      <c r="E36" s="1367">
        <v>0.0</v>
      </c>
      <c r="F36" s="1366"/>
      <c r="G36" s="1367">
        <v>0.0</v>
      </c>
      <c r="H36" s="1367">
        <v>0.0</v>
      </c>
      <c r="I36" s="1367">
        <v>0.0</v>
      </c>
      <c r="J36" s="1366"/>
      <c r="K36" s="1367">
        <v>0.0</v>
      </c>
      <c r="L36" s="1367">
        <v>0.0</v>
      </c>
      <c r="M36" s="1367">
        <v>0.0</v>
      </c>
    </row>
    <row r="37" ht="15.75" customHeight="1">
      <c r="B37" s="1364" t="s">
        <v>515</v>
      </c>
      <c r="C37" s="1365">
        <v>0.0</v>
      </c>
      <c r="D37" s="1365">
        <v>0.0</v>
      </c>
      <c r="E37" s="1365">
        <v>0.0</v>
      </c>
      <c r="F37" s="1366"/>
      <c r="G37" s="1365">
        <v>0.0</v>
      </c>
      <c r="H37" s="1365">
        <v>0.0</v>
      </c>
      <c r="I37" s="1365">
        <v>0.0</v>
      </c>
      <c r="J37" s="1366"/>
      <c r="K37" s="1365">
        <v>0.0</v>
      </c>
      <c r="L37" s="1365">
        <v>0.0</v>
      </c>
      <c r="M37" s="1365">
        <v>0.0</v>
      </c>
    </row>
    <row r="38" ht="15.75" customHeight="1">
      <c r="B38" s="1364" t="s">
        <v>516</v>
      </c>
      <c r="C38" s="1368">
        <v>0.0</v>
      </c>
      <c r="D38" s="1365">
        <v>0.0</v>
      </c>
      <c r="E38" s="1368">
        <v>0.0</v>
      </c>
      <c r="F38" s="1366"/>
      <c r="G38" s="1365">
        <v>0.0</v>
      </c>
      <c r="H38" s="1365">
        <v>0.0</v>
      </c>
      <c r="I38" s="1365">
        <v>0.0</v>
      </c>
      <c r="J38" s="1366"/>
      <c r="K38" s="1365">
        <v>0.0</v>
      </c>
      <c r="L38" s="1365">
        <v>0.0</v>
      </c>
      <c r="M38" s="1365">
        <v>0.0</v>
      </c>
    </row>
    <row r="39" ht="15.75" customHeight="1">
      <c r="B39" s="1364" t="s">
        <v>518</v>
      </c>
      <c r="C39" s="1368">
        <v>0.0</v>
      </c>
      <c r="D39" s="1365">
        <v>0.0</v>
      </c>
      <c r="E39" s="1368">
        <v>0.0</v>
      </c>
      <c r="F39" s="1366"/>
      <c r="G39" s="1365">
        <v>0.0</v>
      </c>
      <c r="H39" s="1365">
        <v>0.0</v>
      </c>
      <c r="I39" s="1365">
        <v>0.0</v>
      </c>
      <c r="J39" s="1366"/>
      <c r="K39" s="1365">
        <v>0.0</v>
      </c>
      <c r="L39" s="1365">
        <v>0.0</v>
      </c>
      <c r="M39" s="1365">
        <v>0.0</v>
      </c>
    </row>
    <row r="40" ht="15.75" customHeight="1">
      <c r="B40" s="1364" t="s">
        <v>520</v>
      </c>
      <c r="C40" s="1368">
        <v>0.0</v>
      </c>
      <c r="D40" s="1365">
        <v>0.0</v>
      </c>
      <c r="E40" s="1368">
        <v>0.0</v>
      </c>
      <c r="F40" s="1366"/>
      <c r="G40" s="1365">
        <v>0.0</v>
      </c>
      <c r="H40" s="1365">
        <v>0.0</v>
      </c>
      <c r="I40" s="1365">
        <v>0.0</v>
      </c>
      <c r="J40" s="1366"/>
      <c r="K40" s="1365">
        <v>0.0</v>
      </c>
      <c r="L40" s="1365">
        <v>0.0</v>
      </c>
      <c r="M40" s="1365">
        <v>0.0</v>
      </c>
    </row>
    <row r="41" ht="15.75" customHeight="1">
      <c r="J41" s="853"/>
      <c r="K41" s="853"/>
      <c r="L41" s="853"/>
      <c r="M41" s="853"/>
    </row>
    <row r="42" ht="15.75" customHeight="1">
      <c r="B42" s="1361" t="s">
        <v>576</v>
      </c>
      <c r="C42" s="1369" t="s">
        <v>508</v>
      </c>
      <c r="D42" s="1369" t="s">
        <v>577</v>
      </c>
      <c r="E42" s="1369" t="s">
        <v>383</v>
      </c>
      <c r="F42" s="1363" t="s">
        <v>451</v>
      </c>
      <c r="G42" s="1369" t="s">
        <v>578</v>
      </c>
      <c r="H42" s="1369" t="s">
        <v>579</v>
      </c>
      <c r="I42" s="1369" t="s">
        <v>580</v>
      </c>
      <c r="J42" s="1363" t="s">
        <v>451</v>
      </c>
      <c r="K42" s="1369" t="s">
        <v>578</v>
      </c>
      <c r="L42" s="1369" t="s">
        <v>579</v>
      </c>
      <c r="M42" s="1369" t="s">
        <v>580</v>
      </c>
    </row>
    <row r="43" ht="15.75" customHeight="1">
      <c r="B43" s="1364" t="s">
        <v>398</v>
      </c>
      <c r="C43" s="1370">
        <v>-48487.61</v>
      </c>
      <c r="D43" s="1370">
        <v>-3968.75</v>
      </c>
      <c r="E43" s="983">
        <v>0.0</v>
      </c>
      <c r="F43" s="1366"/>
      <c r="G43" s="1370">
        <v>-238231.88</v>
      </c>
      <c r="H43" s="1370">
        <v>-38725.75</v>
      </c>
      <c r="I43" s="983">
        <v>151898.78</v>
      </c>
      <c r="J43" s="1366"/>
      <c r="K43" s="985">
        <v>-256318.14</v>
      </c>
      <c r="L43" s="985">
        <v>-46363.25</v>
      </c>
      <c r="M43" s="983">
        <v>151898.78</v>
      </c>
    </row>
    <row r="44" ht="15.75" customHeight="1">
      <c r="B44" s="1364" t="s">
        <v>575</v>
      </c>
      <c r="C44" s="1370">
        <v>-48487.61</v>
      </c>
      <c r="D44" s="1370">
        <v>-3968.75</v>
      </c>
      <c r="E44" s="983">
        <v>0.0</v>
      </c>
      <c r="F44" s="1366"/>
      <c r="G44" s="1370">
        <v>-238231.88</v>
      </c>
      <c r="H44" s="1370">
        <v>-38725.75</v>
      </c>
      <c r="I44" s="983">
        <v>151898.78</v>
      </c>
      <c r="J44" s="1366"/>
      <c r="K44" s="985">
        <v>-256318.14</v>
      </c>
      <c r="L44" s="985">
        <v>-46363.25</v>
      </c>
      <c r="M44" s="983">
        <v>151898.78</v>
      </c>
    </row>
    <row r="45" ht="15.75" customHeight="1">
      <c r="B45" s="1364" t="s">
        <v>514</v>
      </c>
      <c r="C45" s="1370">
        <v>0.0</v>
      </c>
      <c r="D45" s="983">
        <v>0.0</v>
      </c>
      <c r="E45" s="983">
        <v>0.0</v>
      </c>
      <c r="F45" s="1366"/>
      <c r="G45" s="985">
        <v>-13035.46</v>
      </c>
      <c r="H45" s="983">
        <v>0.0</v>
      </c>
      <c r="I45" s="983">
        <v>0.0</v>
      </c>
      <c r="J45" s="1366"/>
      <c r="K45" s="985">
        <v>-13035.46</v>
      </c>
      <c r="L45" s="983">
        <v>0.0</v>
      </c>
      <c r="M45" s="983">
        <v>0.0</v>
      </c>
    </row>
    <row r="46" ht="15.75" customHeight="1">
      <c r="B46" s="1364" t="s">
        <v>515</v>
      </c>
      <c r="C46" s="1370">
        <v>-48487.61</v>
      </c>
      <c r="D46" s="1370">
        <v>-3968.75</v>
      </c>
      <c r="E46" s="983">
        <v>0.0</v>
      </c>
      <c r="F46" s="1366"/>
      <c r="G46" s="1370">
        <v>-251267.34</v>
      </c>
      <c r="H46" s="1370">
        <v>-38725.75</v>
      </c>
      <c r="I46" s="983">
        <v>151898.78</v>
      </c>
      <c r="J46" s="1366"/>
      <c r="K46" s="985">
        <v>-269353.6</v>
      </c>
      <c r="L46" s="985">
        <v>-46363.25</v>
      </c>
      <c r="M46" s="983">
        <v>151898.78</v>
      </c>
    </row>
    <row r="47" ht="15.75" customHeight="1">
      <c r="B47" s="1364" t="s">
        <v>516</v>
      </c>
      <c r="C47" s="1371">
        <v>1784.59</v>
      </c>
      <c r="D47" s="1371">
        <v>231.11</v>
      </c>
      <c r="E47" s="983">
        <v>0.0</v>
      </c>
      <c r="F47" s="1366"/>
      <c r="G47" s="1371">
        <v>77901.0</v>
      </c>
      <c r="H47" s="1371">
        <v>3758.2</v>
      </c>
      <c r="I47" s="983">
        <v>45864.64</v>
      </c>
      <c r="J47" s="1366"/>
      <c r="K47" s="983">
        <v>101353.16</v>
      </c>
      <c r="L47" s="983">
        <v>4159.08</v>
      </c>
      <c r="M47" s="1371">
        <v>46684.81</v>
      </c>
    </row>
    <row r="48" ht="15.75" customHeight="1">
      <c r="B48" s="1364" t="s">
        <v>518</v>
      </c>
      <c r="C48" s="1370">
        <v>-46703.02</v>
      </c>
      <c r="D48" s="1370">
        <v>-3737.64</v>
      </c>
      <c r="E48" s="983">
        <v>0.0</v>
      </c>
      <c r="F48" s="1366"/>
      <c r="G48" s="1370">
        <v>-173366.34</v>
      </c>
      <c r="H48" s="1370">
        <v>-34967.55</v>
      </c>
      <c r="I48" s="983">
        <v>197763.42</v>
      </c>
      <c r="J48" s="1366"/>
      <c r="K48" s="985">
        <v>-168000.44</v>
      </c>
      <c r="L48" s="985">
        <v>-42204.17</v>
      </c>
      <c r="M48" s="1371">
        <v>198583.59</v>
      </c>
    </row>
    <row r="49" ht="15.75" customHeight="1">
      <c r="B49" s="1364" t="s">
        <v>519</v>
      </c>
      <c r="C49" s="983">
        <v>0.0</v>
      </c>
      <c r="D49" s="983">
        <v>0.0</v>
      </c>
      <c r="E49" s="983">
        <v>0.0</v>
      </c>
      <c r="F49" s="1366"/>
      <c r="G49" s="983">
        <v>0.0</v>
      </c>
      <c r="H49" s="983">
        <v>0.0</v>
      </c>
      <c r="I49" s="983">
        <v>0.0</v>
      </c>
      <c r="J49" s="1366"/>
      <c r="K49" s="983">
        <v>0.0</v>
      </c>
      <c r="L49" s="983">
        <v>0.0</v>
      </c>
      <c r="M49" s="983">
        <v>0.0</v>
      </c>
    </row>
    <row r="50" ht="15.75" customHeight="1">
      <c r="B50" s="1364" t="s">
        <v>520</v>
      </c>
      <c r="C50" s="1370">
        <v>-46703.02</v>
      </c>
      <c r="D50" s="1370">
        <v>-3737.64</v>
      </c>
      <c r="E50" s="983">
        <v>0.0</v>
      </c>
      <c r="F50" s="1366"/>
      <c r="G50" s="1370">
        <v>-173366.34</v>
      </c>
      <c r="H50" s="1370">
        <v>-34967.55</v>
      </c>
      <c r="I50" s="983">
        <v>197763.42</v>
      </c>
      <c r="J50" s="1366"/>
      <c r="K50" s="985">
        <v>-168000.44</v>
      </c>
      <c r="L50" s="985">
        <v>-42204.17</v>
      </c>
      <c r="M50" s="1371">
        <v>198583.59</v>
      </c>
    </row>
    <row r="51" ht="15.75" customHeight="1">
      <c r="C51" s="992">
        <v>0.0</v>
      </c>
      <c r="D51" s="992">
        <v>0.0</v>
      </c>
      <c r="E51" s="983">
        <v>0.0</v>
      </c>
      <c r="G51" s="992">
        <v>0.0</v>
      </c>
      <c r="H51" s="992">
        <v>0.0</v>
      </c>
      <c r="I51" s="99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B3"/>
    <mergeCell ref="C2:G2"/>
    <mergeCell ref="H2:L2"/>
    <mergeCell ref="M2:Q2"/>
    <mergeCell ref="B16:B17"/>
    <mergeCell ref="C16:G16"/>
    <mergeCell ref="H16:L16"/>
    <mergeCell ref="M16:Q16"/>
  </mergeCells>
  <printOptions/>
  <pageMargins bottom="0.787401575" footer="0.0" header="0.0" left="0.511811024" right="0.511811024" top="0.787401575"/>
  <pageSetup paperSize="9" orientation="portrait"/>
  <drawing r:id="rId1"/>
</worksheet>
</file>