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0FE40D8D-A6F4-EF42-BAD5-9389DC584D6E}" xr6:coauthVersionLast="47" xr6:coauthVersionMax="47" xr10:uidLastSave="{00000000-0000-0000-0000-000000000000}"/>
  <bookViews>
    <workbookView xWindow="21460" yWindow="500" windowWidth="29360" windowHeight="26740" activeTab="1" xr2:uid="{5AE0DF26-B7DD-1242-A60E-253C73A930AF}"/>
  </bookViews>
  <sheets>
    <sheet name="Info" sheetId="1" r:id="rId1"/>
    <sheet name="Modell" sheetId="2" r:id="rId2"/>
    <sheet name="Segementer" sheetId="4" r:id="rId3"/>
    <sheet name="Nøkkeltal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4" l="1"/>
  <c r="L5" i="4"/>
  <c r="G5" i="4"/>
  <c r="B8" i="2"/>
  <c r="V61" i="4"/>
  <c r="V54" i="4"/>
  <c r="V44" i="4"/>
  <c r="V37" i="4"/>
  <c r="V20" i="4"/>
  <c r="V27" i="4"/>
  <c r="V11" i="4"/>
  <c r="V5" i="4"/>
  <c r="Q61" i="4"/>
  <c r="L61" i="4"/>
  <c r="G61" i="4"/>
  <c r="Q54" i="4"/>
  <c r="L54" i="4"/>
  <c r="G54" i="4"/>
  <c r="G44" i="4"/>
  <c r="Q44" i="4"/>
  <c r="L44" i="4"/>
  <c r="Q37" i="4"/>
  <c r="L37" i="4"/>
  <c r="G37" i="4"/>
  <c r="Q27" i="4"/>
  <c r="L27" i="4"/>
  <c r="G27" i="4"/>
  <c r="Q20" i="4"/>
  <c r="G20" i="4"/>
  <c r="L20" i="4"/>
  <c r="L11" i="4"/>
  <c r="G11" i="4"/>
  <c r="Q11" i="4"/>
  <c r="F10" i="2"/>
  <c r="E10" i="2"/>
  <c r="AA9" i="2" l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A8" i="2"/>
  <c r="AA7" i="2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C10" i="2"/>
  <c r="AD10" i="2" s="1"/>
  <c r="AE10" i="2" s="1"/>
  <c r="AF10" i="2" s="1"/>
  <c r="AG10" i="2" s="1"/>
  <c r="AH10" i="2" s="1"/>
  <c r="AI10" i="2" s="1"/>
  <c r="AJ10" i="2" s="1"/>
  <c r="AK10" i="2" s="1"/>
  <c r="AC8" i="2"/>
  <c r="AD8" i="2" s="1"/>
  <c r="AE8" i="2" s="1"/>
  <c r="AF8" i="2" s="1"/>
  <c r="AG8" i="2" s="1"/>
  <c r="AH8" i="2" s="1"/>
  <c r="AI8" i="2" s="1"/>
  <c r="AJ8" i="2" s="1"/>
  <c r="AK8" i="2" s="1"/>
  <c r="AB8" i="2"/>
  <c r="AB10" i="2"/>
  <c r="AB11" i="2"/>
  <c r="AC11" i="2" s="1"/>
  <c r="AD11" i="2" s="1"/>
  <c r="AE11" i="2" s="1"/>
  <c r="AF11" i="2" s="1"/>
  <c r="AG11" i="2" s="1"/>
  <c r="AH11" i="2" s="1"/>
  <c r="AI11" i="2" s="1"/>
  <c r="AJ11" i="2" s="1"/>
  <c r="AK11" i="2" s="1"/>
  <c r="AB12" i="2"/>
  <c r="AC12" i="2" s="1"/>
  <c r="AD12" i="2" s="1"/>
  <c r="AE12" i="2" s="1"/>
  <c r="AF12" i="2" s="1"/>
  <c r="AG12" i="2" s="1"/>
  <c r="AH12" i="2" s="1"/>
  <c r="AI12" i="2" s="1"/>
  <c r="AJ12" i="2" s="1"/>
  <c r="AK12" i="2" s="1"/>
  <c r="AA10" i="2"/>
  <c r="AA11" i="2"/>
  <c r="AA12" i="2"/>
  <c r="AA13" i="2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A4" i="2"/>
  <c r="AB4" i="2" s="1"/>
  <c r="AC4" i="2" s="1"/>
  <c r="AD4" i="2" s="1"/>
  <c r="AE4" i="2" s="1"/>
  <c r="AF4" i="2" s="1"/>
  <c r="AG4" i="2" s="1"/>
  <c r="AH4" i="2" s="1"/>
  <c r="AI4" i="2" s="1"/>
  <c r="AJ4" i="2" s="1"/>
  <c r="AK4" i="2" s="1"/>
  <c r="G54" i="2"/>
  <c r="G10" i="2"/>
  <c r="D54" i="2"/>
  <c r="H54" i="2"/>
  <c r="D36" i="2"/>
  <c r="H44" i="2"/>
  <c r="H36" i="2"/>
  <c r="I54" i="2"/>
  <c r="M54" i="2"/>
  <c r="I44" i="2"/>
  <c r="I36" i="2"/>
  <c r="J54" i="2"/>
  <c r="N54" i="2" l="1"/>
  <c r="J44" i="2"/>
  <c r="K54" i="2" l="1"/>
  <c r="O54" i="2"/>
  <c r="K37" i="2"/>
  <c r="K6" i="2"/>
  <c r="K14" i="2" s="1"/>
  <c r="K16" i="2" s="1"/>
  <c r="K18" i="2" s="1"/>
  <c r="O6" i="2"/>
  <c r="O14" i="2" s="1"/>
  <c r="O16" i="2" s="1"/>
  <c r="O18" i="2" s="1"/>
  <c r="L54" i="2"/>
  <c r="L57" i="2" s="1"/>
  <c r="D57" i="2"/>
  <c r="D76" i="2" s="1"/>
  <c r="E57" i="2"/>
  <c r="F57" i="2"/>
  <c r="G57" i="2"/>
  <c r="G76" i="2" s="1"/>
  <c r="H57" i="2"/>
  <c r="H76" i="2" s="1"/>
  <c r="I57" i="2"/>
  <c r="I76" i="2" s="1"/>
  <c r="J57" i="2"/>
  <c r="J76" i="2" s="1"/>
  <c r="K57" i="2"/>
  <c r="K76" i="2" s="1"/>
  <c r="M57" i="2"/>
  <c r="M76" i="2" s="1"/>
  <c r="N57" i="2"/>
  <c r="N76" i="2" s="1"/>
  <c r="O57" i="2"/>
  <c r="D60" i="2"/>
  <c r="E60" i="2"/>
  <c r="F60" i="2"/>
  <c r="G60" i="2"/>
  <c r="H60" i="2"/>
  <c r="I60" i="2"/>
  <c r="J60" i="2"/>
  <c r="K60" i="2"/>
  <c r="L60" i="2"/>
  <c r="M60" i="2"/>
  <c r="N60" i="2"/>
  <c r="O60" i="2"/>
  <c r="E76" i="2"/>
  <c r="F76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E74" i="2" l="1"/>
  <c r="F74" i="2"/>
  <c r="G74" i="2"/>
  <c r="N74" i="2"/>
  <c r="M74" i="2"/>
  <c r="D74" i="2"/>
  <c r="O74" i="2"/>
  <c r="O76" i="2"/>
  <c r="L74" i="2"/>
  <c r="L76" i="2"/>
  <c r="K74" i="2"/>
  <c r="I74" i="2"/>
  <c r="J74" i="2"/>
  <c r="H74" i="2"/>
  <c r="P60" i="2"/>
  <c r="P54" i="2"/>
  <c r="P57" i="2" s="1"/>
  <c r="P76" i="2" s="1"/>
  <c r="K52" i="2"/>
  <c r="D48" i="2"/>
  <c r="E48" i="2"/>
  <c r="F48" i="2"/>
  <c r="G48" i="2"/>
  <c r="G49" i="2" s="1"/>
  <c r="H48" i="2"/>
  <c r="I48" i="2"/>
  <c r="J48" i="2"/>
  <c r="K48" i="2"/>
  <c r="L48" i="2"/>
  <c r="M48" i="2"/>
  <c r="N48" i="2"/>
  <c r="O48" i="2"/>
  <c r="F49" i="2"/>
  <c r="D40" i="2"/>
  <c r="E40" i="2"/>
  <c r="F40" i="2"/>
  <c r="G40" i="2"/>
  <c r="H40" i="2"/>
  <c r="I40" i="2"/>
  <c r="J40" i="2"/>
  <c r="K40" i="2"/>
  <c r="L40" i="2"/>
  <c r="M40" i="2"/>
  <c r="N40" i="2"/>
  <c r="O40" i="2"/>
  <c r="P48" i="2"/>
  <c r="E49" i="2" l="1"/>
  <c r="D49" i="2"/>
  <c r="H49" i="2"/>
  <c r="I49" i="2"/>
  <c r="M49" i="2"/>
  <c r="N49" i="2"/>
  <c r="P74" i="2"/>
  <c r="J49" i="2"/>
  <c r="K49" i="2"/>
  <c r="L49" i="2"/>
  <c r="O49" i="2"/>
  <c r="P40" i="2"/>
  <c r="P49" i="2" s="1"/>
  <c r="D37" i="2"/>
  <c r="E37" i="2"/>
  <c r="F37" i="2"/>
  <c r="G37" i="2"/>
  <c r="H37" i="2"/>
  <c r="I37" i="2"/>
  <c r="J37" i="2"/>
  <c r="L37" i="2"/>
  <c r="M37" i="2"/>
  <c r="N37" i="2"/>
  <c r="O37" i="2"/>
  <c r="P37" i="2"/>
  <c r="K23" i="2"/>
  <c r="K20" i="2"/>
  <c r="N6" i="2"/>
  <c r="N14" i="2" s="1"/>
  <c r="M6" i="2"/>
  <c r="L6" i="2"/>
  <c r="L14" i="2" s="1"/>
  <c r="J6" i="2"/>
  <c r="I6" i="2"/>
  <c r="I14" i="2" s="1"/>
  <c r="H6" i="2"/>
  <c r="H14" i="2" s="1"/>
  <c r="H52" i="2" s="1"/>
  <c r="G6" i="2"/>
  <c r="K22" i="2" s="1"/>
  <c r="F6" i="2"/>
  <c r="F14" i="2" s="1"/>
  <c r="E6" i="2"/>
  <c r="E14" i="2" s="1"/>
  <c r="D6" i="2"/>
  <c r="D14" i="2" s="1"/>
  <c r="P6" i="2"/>
  <c r="P14" i="2" s="1"/>
  <c r="AA9" i="4"/>
  <c r="Z5" i="4" s="1"/>
  <c r="U56" i="2"/>
  <c r="U57" i="2" s="1"/>
  <c r="V69" i="2"/>
  <c r="V72" i="2" s="1"/>
  <c r="V68" i="2"/>
  <c r="V64" i="2"/>
  <c r="V56" i="2"/>
  <c r="V57" i="2" s="1"/>
  <c r="U10" i="2"/>
  <c r="V10" i="2"/>
  <c r="W71" i="2"/>
  <c r="W64" i="2"/>
  <c r="W56" i="2"/>
  <c r="W57" i="2" s="1"/>
  <c r="W76" i="2" s="1"/>
  <c r="X71" i="2"/>
  <c r="X56" i="2"/>
  <c r="X57" i="2" s="1"/>
  <c r="X76" i="2" s="1"/>
  <c r="W10" i="2"/>
  <c r="X10" i="2"/>
  <c r="AA6" i="2"/>
  <c r="AB6" i="2"/>
  <c r="AB14" i="2" s="1"/>
  <c r="AC6" i="2"/>
  <c r="AD6" i="2"/>
  <c r="AD14" i="2" s="1"/>
  <c r="AD23" i="2" s="1"/>
  <c r="AE6" i="2"/>
  <c r="AE14" i="2" s="1"/>
  <c r="AF6" i="2"/>
  <c r="AF14" i="2" s="1"/>
  <c r="AG6" i="2"/>
  <c r="AG22" i="2" s="1"/>
  <c r="AH6" i="2"/>
  <c r="AI6" i="2"/>
  <c r="AJ6" i="2"/>
  <c r="AJ14" i="2" s="1"/>
  <c r="AJ16" i="2" s="1"/>
  <c r="AK6" i="2"/>
  <c r="AK22" i="2" s="1"/>
  <c r="U72" i="2"/>
  <c r="X72" i="2"/>
  <c r="Y72" i="2"/>
  <c r="U60" i="2"/>
  <c r="V60" i="2"/>
  <c r="W60" i="2"/>
  <c r="X60" i="2"/>
  <c r="Y60" i="2"/>
  <c r="Y56" i="2"/>
  <c r="Y57" i="2" s="1"/>
  <c r="Y76" i="2" s="1"/>
  <c r="Z72" i="2"/>
  <c r="Z60" i="2"/>
  <c r="Z56" i="2"/>
  <c r="Z57" i="2" s="1"/>
  <c r="U6" i="2"/>
  <c r="V6" i="2"/>
  <c r="W6" i="2"/>
  <c r="X6" i="2"/>
  <c r="Y6" i="2"/>
  <c r="Y14" i="2" s="1"/>
  <c r="Y16" i="2" s="1"/>
  <c r="Y18" i="2" s="1"/>
  <c r="Y20" i="2" s="1"/>
  <c r="Z6" i="2"/>
  <c r="Z14" i="2" s="1"/>
  <c r="Z23" i="2" s="1"/>
  <c r="J22" i="2" l="1"/>
  <c r="W72" i="2"/>
  <c r="AB16" i="2"/>
  <c r="AJ17" i="2"/>
  <c r="AJ18" i="2" s="1"/>
  <c r="AJ20" i="2" s="1"/>
  <c r="AC22" i="2"/>
  <c r="AC14" i="2"/>
  <c r="G14" i="2"/>
  <c r="G52" i="2" s="1"/>
  <c r="H22" i="2"/>
  <c r="I52" i="2"/>
  <c r="I16" i="2"/>
  <c r="I18" i="2" s="1"/>
  <c r="I20" i="2" s="1"/>
  <c r="I23" i="2"/>
  <c r="I22" i="2"/>
  <c r="M22" i="2"/>
  <c r="P16" i="2"/>
  <c r="P18" i="2" s="1"/>
  <c r="P20" i="2" s="1"/>
  <c r="P52" i="2"/>
  <c r="P23" i="2"/>
  <c r="E52" i="2"/>
  <c r="E16" i="2"/>
  <c r="E18" i="2" s="1"/>
  <c r="E20" i="2" s="1"/>
  <c r="E23" i="2"/>
  <c r="D52" i="2"/>
  <c r="D16" i="2"/>
  <c r="D18" i="2" s="1"/>
  <c r="D20" i="2" s="1"/>
  <c r="D23" i="2"/>
  <c r="N52" i="2"/>
  <c r="N16" i="2"/>
  <c r="N18" i="2" s="1"/>
  <c r="N20" i="2" s="1"/>
  <c r="N23" i="2"/>
  <c r="F52" i="2"/>
  <c r="F23" i="2"/>
  <c r="F16" i="2"/>
  <c r="F18" i="2" s="1"/>
  <c r="F20" i="2" s="1"/>
  <c r="L16" i="2"/>
  <c r="L18" i="2" s="1"/>
  <c r="L20" i="2" s="1"/>
  <c r="L52" i="2"/>
  <c r="H16" i="2"/>
  <c r="H18" i="2" s="1"/>
  <c r="H20" i="2" s="1"/>
  <c r="P22" i="2"/>
  <c r="J14" i="2"/>
  <c r="N22" i="2"/>
  <c r="L23" i="2"/>
  <c r="M14" i="2"/>
  <c r="L22" i="2"/>
  <c r="Z16" i="2"/>
  <c r="Z18" i="2" s="1"/>
  <c r="Z20" i="2" s="1"/>
  <c r="G23" i="2"/>
  <c r="H23" i="2"/>
  <c r="O22" i="2"/>
  <c r="O20" i="2"/>
  <c r="O52" i="2"/>
  <c r="O23" i="2"/>
  <c r="Z6" i="4"/>
  <c r="Z4" i="4"/>
  <c r="Z8" i="4"/>
  <c r="Z7" i="4"/>
  <c r="W14" i="2"/>
  <c r="W16" i="2" s="1"/>
  <c r="W18" i="2" s="1"/>
  <c r="W20" i="2" s="1"/>
  <c r="Y23" i="2"/>
  <c r="Y52" i="2"/>
  <c r="V14" i="2"/>
  <c r="V52" i="2" s="1"/>
  <c r="AJ23" i="2"/>
  <c r="Y74" i="2"/>
  <c r="AI22" i="2"/>
  <c r="AA22" i="2"/>
  <c r="AD22" i="2"/>
  <c r="Z52" i="2"/>
  <c r="AH22" i="2"/>
  <c r="AK14" i="2"/>
  <c r="AB23" i="2"/>
  <c r="U14" i="2"/>
  <c r="U52" i="2" s="1"/>
  <c r="AF22" i="2"/>
  <c r="AE22" i="2"/>
  <c r="U74" i="2"/>
  <c r="V74" i="2"/>
  <c r="AE23" i="2"/>
  <c r="AE16" i="2"/>
  <c r="Z76" i="2"/>
  <c r="Z74" i="2"/>
  <c r="AF23" i="2"/>
  <c r="AF16" i="2"/>
  <c r="X74" i="2"/>
  <c r="AI14" i="2"/>
  <c r="AA14" i="2"/>
  <c r="AD16" i="2"/>
  <c r="AH14" i="2"/>
  <c r="AJ22" i="2"/>
  <c r="AB22" i="2"/>
  <c r="AG14" i="2"/>
  <c r="Z22" i="2"/>
  <c r="U76" i="2"/>
  <c r="X14" i="2"/>
  <c r="X23" i="2" s="1"/>
  <c r="V76" i="2"/>
  <c r="V22" i="2"/>
  <c r="W74" i="2"/>
  <c r="W52" i="2"/>
  <c r="W23" i="2"/>
  <c r="W22" i="2"/>
  <c r="Y22" i="2"/>
  <c r="X22" i="2"/>
  <c r="B6" i="2"/>
  <c r="B9" i="2" s="1"/>
  <c r="E5" i="3" s="1"/>
  <c r="D5" i="3" l="1"/>
  <c r="AC16" i="2"/>
  <c r="F5" i="3"/>
  <c r="AB17" i="2"/>
  <c r="AB18" i="2" s="1"/>
  <c r="AB20" i="2" s="1"/>
  <c r="E6" i="3" s="1"/>
  <c r="AC17" i="2"/>
  <c r="AC18" i="2" s="1"/>
  <c r="AD17" i="2"/>
  <c r="AD18" i="2" s="1"/>
  <c r="AD20" i="2" s="1"/>
  <c r="AE17" i="2"/>
  <c r="AE18" i="2" s="1"/>
  <c r="AE20" i="2" s="1"/>
  <c r="AF17" i="2"/>
  <c r="AF18" i="2" s="1"/>
  <c r="AF20" i="2" s="1"/>
  <c r="AC23" i="2"/>
  <c r="G16" i="2"/>
  <c r="G18" i="2" s="1"/>
  <c r="G20" i="2" s="1"/>
  <c r="M52" i="2"/>
  <c r="M16" i="2"/>
  <c r="M18" i="2" s="1"/>
  <c r="M20" i="2" s="1"/>
  <c r="M23" i="2"/>
  <c r="V16" i="2"/>
  <c r="V18" i="2" s="1"/>
  <c r="V20" i="2" s="1"/>
  <c r="J52" i="2"/>
  <c r="J23" i="2"/>
  <c r="J16" i="2"/>
  <c r="J18" i="2" s="1"/>
  <c r="J20" i="2" s="1"/>
  <c r="V23" i="2"/>
  <c r="Z9" i="4"/>
  <c r="AK16" i="2"/>
  <c r="AK23" i="2"/>
  <c r="U16" i="2"/>
  <c r="U18" i="2" s="1"/>
  <c r="U20" i="2" s="1"/>
  <c r="U23" i="2"/>
  <c r="X52" i="2"/>
  <c r="AG23" i="2"/>
  <c r="AG16" i="2"/>
  <c r="AI16" i="2"/>
  <c r="AI23" i="2"/>
  <c r="AH16" i="2"/>
  <c r="AH23" i="2"/>
  <c r="X16" i="2"/>
  <c r="X18" i="2" s="1"/>
  <c r="X20" i="2" s="1"/>
  <c r="AA16" i="2"/>
  <c r="AA23" i="2"/>
  <c r="AC20" i="2" l="1"/>
  <c r="F6" i="3" s="1"/>
  <c r="AK17" i="2"/>
  <c r="AK18" i="2" s="1"/>
  <c r="AG17" i="2"/>
  <c r="AG18" i="2" s="1"/>
  <c r="AH17" i="2"/>
  <c r="AH18" i="2" s="1"/>
  <c r="AH20" i="2" s="1"/>
  <c r="AI17" i="2"/>
  <c r="AI18" i="2" s="1"/>
  <c r="AI20" i="2" s="1"/>
  <c r="AA17" i="2"/>
  <c r="AA18" i="2" s="1"/>
  <c r="AA20" i="2" s="1"/>
  <c r="D6" i="3" s="1"/>
  <c r="AG20" i="2" l="1"/>
  <c r="AK20" i="2"/>
  <c r="AL18" i="2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CF18" i="2" s="1"/>
  <c r="CG18" i="2" s="1"/>
  <c r="CH18" i="2" s="1"/>
  <c r="CI18" i="2" s="1"/>
  <c r="CJ18" i="2" s="1"/>
  <c r="CK18" i="2" s="1"/>
  <c r="CL18" i="2" s="1"/>
  <c r="CM18" i="2" s="1"/>
  <c r="CN18" i="2" s="1"/>
  <c r="CO18" i="2" s="1"/>
  <c r="CP18" i="2" s="1"/>
  <c r="CQ18" i="2" s="1"/>
  <c r="CR18" i="2" s="1"/>
  <c r="CS18" i="2" s="1"/>
  <c r="CT18" i="2" s="1"/>
  <c r="CU18" i="2" s="1"/>
  <c r="CV18" i="2" s="1"/>
  <c r="CW18" i="2" s="1"/>
  <c r="CX18" i="2" s="1"/>
  <c r="CY18" i="2" s="1"/>
  <c r="CZ18" i="2" s="1"/>
  <c r="DA18" i="2" s="1"/>
  <c r="DB18" i="2" s="1"/>
  <c r="DC18" i="2" s="1"/>
  <c r="DD18" i="2" s="1"/>
  <c r="DE18" i="2" s="1"/>
  <c r="DF18" i="2" s="1"/>
  <c r="DG18" i="2" s="1"/>
  <c r="DH18" i="2" s="1"/>
  <c r="DI18" i="2" s="1"/>
  <c r="DJ18" i="2" s="1"/>
  <c r="DK18" i="2" s="1"/>
  <c r="DL18" i="2" s="1"/>
  <c r="DM18" i="2" s="1"/>
  <c r="DN18" i="2" s="1"/>
  <c r="DO18" i="2" s="1"/>
  <c r="DP18" i="2" s="1"/>
  <c r="DQ18" i="2" s="1"/>
  <c r="DR18" i="2" s="1"/>
  <c r="DS18" i="2" s="1"/>
  <c r="DT18" i="2" s="1"/>
  <c r="DU18" i="2" s="1"/>
  <c r="DV18" i="2" s="1"/>
  <c r="DW18" i="2" s="1"/>
  <c r="DX18" i="2" s="1"/>
  <c r="DY18" i="2" s="1"/>
  <c r="DZ18" i="2" s="1"/>
  <c r="EA18" i="2" s="1"/>
  <c r="EB18" i="2" s="1"/>
  <c r="EC18" i="2" s="1"/>
  <c r="ED18" i="2" s="1"/>
  <c r="EE18" i="2" s="1"/>
  <c r="EF18" i="2" s="1"/>
  <c r="EG18" i="2" s="1"/>
  <c r="EH18" i="2" s="1"/>
  <c r="EI18" i="2" s="1"/>
  <c r="EJ18" i="2" s="1"/>
  <c r="EK18" i="2" s="1"/>
  <c r="EL18" i="2" s="1"/>
  <c r="EM18" i="2" s="1"/>
  <c r="EN18" i="2" s="1"/>
  <c r="EO18" i="2" s="1"/>
  <c r="EP18" i="2" s="1"/>
  <c r="AN23" i="2" l="1"/>
  <c r="AN25" i="2" s="1"/>
  <c r="AN26" i="2" s="1"/>
</calcChain>
</file>

<file path=xl/sharedStrings.xml><?xml version="1.0" encoding="utf-8"?>
<sst xmlns="http://schemas.openxmlformats.org/spreadsheetml/2006/main" count="216" uniqueCount="150">
  <si>
    <t>Kapitalstruktur</t>
  </si>
  <si>
    <t>Price</t>
  </si>
  <si>
    <t>S/O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</si>
  <si>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</si>
  <si>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</si>
  <si>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</si>
  <si>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</si>
  <si>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</si>
  <si>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</si>
  <si>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</si>
  <si>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</si>
  <si>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</si>
  <si>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</si>
  <si>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</si>
  <si>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</si>
  <si>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</si>
  <si>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</si>
  <si>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</si>
  <si>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</si>
  <si>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</si>
  <si>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</si>
  <si>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</si>
  <si>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</si>
  <si>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</si>
  <si>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</si>
  <si>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</si>
  <si>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</si>
  <si>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</si>
  <si>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</si>
  <si>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Revenue y/y</t>
  </si>
  <si>
    <t>EBIT margin</t>
  </si>
  <si>
    <t>CFFO</t>
  </si>
  <si>
    <t>CFFF</t>
  </si>
  <si>
    <t>CFFI</t>
  </si>
  <si>
    <t>EV/EBIT</t>
  </si>
  <si>
    <t>P/E</t>
  </si>
  <si>
    <t>MC NOKm</t>
  </si>
  <si>
    <t>Cash NOKm</t>
  </si>
  <si>
    <t>Debt NOKm</t>
  </si>
  <si>
    <t>EV NOKm</t>
  </si>
  <si>
    <t>SEK million</t>
  </si>
  <si>
    <t>Net sales</t>
  </si>
  <si>
    <t>Other income</t>
  </si>
  <si>
    <t>Total income</t>
  </si>
  <si>
    <t>Raw materials and consumables</t>
  </si>
  <si>
    <t>Other external costs</t>
  </si>
  <si>
    <t>Staff costs</t>
  </si>
  <si>
    <t>Rental costs</t>
  </si>
  <si>
    <t>Pre-opening costs</t>
  </si>
  <si>
    <t>Items affecting comparability</t>
  </si>
  <si>
    <t>A/D/I</t>
  </si>
  <si>
    <t>Operating profit EBIT</t>
  </si>
  <si>
    <t>Net financial items</t>
  </si>
  <si>
    <t>PTP</t>
  </si>
  <si>
    <t>Tax</t>
  </si>
  <si>
    <t>Net income</t>
  </si>
  <si>
    <t>FY 2019</t>
  </si>
  <si>
    <t>FY 2020</t>
  </si>
  <si>
    <t>FY 2021</t>
  </si>
  <si>
    <t>Shares</t>
  </si>
  <si>
    <t>EPS</t>
  </si>
  <si>
    <t>Cash flow SEKm</t>
  </si>
  <si>
    <t>Balanse SEKm</t>
  </si>
  <si>
    <t>Right of use assets</t>
  </si>
  <si>
    <t>Cash</t>
  </si>
  <si>
    <t>Total assets</t>
  </si>
  <si>
    <t>Non-controlling interests</t>
  </si>
  <si>
    <t>Derivative instruments</t>
  </si>
  <si>
    <t>Total Debt</t>
  </si>
  <si>
    <t>Total E/D</t>
  </si>
  <si>
    <t>Model operating profit</t>
  </si>
  <si>
    <t>Reported operating profit</t>
  </si>
  <si>
    <t>Adjustments for items not in CF</t>
  </si>
  <si>
    <t>taxes paid</t>
  </si>
  <si>
    <t>WC</t>
  </si>
  <si>
    <t>Capex</t>
  </si>
  <si>
    <t>Dividend, share swap agreement</t>
  </si>
  <si>
    <t>Net borrowing/amortization</t>
  </si>
  <si>
    <t>Repurchase of convertible bonds</t>
  </si>
  <si>
    <t>Repurchase of own shares</t>
  </si>
  <si>
    <t>Dividends</t>
  </si>
  <si>
    <t>Amortization, leases</t>
  </si>
  <si>
    <t>Financing costs</t>
  </si>
  <si>
    <t>Interest paid, leases</t>
  </si>
  <si>
    <t>CIC</t>
  </si>
  <si>
    <t>FCF</t>
  </si>
  <si>
    <t>Issue of new shares</t>
  </si>
  <si>
    <t>Antall hotellrom</t>
  </si>
  <si>
    <t>Antall hotell</t>
  </si>
  <si>
    <t>Norway</t>
  </si>
  <si>
    <t>Finland</t>
  </si>
  <si>
    <t>Denmark</t>
  </si>
  <si>
    <t>other Europe</t>
  </si>
  <si>
    <t>Total</t>
  </si>
  <si>
    <t>Sweden</t>
  </si>
  <si>
    <r>
      <rPr>
        <b/>
        <sz val="14"/>
        <color theme="1"/>
        <rFont val="Calibri"/>
        <family val="2"/>
        <scheme val="minor"/>
      </rPr>
      <t>Sesongvariasjoner:</t>
    </r>
    <r>
      <rPr>
        <sz val="14"/>
        <color theme="1"/>
        <rFont val="Calibri"/>
        <family val="2"/>
        <scheme val="minor"/>
      </rPr>
      <t xml:space="preserve"> Q1, påsken og julen er ofte trege tider på året</t>
    </r>
  </si>
  <si>
    <t>SEKm</t>
  </si>
  <si>
    <t>Organic growth</t>
  </si>
  <si>
    <t>Exits</t>
  </si>
  <si>
    <t>LFL</t>
  </si>
  <si>
    <t>Adjusted EBITDA</t>
  </si>
  <si>
    <t>RevPAR (SEK)</t>
  </si>
  <si>
    <t>Currency effect</t>
  </si>
  <si>
    <t>New hotels/Temporarily closed /exits</t>
  </si>
  <si>
    <t>OCC%</t>
  </si>
  <si>
    <t>ARR (SEK)</t>
  </si>
  <si>
    <t>Q125</t>
  </si>
  <si>
    <t xml:space="preserve">New hotels </t>
  </si>
  <si>
    <t>Temporarliy closed hotels</t>
  </si>
  <si>
    <t>Margin %</t>
  </si>
  <si>
    <t>Other Europe</t>
  </si>
  <si>
    <t>Q225</t>
  </si>
  <si>
    <t>Q325</t>
  </si>
  <si>
    <t>Q425</t>
  </si>
  <si>
    <t>Intangible assets</t>
  </si>
  <si>
    <t>Building and land</t>
  </si>
  <si>
    <t>Equipments, fixtures and fittings</t>
  </si>
  <si>
    <t>Financial assets</t>
  </si>
  <si>
    <t>Current assets</t>
  </si>
  <si>
    <t>Equity to parent company</t>
  </si>
  <si>
    <t>Total Equity</t>
  </si>
  <si>
    <t xml:space="preserve">Liabilties to credit institutions </t>
  </si>
  <si>
    <t>Lease liabilties</t>
  </si>
  <si>
    <t>Other long-term liabilties</t>
  </si>
  <si>
    <t>Convertible loans</t>
  </si>
  <si>
    <t>Other current liabilties</t>
  </si>
  <si>
    <t>Paid/received interest items</t>
  </si>
  <si>
    <t>Antall rom (Q125)</t>
  </si>
  <si>
    <t>Scandic er store i Sverige, Norge og Finland. De har også et segment som heter other Europe. Dette innebærer Danmark, Tyskalnd og Polen.</t>
  </si>
  <si>
    <t>"Scandic's operating model"</t>
  </si>
  <si>
    <t xml:space="preserve">Scandic operer primært med langtidsleieavtaler og har fullt ansavr for merkevare, drift og distribusjon. </t>
  </si>
  <si>
    <t>Scandic strukurerer sine leieavtaler ulike avtaler.</t>
  </si>
  <si>
    <t>"Contingent rent" = rommene har fullt variable avtaler som er basert på omsetning</t>
  </si>
  <si>
    <t>"Contingent rent with fixed minimum" = Rommene har varaible leieavtaler med et fast minimum</t>
  </si>
  <si>
    <t>"Fixed rent" = Rommene er under faste leieavtaler</t>
  </si>
  <si>
    <t>(Q125)</t>
  </si>
  <si>
    <t xml:space="preserve">Denne grafen viser hvor mange rom Scandic har under leieavtale </t>
  </si>
  <si>
    <t xml:space="preserve">og hvor lenge disse avtalene varer (gjenværende leietid). </t>
  </si>
  <si>
    <t>Current liabilities for leases</t>
  </si>
  <si>
    <t>Average revenue per room</t>
  </si>
  <si>
    <t>RevPAR:</t>
  </si>
  <si>
    <t>ARR:</t>
  </si>
  <si>
    <t>Average roomrate</t>
  </si>
  <si>
    <t>Discount</t>
  </si>
  <si>
    <t>TV</t>
  </si>
  <si>
    <t>NPV</t>
  </si>
  <si>
    <t>NPV/Share</t>
  </si>
  <si>
    <t>Opp-/nedside</t>
  </si>
  <si>
    <t>Q/Q</t>
  </si>
  <si>
    <t>Dele inn i år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</si>
</sst>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kr&quot;\ #,##0.00_);[Red]\(&quot;kr&quot;\ #,##0.00\)"/>
    <numFmt numFmtId="164" formatCode="#,##0.0"/>
    <numFmt numFmtId="165" formatCode="0.0"/>
    <numFmt numFmtId="166" formatCode="0.0\ %"/>
  </numFmts>
  <fonts count="11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5" fontId="2" fillId="0" borderId="1" xfId="0" applyNumberFormat="1" applyFont="1" applyBorder="1"/>
    <xf numFmtId="165" fontId="2" fillId="0" borderId="0" xfId="0" applyNumberFormat="1" applyFont="1"/>
    <xf numFmtId="166" fontId="2" fillId="0" borderId="0" xfId="0" applyNumberFormat="1" applyFont="1"/>
    <xf numFmtId="0" fontId="4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" fontId="2" fillId="0" borderId="0" xfId="0" applyNumberFormat="1" applyFont="1"/>
    <xf numFmtId="3" fontId="2" fillId="0" borderId="1" xfId="0" applyNumberFormat="1" applyFont="1" applyBorder="1"/>
    <xf numFmtId="3" fontId="4" fillId="0" borderId="0" xfId="0" applyNumberFormat="1" applyFont="1"/>
    <xf numFmtId="0" fontId="1" fillId="0" borderId="1" xfId="0" applyFont="1" applyBorder="1"/>
    <xf numFmtId="1" fontId="2" fillId="0" borderId="1" xfId="0" applyNumberFormat="1" applyFont="1" applyBorder="1"/>
    <xf numFmtId="1" fontId="1" fillId="0" borderId="1" xfId="0" applyNumberFormat="1" applyFont="1" applyBorder="1"/>
    <xf numFmtId="2" fontId="2" fillId="0" borderId="1" xfId="0" applyNumberFormat="1" applyFont="1" applyBorder="1"/>
    <xf numFmtId="2" fontId="2" fillId="0" borderId="0" xfId="0" applyNumberFormat="1" applyFont="1"/>
    <xf numFmtId="1" fontId="1" fillId="0" borderId="0" xfId="0" applyNumberFormat="1" applyFont="1"/>
    <xf numFmtId="1" fontId="2" fillId="0" borderId="0" xfId="0" applyNumberFormat="1" applyFont="1"/>
    <xf numFmtId="10" fontId="2" fillId="0" borderId="1" xfId="0" applyNumberFormat="1" applyFont="1" applyBorder="1"/>
    <xf numFmtId="10" fontId="1" fillId="0" borderId="1" xfId="0" applyNumberFormat="1" applyFont="1" applyBorder="1"/>
    <xf numFmtId="10" fontId="1" fillId="0" borderId="0" xfId="0" applyNumberFormat="1" applyFont="1"/>
    <xf numFmtId="10" fontId="2" fillId="0" borderId="0" xfId="0" applyNumberFormat="1" applyFont="1"/>
    <xf numFmtId="9" fontId="2" fillId="0" borderId="0" xfId="0" applyNumberFormat="1" applyFont="1"/>
    <xf numFmtId="0" fontId="8" fillId="0" borderId="0" xfId="0" applyFont="1" applyAlignment="1">
      <alignment horizontal="left" indent="1"/>
    </xf>
    <xf numFmtId="0" fontId="8" fillId="0" borderId="2" xfId="0" applyFont="1" applyBorder="1" applyAlignment="1">
      <alignment horizontal="left" indent="1"/>
    </xf>
    <xf numFmtId="0" fontId="2" fillId="0" borderId="2" xfId="0" applyFont="1" applyBorder="1"/>
    <xf numFmtId="166" fontId="2" fillId="0" borderId="2" xfId="0" applyNumberFormat="1" applyFont="1" applyBorder="1"/>
    <xf numFmtId="0" fontId="8" fillId="0" borderId="0" xfId="0" applyFont="1"/>
    <xf numFmtId="0" fontId="8" fillId="0" borderId="2" xfId="0" applyFont="1" applyBorder="1"/>
    <xf numFmtId="3" fontId="1" fillId="0" borderId="3" xfId="0" applyNumberFormat="1" applyFont="1" applyBorder="1"/>
    <xf numFmtId="3" fontId="4" fillId="0" borderId="1" xfId="0" applyNumberFormat="1" applyFont="1" applyBorder="1"/>
    <xf numFmtId="8" fontId="2" fillId="0" borderId="0" xfId="0" applyNumberFormat="1" applyFont="1"/>
    <xf numFmtId="8" fontId="2" fillId="0" borderId="2" xfId="0" applyNumberFormat="1" applyFont="1" applyBorder="1"/>
    <xf numFmtId="0" fontId="5" fillId="0" borderId="4" xfId="0" applyFont="1" applyBorder="1"/>
    <xf numFmtId="165" fontId="6" fillId="0" borderId="4" xfId="0" applyNumberFormat="1" applyFont="1" applyBorder="1"/>
    <xf numFmtId="0" fontId="9" fillId="0" borderId="0" xfId="0" applyFont="1"/>
    <xf numFmtId="0" fontId="10" fillId="0" borderId="0" xfId="0" applyFont="1"/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3" xfId="0" applyFont="1" applyBorder="1"/>
    <xf numFmtId="0" fontId="8" fillId="0" borderId="3" xfId="0" applyFont="1" applyBorder="1"/>
    <xf numFmtId="0" fontId="8" fillId="0" borderId="5" xfId="0" applyFont="1" applyBorder="1"/>
    <xf numFmtId="0" fontId="1" fillId="0" borderId="3" xfId="0" applyFont="1" applyBorder="1"/>
    <xf numFmtId="166" fontId="2" fillId="0" borderId="5" xfId="0" applyNumberFormat="1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Fordeling av hotellrom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33-7F42-AFF0-E585429A13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33-7F42-AFF0-E585429A13E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33-7F42-AFF0-E585429A13E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33-7F42-AFF0-E585429A13E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F33-7F42-AFF0-E585429A13E9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Segementer!$Y$4:$Y$8</c:f>
              <c:strCache>
                <c:ptCount val="5"/>
                <c:pt idx="0">
                  <c:v>Sweden</c:v>
                </c:pt>
                <c:pt idx="1">
                  <c:v>Norway</c:v>
                </c:pt>
                <c:pt idx="2">
                  <c:v>Finland</c:v>
                </c:pt>
                <c:pt idx="3">
                  <c:v>Denmark</c:v>
                </c:pt>
                <c:pt idx="4">
                  <c:v>other Europe</c:v>
                </c:pt>
              </c:strCache>
            </c:strRef>
          </c:cat>
          <c:val>
            <c:numRef>
              <c:f>Segementer!$Z$4:$Z$8</c:f>
              <c:numCache>
                <c:formatCode>0%</c:formatCode>
                <c:ptCount val="5"/>
                <c:pt idx="0">
                  <c:v>0.34012553279499308</c:v>
                </c:pt>
                <c:pt idx="1">
                  <c:v>0.28838372030286136</c:v>
                </c:pt>
                <c:pt idx="2">
                  <c:v>0.22140891678506555</c:v>
                </c:pt>
                <c:pt idx="3">
                  <c:v>0.10030034350664532</c:v>
                </c:pt>
                <c:pt idx="4">
                  <c:v>4.9781486610434689E-2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A440-8574-0177DED71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63499</xdr:colOff>
      <xdr:row>12</xdr:row>
      <xdr:rowOff>63500</xdr:rowOff>
    </xdr:from>
    <xdr:to>
      <xdr:col>3</xdr:col>
      <xdr:colOff>399449</xdr:colOff>
      <xdr:row>22</xdr:row>
      <xdr:rowOff>114299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0B19FB3D-7E2A-1A0D-6564-DAB04E0D0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499" y="2959100"/>
          <a:ext cx="2812450" cy="246379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23</xdr:row>
      <xdr:rowOff>139699</xdr:rowOff>
    </xdr:from>
    <xdr:to>
      <xdr:col>5</xdr:col>
      <xdr:colOff>737221</xdr:colOff>
      <xdr:row>39</xdr:row>
      <xdr:rowOff>12700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6F1F1106-0B7B-C502-E581-808CF6526D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" y="5689599"/>
          <a:ext cx="4826621" cy="37338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495300</xdr:colOff>
      <xdr:row>9</xdr:row>
      <xdr:rowOff>114300</xdr:rowOff>
    </xdr:from>
    <xdr:to>
      <xdr:col>29</xdr:col>
      <xdr:colOff>423334</xdr:colOff>
      <xdr:row>24</xdr:row>
      <xdr:rowOff>14111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55A9BE1D-1286-0690-F517-357A5D5BA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24</xdr:col>
      <xdr:colOff>84664</xdr:colOff>
      <xdr:row>36</xdr:row>
      <xdr:rowOff>56446</xdr:rowOff>
    </xdr:from>
    <xdr:to>
      <xdr:col>32</xdr:col>
      <xdr:colOff>282221</xdr:colOff>
      <xdr:row>48</xdr:row>
      <xdr:rowOff>36281</xdr:rowOff>
    </xdr:to>
    <xdr:pic>
      <xdr:nvPicPr>
        <xdr:cNvPr id="8" name="Bilde 7">
          <a:extLst>
            <a:ext uri="{FF2B5EF4-FFF2-40B4-BE49-F238E27FC236}">
              <a16:creationId xmlns:a16="http://schemas.microsoft.com/office/drawing/2014/main" id="{FB15FF74-87D3-0345-0DCB-3212B653F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01331" y="8692446"/>
          <a:ext cx="6858001" cy="2858501"/>
        </a:xfrm>
        <a:prstGeom prst="rect">
          <a:avLst/>
        </a:prstGeom>
      </xdr:spPr>
    </xdr:pic>
    <xdr:clientData/>
  </xdr:twoCellAnchor>
  <xdr:twoCellAnchor editAs="oneCell">
    <xdr:from>
      <xdr:col>23</xdr:col>
      <xdr:colOff>790222</xdr:colOff>
      <xdr:row>26</xdr:row>
      <xdr:rowOff>225778</xdr:rowOff>
    </xdr:from>
    <xdr:to>
      <xdr:col>33</xdr:col>
      <xdr:colOff>183444</xdr:colOff>
      <xdr:row>34</xdr:row>
      <xdr:rowOff>231189</xdr:rowOff>
    </xdr:to>
    <xdr:pic>
      <xdr:nvPicPr>
        <xdr:cNvPr id="9" name="Bilde 8">
          <a:extLst>
            <a:ext uri="{FF2B5EF4-FFF2-40B4-BE49-F238E27FC236}">
              <a16:creationId xmlns:a16="http://schemas.microsoft.com/office/drawing/2014/main" id="{ED030B88-1112-228D-C56C-B3A9E235B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152555" y="6660445"/>
          <a:ext cx="7718778" cy="19245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FABC2-1253-924E-8CB2-F0C03750A097}">
  <dimension ref="A2:G26"/>
  <sheetViews>
    <sheetView showGridLines="0" workbookViewId="0">
      <selection activeCell="G27" sqref="G27"/>
    </sheetView>
  </sheetViews>
  <sheetFormatPr baseColWidth="10" defaultRowHeight="19" x14ac:dyDescent="0.25"/>
  <cols>
    <col min="1" max="16384" width="10.83203125" style="2"/>
  </cols>
  <sheetData>
    <row r="2" spans="1:5" x14ac:dyDescent="0.25">
      <c r="A2" s="2" t="s">
        <v>128</v>
      </c>
    </row>
    <row r="4" spans="1:5" x14ac:dyDescent="0.25">
      <c r="A4" s="2" t="s">
        <v>95</v>
      </c>
    </row>
    <row r="5" spans="1:5" x14ac:dyDescent="0.25">
      <c r="A5" s="1"/>
    </row>
    <row r="6" spans="1:5" x14ac:dyDescent="0.25">
      <c r="A6" s="1" t="s">
        <v>129</v>
      </c>
    </row>
    <row r="7" spans="1:5" x14ac:dyDescent="0.25">
      <c r="A7" s="2" t="s">
        <v>130</v>
      </c>
    </row>
    <row r="8" spans="1:5" x14ac:dyDescent="0.25">
      <c r="A8" s="1"/>
    </row>
    <row r="9" spans="1:5" x14ac:dyDescent="0.25">
      <c r="A9" s="2" t="s">
        <v>131</v>
      </c>
    </row>
    <row r="10" spans="1:5" x14ac:dyDescent="0.25">
      <c r="A10" s="2" t="s">
        <v>132</v>
      </c>
    </row>
    <row r="11" spans="1:5" x14ac:dyDescent="0.25">
      <c r="A11" s="2" t="s">
        <v>133</v>
      </c>
    </row>
    <row r="12" spans="1:5" x14ac:dyDescent="0.25">
      <c r="A12" s="2" t="s">
        <v>134</v>
      </c>
    </row>
    <row r="14" spans="1:5" x14ac:dyDescent="0.25">
      <c r="E14" s="1" t="s">
        <v>135</v>
      </c>
    </row>
    <row r="25" spans="7:7" x14ac:dyDescent="0.25">
      <c r="G25" s="2" t="s">
        <v>136</v>
      </c>
    </row>
    <row r="26" spans="7:7" x14ac:dyDescent="0.25">
      <c r="G26" s="2" t="s">
        <v>137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D41D6-FA1C-5144-915F-9569A5873643}">
  <dimension ref="A1:EP76"/>
  <sheetViews>
    <sheetView showGridLines="0" tabSelected="1" workbookViewId="0">
      <pane xSplit="3" ySplit="3" topLeftCell="G4" activePane="bottomRight" state="frozen"/>
      <selection pane="topRight" activeCell="D1" sqref="D1"/>
      <selection pane="bottomLeft" activeCell="A4" sqref="A4"/>
      <selection pane="bottomRight" activeCell="P42" sqref="P42"/>
    </sheetView>
  </sheetViews>
  <sheetFormatPr baseColWidth="10" defaultRowHeight="19" x14ac:dyDescent="0.25"/>
  <cols>
    <col min="1" max="1" width="16.33203125" style="2" bestFit="1" customWidth="1"/>
    <col min="2" max="2" width="10.83203125" style="4"/>
    <col min="3" max="3" width="37.33203125" style="2" customWidth="1"/>
    <col min="4" max="4" width="10.83203125" style="2"/>
    <col min="5" max="5" width="10.33203125" style="2" customWidth="1"/>
    <col min="6" max="6" width="12.5" style="2" customWidth="1"/>
    <col min="7" max="7" width="10.5" style="2" customWidth="1"/>
    <col min="8" max="8" width="12.83203125" style="2" customWidth="1"/>
    <col min="9" max="9" width="9" style="2" customWidth="1"/>
    <col min="10" max="10" width="11" style="2" customWidth="1"/>
    <col min="11" max="12" width="10" style="2" customWidth="1"/>
    <col min="13" max="13" width="11.1640625" style="2" customWidth="1"/>
    <col min="14" max="14" width="11.33203125" style="2" customWidth="1"/>
    <col min="15" max="15" width="10.33203125" style="2" customWidth="1"/>
    <col min="16" max="16" width="10.33203125" style="4" customWidth="1"/>
    <col min="17" max="19" width="10.33203125" style="2" customWidth="1"/>
    <col min="20" max="26" width="10.83203125" style="2"/>
    <col min="27" max="27" width="10.83203125" style="4"/>
    <col min="28" max="38" width="10.83203125" style="2"/>
    <col min="39" max="39" width="14.83203125" style="2" bestFit="1" customWidth="1"/>
    <col min="40" max="40" width="13.33203125" style="2" bestFit="1" customWidth="1"/>
    <col min="41" max="16384" width="10.83203125" style="2"/>
  </cols>
  <sheetData>
    <row r="1" spans="1:37" x14ac:dyDescent="0.25"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  <c r="Q1" s="7"/>
      <c r="R1" s="7"/>
      <c r="S1" s="7"/>
      <c r="W1" s="1"/>
    </row>
    <row r="3" spans="1:37" x14ac:dyDescent="0.25">
      <c r="A3" s="1" t="s">
        <v>0</v>
      </c>
      <c r="C3" s="2" t="s">
        <v>40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7" t="s">
        <v>10</v>
      </c>
      <c r="L3" s="7" t="s">
        <v>11</v>
      </c>
      <c r="M3" s="7" t="s">
        <v>12</v>
      </c>
      <c r="N3" s="7" t="s">
        <v>13</v>
      </c>
      <c r="O3" s="7" t="s">
        <v>14</v>
      </c>
      <c r="P3" s="8" t="s">
        <v>106</v>
      </c>
      <c r="Q3" s="7" t="s">
        <v>111</v>
      </c>
      <c r="R3" s="7" t="s">
        <v>112</v>
      </c>
      <c r="S3" s="7" t="s">
        <v>113</v>
      </c>
      <c r="U3" s="7" t="s">
        <v>56</v>
      </c>
      <c r="V3" s="7" t="s">
        <v>57</v>
      </c>
      <c r="W3" s="7" t="s">
        <v>58</v>
      </c>
      <c r="X3" s="7" t="s">
        <v>15</v>
      </c>
      <c r="Y3" s="7" t="s">
        <v>16</v>
      </c>
      <c r="Z3" s="7" t="s">
        <v>17</v>
      </c>
      <c r="AA3" s="8" t="s">
        <v>18</v>
      </c>
      <c r="AB3" s="7" t="s">
        <v>19</v>
      </c>
      <c r="AC3" s="7" t="s">
        <v>20</v>
      </c>
      <c r="AD3" s="7" t="s">
        <v>21</v>
      </c>
      <c r="AE3" s="7" t="s">
        <v>22</v>
      </c>
      <c r="AF3" s="7" t="s">
        <v>23</v>
      </c>
      <c r="AG3" s="7" t="s">
        <v>24</v>
      </c>
      <c r="AH3" s="7" t="s">
        <v>25</v>
      </c>
      <c r="AI3" s="7" t="s">
        <v>26</v>
      </c>
      <c r="AJ3" s="7" t="s">
        <v>27</v>
      </c>
      <c r="AK3" s="7" t="s">
        <v>28</v>
      </c>
    </row>
    <row r="4" spans="1:37" x14ac:dyDescent="0.25">
      <c r="A4" s="2" t="s">
        <v>1</v>
      </c>
      <c r="B4" s="4">
        <v>83.3</v>
      </c>
      <c r="C4" s="2" t="s">
        <v>41</v>
      </c>
      <c r="D4" s="15">
        <v>2733</v>
      </c>
      <c r="E4" s="15">
        <v>5276</v>
      </c>
      <c r="F4" s="15">
        <v>5994</v>
      </c>
      <c r="G4" s="15">
        <v>5228</v>
      </c>
      <c r="H4" s="15">
        <v>4526</v>
      </c>
      <c r="I4" s="15">
        <v>5693</v>
      </c>
      <c r="J4" s="15">
        <v>6307</v>
      </c>
      <c r="K4" s="15">
        <v>5410</v>
      </c>
      <c r="L4" s="15">
        <v>4419</v>
      </c>
      <c r="M4" s="15">
        <v>5871</v>
      </c>
      <c r="N4" s="15">
        <v>6182</v>
      </c>
      <c r="O4" s="15">
        <v>5487</v>
      </c>
      <c r="P4" s="16">
        <v>4546</v>
      </c>
      <c r="Q4" s="15"/>
      <c r="R4" s="15"/>
      <c r="S4" s="15"/>
      <c r="T4" s="1"/>
      <c r="U4" s="15">
        <v>18945</v>
      </c>
      <c r="V4" s="15">
        <v>7470</v>
      </c>
      <c r="W4" s="15">
        <v>10086</v>
      </c>
      <c r="X4" s="15">
        <v>19230</v>
      </c>
      <c r="Y4" s="15">
        <v>21935</v>
      </c>
      <c r="Z4" s="15">
        <v>21959</v>
      </c>
      <c r="AA4" s="16">
        <f>Z4*1.03</f>
        <v>22617.77</v>
      </c>
      <c r="AB4" s="15">
        <f>AA4*1.07</f>
        <v>24201.013900000002</v>
      </c>
      <c r="AC4" s="15">
        <f>AB4*1.05</f>
        <v>25411.064595000003</v>
      </c>
      <c r="AD4" s="15">
        <f t="shared" ref="AD4:AK4" si="0">AC4*1.05</f>
        <v>26681.617824750007</v>
      </c>
      <c r="AE4" s="15">
        <f t="shared" si="0"/>
        <v>28015.69871598751</v>
      </c>
      <c r="AF4" s="15">
        <f t="shared" si="0"/>
        <v>29416.483651786886</v>
      </c>
      <c r="AG4" s="15">
        <f t="shared" si="0"/>
        <v>30887.307834376232</v>
      </c>
      <c r="AH4" s="15">
        <f t="shared" si="0"/>
        <v>32431.673226095045</v>
      </c>
      <c r="AI4" s="15">
        <f t="shared" si="0"/>
        <v>34053.256887399795</v>
      </c>
      <c r="AJ4" s="15">
        <f t="shared" si="0"/>
        <v>35755.919731769784</v>
      </c>
      <c r="AK4" s="15">
        <f t="shared" si="0"/>
        <v>37543.715718358275</v>
      </c>
    </row>
    <row r="5" spans="1:37" x14ac:dyDescent="0.25">
      <c r="A5" s="2" t="s">
        <v>2</v>
      </c>
      <c r="B5" s="9">
        <v>216.586524</v>
      </c>
      <c r="C5" s="2" t="s">
        <v>42</v>
      </c>
      <c r="D5" s="15">
        <v>0</v>
      </c>
      <c r="E5" s="15">
        <v>3</v>
      </c>
      <c r="F5" s="15">
        <v>0</v>
      </c>
      <c r="G5" s="15">
        <v>0</v>
      </c>
      <c r="H5" s="15">
        <v>0</v>
      </c>
      <c r="I5" s="15">
        <v>0</v>
      </c>
      <c r="J5" s="15">
        <v>20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6">
        <v>0</v>
      </c>
      <c r="Q5" s="15"/>
      <c r="R5" s="15"/>
      <c r="S5" s="15"/>
      <c r="U5" s="15">
        <v>0</v>
      </c>
      <c r="V5" s="15">
        <v>0</v>
      </c>
      <c r="W5" s="15">
        <v>44</v>
      </c>
      <c r="X5" s="15">
        <v>3</v>
      </c>
      <c r="Y5" s="15">
        <v>20</v>
      </c>
      <c r="Z5" s="15">
        <v>0</v>
      </c>
      <c r="AA5" s="16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  <c r="AK5" s="15">
        <v>0</v>
      </c>
    </row>
    <row r="6" spans="1:37" x14ac:dyDescent="0.25">
      <c r="A6" s="2" t="s">
        <v>36</v>
      </c>
      <c r="B6" s="5">
        <f>B4*B5</f>
        <v>18041.6574492</v>
      </c>
      <c r="C6" s="1" t="s">
        <v>43</v>
      </c>
      <c r="D6" s="13">
        <f t="shared" ref="D6:O6" si="1">SUM(D4:D5)</f>
        <v>2733</v>
      </c>
      <c r="E6" s="13">
        <f t="shared" si="1"/>
        <v>5279</v>
      </c>
      <c r="F6" s="13">
        <f t="shared" si="1"/>
        <v>5994</v>
      </c>
      <c r="G6" s="13">
        <f t="shared" si="1"/>
        <v>5228</v>
      </c>
      <c r="H6" s="13">
        <f t="shared" si="1"/>
        <v>4526</v>
      </c>
      <c r="I6" s="13">
        <f t="shared" si="1"/>
        <v>5693</v>
      </c>
      <c r="J6" s="13">
        <f t="shared" si="1"/>
        <v>6327</v>
      </c>
      <c r="K6" s="13">
        <f t="shared" si="1"/>
        <v>5410</v>
      </c>
      <c r="L6" s="13">
        <f t="shared" si="1"/>
        <v>4419</v>
      </c>
      <c r="M6" s="13">
        <f t="shared" si="1"/>
        <v>5871</v>
      </c>
      <c r="N6" s="13">
        <f t="shared" si="1"/>
        <v>6182</v>
      </c>
      <c r="O6" s="13">
        <f t="shared" si="1"/>
        <v>5487</v>
      </c>
      <c r="P6" s="14">
        <f>SUM(P4:P5)</f>
        <v>4546</v>
      </c>
      <c r="Q6" s="15"/>
      <c r="R6" s="15"/>
      <c r="S6" s="15"/>
      <c r="U6" s="13">
        <f t="shared" ref="U6:Y6" si="2">SUM(U4:U5)</f>
        <v>18945</v>
      </c>
      <c r="V6" s="13">
        <f t="shared" si="2"/>
        <v>7470</v>
      </c>
      <c r="W6" s="13">
        <f t="shared" si="2"/>
        <v>10130</v>
      </c>
      <c r="X6" s="13">
        <f t="shared" si="2"/>
        <v>19233</v>
      </c>
      <c r="Y6" s="13">
        <f t="shared" si="2"/>
        <v>21955</v>
      </c>
      <c r="Z6" s="13">
        <f>SUM(Z4:Z5)</f>
        <v>21959</v>
      </c>
      <c r="AA6" s="14">
        <f t="shared" ref="AA6:AK6" si="3">SUM(AA4:AA5)</f>
        <v>22617.77</v>
      </c>
      <c r="AB6" s="13">
        <f t="shared" si="3"/>
        <v>24201.013900000002</v>
      </c>
      <c r="AC6" s="13">
        <f t="shared" si="3"/>
        <v>25411.064595000003</v>
      </c>
      <c r="AD6" s="13">
        <f t="shared" si="3"/>
        <v>26681.617824750007</v>
      </c>
      <c r="AE6" s="13">
        <f t="shared" si="3"/>
        <v>28015.69871598751</v>
      </c>
      <c r="AF6" s="13">
        <f t="shared" si="3"/>
        <v>29416.483651786886</v>
      </c>
      <c r="AG6" s="13">
        <f t="shared" si="3"/>
        <v>30887.307834376232</v>
      </c>
      <c r="AH6" s="13">
        <f t="shared" si="3"/>
        <v>32431.673226095045</v>
      </c>
      <c r="AI6" s="13">
        <f t="shared" si="3"/>
        <v>34053.256887399795</v>
      </c>
      <c r="AJ6" s="13">
        <f t="shared" si="3"/>
        <v>35755.919731769784</v>
      </c>
      <c r="AK6" s="13">
        <f t="shared" si="3"/>
        <v>37543.715718358275</v>
      </c>
    </row>
    <row r="7" spans="1:37" x14ac:dyDescent="0.25">
      <c r="A7" s="2" t="s">
        <v>37</v>
      </c>
      <c r="B7" s="5">
        <v>135</v>
      </c>
      <c r="C7" s="2" t="s">
        <v>44</v>
      </c>
      <c r="D7" s="15">
        <v>-214</v>
      </c>
      <c r="E7" s="15">
        <v>-392</v>
      </c>
      <c r="F7" s="15">
        <v>-449</v>
      </c>
      <c r="G7" s="15">
        <v>-440</v>
      </c>
      <c r="H7" s="15">
        <v>-362</v>
      </c>
      <c r="I7" s="15">
        <v>-426</v>
      </c>
      <c r="J7" s="15">
        <v>-472</v>
      </c>
      <c r="K7" s="15">
        <v>-438</v>
      </c>
      <c r="L7" s="15">
        <v>-349</v>
      </c>
      <c r="M7" s="15">
        <v>-415</v>
      </c>
      <c r="N7" s="15">
        <v>-443</v>
      </c>
      <c r="O7" s="15">
        <v>-429</v>
      </c>
      <c r="P7" s="16">
        <v>-356</v>
      </c>
      <c r="Q7" s="15"/>
      <c r="R7" s="15"/>
      <c r="S7" s="15"/>
      <c r="U7" s="15">
        <v>-1634</v>
      </c>
      <c r="V7" s="15">
        <v>-611</v>
      </c>
      <c r="W7" s="15">
        <v>-839</v>
      </c>
      <c r="X7" s="15">
        <v>-1495</v>
      </c>
      <c r="Y7" s="15">
        <v>-1698</v>
      </c>
      <c r="Z7" s="15">
        <v>-1634</v>
      </c>
      <c r="AA7" s="16">
        <f>Z7*1.05</f>
        <v>-1715.7</v>
      </c>
      <c r="AB7" s="15">
        <f>AA7*1.07</f>
        <v>-1835.7990000000002</v>
      </c>
      <c r="AC7" s="15">
        <f>AB7*1.04</f>
        <v>-1909.2309600000003</v>
      </c>
      <c r="AD7" s="15">
        <f t="shared" ref="AD7:AK7" si="4">AC7*1.04</f>
        <v>-1985.6001984000004</v>
      </c>
      <c r="AE7" s="15">
        <f t="shared" si="4"/>
        <v>-2065.0242063360006</v>
      </c>
      <c r="AF7" s="15">
        <f t="shared" si="4"/>
        <v>-2147.6251745894406</v>
      </c>
      <c r="AG7" s="15">
        <f t="shared" si="4"/>
        <v>-2233.5301815730181</v>
      </c>
      <c r="AH7" s="15">
        <f t="shared" si="4"/>
        <v>-2322.8713888359389</v>
      </c>
      <c r="AI7" s="15">
        <f t="shared" si="4"/>
        <v>-2415.7862443893764</v>
      </c>
      <c r="AJ7" s="15">
        <f t="shared" si="4"/>
        <v>-2512.4176941649516</v>
      </c>
      <c r="AK7" s="15">
        <f t="shared" si="4"/>
        <v>-2612.9144019315499</v>
      </c>
    </row>
    <row r="8" spans="1:37" x14ac:dyDescent="0.25">
      <c r="A8" s="2" t="s">
        <v>38</v>
      </c>
      <c r="B8" s="5">
        <f>P41</f>
        <v>1133</v>
      </c>
      <c r="C8" s="2" t="s">
        <v>45</v>
      </c>
      <c r="D8" s="15">
        <v>-706</v>
      </c>
      <c r="E8" s="15">
        <v>-854</v>
      </c>
      <c r="F8" s="15">
        <v>-1105</v>
      </c>
      <c r="G8" s="15">
        <v>-1189</v>
      </c>
      <c r="H8" s="15">
        <v>-1041</v>
      </c>
      <c r="I8" s="15">
        <v>-1120</v>
      </c>
      <c r="J8" s="15">
        <v>-1140</v>
      </c>
      <c r="K8" s="15">
        <v>-1236</v>
      </c>
      <c r="L8" s="15">
        <v>-1030</v>
      </c>
      <c r="M8" s="15">
        <v>-1136</v>
      </c>
      <c r="N8" s="15">
        <v>-1171</v>
      </c>
      <c r="O8" s="15">
        <v>-1197</v>
      </c>
      <c r="P8" s="16">
        <v>-1007</v>
      </c>
      <c r="Q8" s="15"/>
      <c r="R8" s="15"/>
      <c r="S8" s="15"/>
      <c r="U8" s="15">
        <v>-4335</v>
      </c>
      <c r="V8" s="15">
        <v>-1751</v>
      </c>
      <c r="W8" s="15">
        <v>-2248</v>
      </c>
      <c r="X8" s="15">
        <v>-3854</v>
      </c>
      <c r="Y8" s="15">
        <v>-4538</v>
      </c>
      <c r="Z8" s="15">
        <v>-4454</v>
      </c>
      <c r="AA8" s="16">
        <f>Z8*1.05</f>
        <v>-4676.7</v>
      </c>
      <c r="AB8" s="15">
        <f t="shared" ref="AB8:AB13" si="5">AA8*1.07</f>
        <v>-5004.0690000000004</v>
      </c>
      <c r="AC8" s="15">
        <f>AB8*1.04</f>
        <v>-5204.2317600000006</v>
      </c>
      <c r="AD8" s="15">
        <f t="shared" ref="AD8:AK8" si="6">AC8*1.04</f>
        <v>-5412.4010304000012</v>
      </c>
      <c r="AE8" s="15">
        <f t="shared" si="6"/>
        <v>-5628.8970716160011</v>
      </c>
      <c r="AF8" s="15">
        <f t="shared" si="6"/>
        <v>-5854.0529544806413</v>
      </c>
      <c r="AG8" s="15">
        <f t="shared" si="6"/>
        <v>-6088.2150726598675</v>
      </c>
      <c r="AH8" s="15">
        <f t="shared" si="6"/>
        <v>-6331.743675566262</v>
      </c>
      <c r="AI8" s="15">
        <f t="shared" si="6"/>
        <v>-6585.0134225889124</v>
      </c>
      <c r="AJ8" s="15">
        <f t="shared" si="6"/>
        <v>-6848.4139594924691</v>
      </c>
      <c r="AK8" s="15">
        <f t="shared" si="6"/>
        <v>-7122.350517872168</v>
      </c>
    </row>
    <row r="9" spans="1:37" x14ac:dyDescent="0.25">
      <c r="A9" s="3" t="s">
        <v>39</v>
      </c>
      <c r="B9" s="6">
        <f>B6-B7+B8</f>
        <v>19039.6574492</v>
      </c>
      <c r="C9" s="2" t="s">
        <v>46</v>
      </c>
      <c r="D9" s="15">
        <v>-1056</v>
      </c>
      <c r="E9" s="15">
        <v>-1577</v>
      </c>
      <c r="F9" s="15">
        <v>-1649</v>
      </c>
      <c r="G9" s="15">
        <v>-1674</v>
      </c>
      <c r="H9" s="15">
        <v>-1582</v>
      </c>
      <c r="I9" s="15">
        <v>-1770</v>
      </c>
      <c r="J9" s="15">
        <v>-1778</v>
      </c>
      <c r="K9" s="15">
        <v>-1752</v>
      </c>
      <c r="L9" s="15">
        <v>-1614</v>
      </c>
      <c r="M9" s="15">
        <v>-1795</v>
      </c>
      <c r="N9" s="15">
        <v>-1703</v>
      </c>
      <c r="O9" s="15">
        <v>-1756</v>
      </c>
      <c r="P9" s="16">
        <v>-1650</v>
      </c>
      <c r="Q9" s="15"/>
      <c r="R9" s="15"/>
      <c r="S9" s="15"/>
      <c r="U9" s="15">
        <v>-5869</v>
      </c>
      <c r="V9" s="15">
        <v>-3489</v>
      </c>
      <c r="W9" s="15">
        <v>-3597</v>
      </c>
      <c r="X9" s="15">
        <v>-5957</v>
      </c>
      <c r="Y9" s="15">
        <v>-6882</v>
      </c>
      <c r="Z9" s="15">
        <v>-6948</v>
      </c>
      <c r="AA9" s="16">
        <f>Z9*1.06</f>
        <v>-7364.88</v>
      </c>
      <c r="AB9" s="15">
        <f t="shared" si="5"/>
        <v>-7880.4216000000006</v>
      </c>
      <c r="AC9" s="15">
        <f>AB9*1.04</f>
        <v>-8195.6384640000015</v>
      </c>
      <c r="AD9" s="15">
        <f t="shared" ref="AD9:AK9" si="7">AC9*1.04</f>
        <v>-8523.464002560002</v>
      </c>
      <c r="AE9" s="15">
        <f t="shared" si="7"/>
        <v>-8864.4025626624025</v>
      </c>
      <c r="AF9" s="15">
        <f t="shared" si="7"/>
        <v>-9218.9786651688992</v>
      </c>
      <c r="AG9" s="15">
        <f t="shared" si="7"/>
        <v>-9587.7378117756562</v>
      </c>
      <c r="AH9" s="15">
        <f t="shared" si="7"/>
        <v>-9971.2473242466822</v>
      </c>
      <c r="AI9" s="15">
        <f t="shared" si="7"/>
        <v>-10370.097217216549</v>
      </c>
      <c r="AJ9" s="15">
        <f t="shared" si="7"/>
        <v>-10784.901105905212</v>
      </c>
      <c r="AK9" s="15">
        <f t="shared" si="7"/>
        <v>-11216.297150141421</v>
      </c>
    </row>
    <row r="10" spans="1:37" x14ac:dyDescent="0.25">
      <c r="C10" s="2" t="s">
        <v>47</v>
      </c>
      <c r="D10" s="15">
        <v>-188</v>
      </c>
      <c r="E10" s="15">
        <f>-35-506</f>
        <v>-541</v>
      </c>
      <c r="F10" s="15">
        <f>-59-630</f>
        <v>-689</v>
      </c>
      <c r="G10" s="15">
        <f>-52-482</f>
        <v>-534</v>
      </c>
      <c r="H10" s="15">
        <v>-388</v>
      </c>
      <c r="I10" s="15">
        <v>-598</v>
      </c>
      <c r="J10" s="15">
        <v>-717</v>
      </c>
      <c r="K10" s="15">
        <v>-507</v>
      </c>
      <c r="L10" s="15">
        <v>-343</v>
      </c>
      <c r="M10" s="15">
        <v>-612</v>
      </c>
      <c r="N10" s="15">
        <v>-716</v>
      </c>
      <c r="O10" s="15">
        <v>-486</v>
      </c>
      <c r="P10" s="16">
        <v>-346</v>
      </c>
      <c r="Q10" s="15"/>
      <c r="R10" s="15"/>
      <c r="S10" s="15"/>
      <c r="U10" s="15">
        <f>-74-1696</f>
        <v>-1770</v>
      </c>
      <c r="V10" s="15">
        <f>492-424</f>
        <v>68</v>
      </c>
      <c r="W10" s="15">
        <f>79-780</f>
        <v>-701</v>
      </c>
      <c r="X10" s="15">
        <f>-159-1792</f>
        <v>-1951</v>
      </c>
      <c r="Y10" s="15">
        <v>-2209</v>
      </c>
      <c r="Z10" s="15">
        <v>-2157</v>
      </c>
      <c r="AA10" s="16">
        <f>Z10*1.02</f>
        <v>-2200.14</v>
      </c>
      <c r="AB10" s="15">
        <f t="shared" si="5"/>
        <v>-2354.1498000000001</v>
      </c>
      <c r="AC10" s="15">
        <f>AB10*1.04</f>
        <v>-2448.3157920000003</v>
      </c>
      <c r="AD10" s="15">
        <f t="shared" ref="AD10:AK10" si="8">AC10*1.04</f>
        <v>-2546.2484236800005</v>
      </c>
      <c r="AE10" s="15">
        <f t="shared" si="8"/>
        <v>-2648.0983606272007</v>
      </c>
      <c r="AF10" s="15">
        <f t="shared" si="8"/>
        <v>-2754.0222950522889</v>
      </c>
      <c r="AG10" s="15">
        <f t="shared" si="8"/>
        <v>-2864.1831868543804</v>
      </c>
      <c r="AH10" s="15">
        <f t="shared" si="8"/>
        <v>-2978.7505143285557</v>
      </c>
      <c r="AI10" s="15">
        <f t="shared" si="8"/>
        <v>-3097.9005349016979</v>
      </c>
      <c r="AJ10" s="15">
        <f t="shared" si="8"/>
        <v>-3221.8165562977661</v>
      </c>
      <c r="AK10" s="15">
        <f t="shared" si="8"/>
        <v>-3350.6892185496768</v>
      </c>
    </row>
    <row r="11" spans="1:37" x14ac:dyDescent="0.25">
      <c r="C11" s="2" t="s">
        <v>48</v>
      </c>
      <c r="D11" s="15">
        <v>-27</v>
      </c>
      <c r="E11" s="15">
        <v>-75</v>
      </c>
      <c r="F11" s="15">
        <v>-20</v>
      </c>
      <c r="G11" s="15">
        <v>-9</v>
      </c>
      <c r="H11" s="15">
        <v>-14</v>
      </c>
      <c r="I11" s="15">
        <v>-2</v>
      </c>
      <c r="J11" s="15">
        <v>0</v>
      </c>
      <c r="K11" s="15">
        <v>-1</v>
      </c>
      <c r="L11" s="15">
        <v>-2</v>
      </c>
      <c r="M11" s="15">
        <v>-11</v>
      </c>
      <c r="N11" s="15">
        <v>-9</v>
      </c>
      <c r="O11" s="15">
        <v>-6</v>
      </c>
      <c r="P11" s="16">
        <v>-28</v>
      </c>
      <c r="Q11" s="15"/>
      <c r="R11" s="15"/>
      <c r="S11" s="15"/>
      <c r="T11" s="1"/>
      <c r="U11" s="15">
        <v>-81</v>
      </c>
      <c r="V11" s="15">
        <v>-32</v>
      </c>
      <c r="W11" s="15">
        <v>-52</v>
      </c>
      <c r="X11" s="15">
        <v>-131</v>
      </c>
      <c r="Y11" s="15">
        <v>-17</v>
      </c>
      <c r="Z11" s="15">
        <v>-28</v>
      </c>
      <c r="AA11" s="16">
        <f t="shared" ref="AA11:AA13" si="9">Z11*1.03</f>
        <v>-28.84</v>
      </c>
      <c r="AB11" s="15">
        <f t="shared" si="5"/>
        <v>-30.858800000000002</v>
      </c>
      <c r="AC11" s="15">
        <f t="shared" ref="AC11:AK12" si="10">AB11*1.05</f>
        <v>-32.401740000000004</v>
      </c>
      <c r="AD11" s="15">
        <f t="shared" si="10"/>
        <v>-34.021827000000009</v>
      </c>
      <c r="AE11" s="15">
        <f t="shared" si="10"/>
        <v>-35.722918350000008</v>
      </c>
      <c r="AF11" s="15">
        <f t="shared" si="10"/>
        <v>-37.509064267500008</v>
      </c>
      <c r="AG11" s="15">
        <f t="shared" si="10"/>
        <v>-39.384517480875012</v>
      </c>
      <c r="AH11" s="15">
        <f t="shared" si="10"/>
        <v>-41.353743354918763</v>
      </c>
      <c r="AI11" s="15">
        <f t="shared" si="10"/>
        <v>-43.4214305226647</v>
      </c>
      <c r="AJ11" s="15">
        <f t="shared" si="10"/>
        <v>-45.59250204879794</v>
      </c>
      <c r="AK11" s="15">
        <f t="shared" si="10"/>
        <v>-47.872127151237841</v>
      </c>
    </row>
    <row r="12" spans="1:37" x14ac:dyDescent="0.25">
      <c r="C12" s="2" t="s">
        <v>49</v>
      </c>
      <c r="D12" s="15">
        <v>0</v>
      </c>
      <c r="E12" s="15">
        <v>0</v>
      </c>
      <c r="F12" s="15">
        <v>0</v>
      </c>
      <c r="G12" s="15">
        <v>-16</v>
      </c>
      <c r="H12" s="15">
        <v>-3</v>
      </c>
      <c r="I12" s="15">
        <v>0</v>
      </c>
      <c r="J12" s="15">
        <v>0</v>
      </c>
      <c r="K12" s="15">
        <v>-12</v>
      </c>
      <c r="L12" s="15">
        <v>0</v>
      </c>
      <c r="M12" s="15">
        <v>0</v>
      </c>
      <c r="N12" s="15">
        <v>-18</v>
      </c>
      <c r="O12" s="15">
        <v>0</v>
      </c>
      <c r="P12" s="16">
        <v>0</v>
      </c>
      <c r="Q12" s="15"/>
      <c r="R12" s="15"/>
      <c r="S12" s="15"/>
      <c r="T12" s="15"/>
      <c r="U12" s="15">
        <v>169</v>
      </c>
      <c r="V12" s="15">
        <v>-269</v>
      </c>
      <c r="W12" s="15">
        <v>7</v>
      </c>
      <c r="X12" s="15">
        <v>-16</v>
      </c>
      <c r="Y12" s="15">
        <v>-14</v>
      </c>
      <c r="Z12" s="15">
        <v>-18</v>
      </c>
      <c r="AA12" s="16">
        <f t="shared" si="9"/>
        <v>-18.54</v>
      </c>
      <c r="AB12" s="15">
        <f t="shared" si="5"/>
        <v>-19.837800000000001</v>
      </c>
      <c r="AC12" s="15">
        <f t="shared" si="10"/>
        <v>-20.829690000000003</v>
      </c>
      <c r="AD12" s="15">
        <f t="shared" si="10"/>
        <v>-21.871174500000006</v>
      </c>
      <c r="AE12" s="15">
        <f t="shared" si="10"/>
        <v>-22.964733225000007</v>
      </c>
      <c r="AF12" s="15">
        <f t="shared" si="10"/>
        <v>-24.11296988625001</v>
      </c>
      <c r="AG12" s="15">
        <f t="shared" si="10"/>
        <v>-25.318618380562512</v>
      </c>
      <c r="AH12" s="15">
        <f t="shared" si="10"/>
        <v>-26.584549299590638</v>
      </c>
      <c r="AI12" s="15">
        <f t="shared" si="10"/>
        <v>-27.913776764570169</v>
      </c>
      <c r="AJ12" s="15">
        <f t="shared" si="10"/>
        <v>-29.309465602798678</v>
      </c>
      <c r="AK12" s="15">
        <f t="shared" si="10"/>
        <v>-30.774938882938613</v>
      </c>
    </row>
    <row r="13" spans="1:37" x14ac:dyDescent="0.25">
      <c r="C13" s="2" t="s">
        <v>50</v>
      </c>
      <c r="D13" s="15">
        <v>-820</v>
      </c>
      <c r="E13" s="15">
        <v>-825</v>
      </c>
      <c r="F13" s="15">
        <v>-849</v>
      </c>
      <c r="G13" s="15">
        <v>-878</v>
      </c>
      <c r="H13" s="15">
        <v>-938</v>
      </c>
      <c r="I13" s="15">
        <v>-943</v>
      </c>
      <c r="J13" s="15">
        <v>-970</v>
      </c>
      <c r="K13" s="15">
        <v>-962</v>
      </c>
      <c r="L13" s="15">
        <v>-955</v>
      </c>
      <c r="M13" s="15">
        <v>-975</v>
      </c>
      <c r="N13" s="15">
        <v>-967</v>
      </c>
      <c r="O13" s="15">
        <v>-987</v>
      </c>
      <c r="P13" s="16">
        <v>-966</v>
      </c>
      <c r="Q13" s="15"/>
      <c r="R13" s="15"/>
      <c r="S13" s="15"/>
      <c r="U13" s="15">
        <v>-3281</v>
      </c>
      <c r="V13" s="15">
        <v>-6187</v>
      </c>
      <c r="W13" s="15">
        <v>-3139</v>
      </c>
      <c r="X13" s="15">
        <v>-3372</v>
      </c>
      <c r="Y13" s="15">
        <v>-3812</v>
      </c>
      <c r="Z13" s="15">
        <v>-3884</v>
      </c>
      <c r="AA13" s="16">
        <f t="shared" si="9"/>
        <v>-4000.52</v>
      </c>
      <c r="AB13" s="15">
        <f t="shared" si="5"/>
        <v>-4280.5564000000004</v>
      </c>
      <c r="AC13" s="15">
        <f>AB13*1.04</f>
        <v>-4451.7786560000004</v>
      </c>
      <c r="AD13" s="15">
        <f t="shared" ref="AD13:AK13" si="11">AC13*1.04</f>
        <v>-4629.8498022400008</v>
      </c>
      <c r="AE13" s="15">
        <f t="shared" si="11"/>
        <v>-4815.043794329601</v>
      </c>
      <c r="AF13" s="15">
        <f t="shared" si="11"/>
        <v>-5007.6455461027854</v>
      </c>
      <c r="AG13" s="15">
        <f t="shared" si="11"/>
        <v>-5207.9513679468973</v>
      </c>
      <c r="AH13" s="15">
        <f t="shared" si="11"/>
        <v>-5416.2694226647736</v>
      </c>
      <c r="AI13" s="15">
        <f t="shared" si="11"/>
        <v>-5632.9201995713647</v>
      </c>
      <c r="AJ13" s="15">
        <f t="shared" si="11"/>
        <v>-5858.2370075542194</v>
      </c>
      <c r="AK13" s="15">
        <f t="shared" si="11"/>
        <v>-6092.5664878563884</v>
      </c>
    </row>
    <row r="14" spans="1:37" x14ac:dyDescent="0.25">
      <c r="C14" s="1" t="s">
        <v>51</v>
      </c>
      <c r="D14" s="13">
        <f t="shared" ref="D14:O14" si="12">SUM(D6:D13)</f>
        <v>-278</v>
      </c>
      <c r="E14" s="13">
        <f t="shared" si="12"/>
        <v>1015</v>
      </c>
      <c r="F14" s="13">
        <f t="shared" si="12"/>
        <v>1233</v>
      </c>
      <c r="G14" s="13">
        <f t="shared" si="12"/>
        <v>488</v>
      </c>
      <c r="H14" s="13">
        <f t="shared" si="12"/>
        <v>198</v>
      </c>
      <c r="I14" s="13">
        <f t="shared" si="12"/>
        <v>834</v>
      </c>
      <c r="J14" s="13">
        <f t="shared" si="12"/>
        <v>1250</v>
      </c>
      <c r="K14" s="13">
        <f t="shared" si="12"/>
        <v>502</v>
      </c>
      <c r="L14" s="13">
        <f t="shared" si="12"/>
        <v>126</v>
      </c>
      <c r="M14" s="13">
        <f t="shared" si="12"/>
        <v>927</v>
      </c>
      <c r="N14" s="13">
        <f t="shared" si="12"/>
        <v>1155</v>
      </c>
      <c r="O14" s="13">
        <f t="shared" si="12"/>
        <v>626</v>
      </c>
      <c r="P14" s="14">
        <f>SUM(P6:P13)</f>
        <v>193</v>
      </c>
      <c r="Q14" s="15"/>
      <c r="R14" s="15"/>
      <c r="S14" s="15"/>
      <c r="U14" s="13">
        <f t="shared" ref="U14:Y14" si="13">SUM(U6:U13)</f>
        <v>2144</v>
      </c>
      <c r="V14" s="13">
        <f t="shared" si="13"/>
        <v>-4801</v>
      </c>
      <c r="W14" s="13">
        <f t="shared" si="13"/>
        <v>-439</v>
      </c>
      <c r="X14" s="13">
        <f t="shared" si="13"/>
        <v>2457</v>
      </c>
      <c r="Y14" s="13">
        <f t="shared" si="13"/>
        <v>2785</v>
      </c>
      <c r="Z14" s="13">
        <f>SUM(Z6:Z13)</f>
        <v>2836</v>
      </c>
      <c r="AA14" s="14">
        <f t="shared" ref="AA14:AK14" si="14">SUM(AA6:AA13)</f>
        <v>2612.4499999999985</v>
      </c>
      <c r="AB14" s="13">
        <f t="shared" si="14"/>
        <v>2795.3215000000009</v>
      </c>
      <c r="AC14" s="13">
        <f t="shared" si="14"/>
        <v>3148.6375329999983</v>
      </c>
      <c r="AD14" s="13">
        <f t="shared" si="14"/>
        <v>3528.1613659700033</v>
      </c>
      <c r="AE14" s="13">
        <f t="shared" si="14"/>
        <v>3935.545068841303</v>
      </c>
      <c r="AF14" s="13">
        <f t="shared" si="14"/>
        <v>4372.5369822390803</v>
      </c>
      <c r="AG14" s="13">
        <f t="shared" si="14"/>
        <v>4840.9870777049719</v>
      </c>
      <c r="AH14" s="13">
        <f t="shared" si="14"/>
        <v>5342.8526077983252</v>
      </c>
      <c r="AI14" s="13">
        <f t="shared" si="14"/>
        <v>5880.2040614446596</v>
      </c>
      <c r="AJ14" s="13">
        <f t="shared" si="14"/>
        <v>6455.2314407035692</v>
      </c>
      <c r="AK14" s="13">
        <f t="shared" si="14"/>
        <v>7070.2508759728944</v>
      </c>
    </row>
    <row r="15" spans="1:37" x14ac:dyDescent="0.25">
      <c r="C15" s="2" t="s">
        <v>52</v>
      </c>
      <c r="D15" s="15">
        <v>-453</v>
      </c>
      <c r="E15" s="15">
        <v>-479</v>
      </c>
      <c r="F15" s="15">
        <v>-436</v>
      </c>
      <c r="G15" s="15">
        <v>-438</v>
      </c>
      <c r="H15" s="15">
        <v>-522</v>
      </c>
      <c r="I15" s="15">
        <v>-503</v>
      </c>
      <c r="J15" s="15">
        <v>-510</v>
      </c>
      <c r="K15" s="15">
        <v>-528</v>
      </c>
      <c r="L15" s="15">
        <v>-504</v>
      </c>
      <c r="M15" s="15">
        <v>-519</v>
      </c>
      <c r="N15" s="15">
        <v>-473</v>
      </c>
      <c r="O15" s="15">
        <v>-479</v>
      </c>
      <c r="P15" s="16">
        <v>-454</v>
      </c>
      <c r="Q15" s="15"/>
      <c r="R15" s="15"/>
      <c r="S15" s="15"/>
      <c r="U15" s="15">
        <v>-1242</v>
      </c>
      <c r="V15" s="15">
        <v>-1281</v>
      </c>
      <c r="W15" s="15">
        <v>-1606</v>
      </c>
      <c r="X15" s="15">
        <v>-1808</v>
      </c>
      <c r="Y15" s="15">
        <v>-2064</v>
      </c>
      <c r="Z15" s="15">
        <v>-1975</v>
      </c>
      <c r="AA15" s="16">
        <v>-1000</v>
      </c>
      <c r="AB15" s="15">
        <v>-1000</v>
      </c>
      <c r="AC15" s="15">
        <v>-1000</v>
      </c>
      <c r="AD15" s="15">
        <v>-1000</v>
      </c>
      <c r="AE15" s="15">
        <v>-1000</v>
      </c>
      <c r="AF15" s="15">
        <v>-1000</v>
      </c>
      <c r="AG15" s="15">
        <v>-1000</v>
      </c>
      <c r="AH15" s="15">
        <v>-1000</v>
      </c>
      <c r="AI15" s="15">
        <v>-1000</v>
      </c>
      <c r="AJ15" s="15">
        <v>-1000</v>
      </c>
      <c r="AK15" s="15">
        <v>-1000</v>
      </c>
    </row>
    <row r="16" spans="1:37" x14ac:dyDescent="0.25">
      <c r="C16" s="2" t="s">
        <v>53</v>
      </c>
      <c r="D16" s="15">
        <f t="shared" ref="D16:O16" si="15">SUM(D14:D15)</f>
        <v>-731</v>
      </c>
      <c r="E16" s="15">
        <f t="shared" si="15"/>
        <v>536</v>
      </c>
      <c r="F16" s="15">
        <f t="shared" si="15"/>
        <v>797</v>
      </c>
      <c r="G16" s="15">
        <f t="shared" si="15"/>
        <v>50</v>
      </c>
      <c r="H16" s="15">
        <f t="shared" si="15"/>
        <v>-324</v>
      </c>
      <c r="I16" s="15">
        <f t="shared" si="15"/>
        <v>331</v>
      </c>
      <c r="J16" s="15">
        <f t="shared" si="15"/>
        <v>740</v>
      </c>
      <c r="K16" s="15">
        <f t="shared" si="15"/>
        <v>-26</v>
      </c>
      <c r="L16" s="15">
        <f t="shared" si="15"/>
        <v>-378</v>
      </c>
      <c r="M16" s="15">
        <f t="shared" si="15"/>
        <v>408</v>
      </c>
      <c r="N16" s="15">
        <f t="shared" si="15"/>
        <v>682</v>
      </c>
      <c r="O16" s="15">
        <f t="shared" si="15"/>
        <v>147</v>
      </c>
      <c r="P16" s="16">
        <f>SUM(P14:P15)</f>
        <v>-261</v>
      </c>
      <c r="Q16" s="15"/>
      <c r="R16" s="15"/>
      <c r="S16" s="15"/>
      <c r="U16" s="15">
        <f t="shared" ref="U16:Y16" si="16">SUM(U14:U15)</f>
        <v>902</v>
      </c>
      <c r="V16" s="15">
        <f t="shared" si="16"/>
        <v>-6082</v>
      </c>
      <c r="W16" s="15">
        <f t="shared" si="16"/>
        <v>-2045</v>
      </c>
      <c r="X16" s="15">
        <f t="shared" si="16"/>
        <v>649</v>
      </c>
      <c r="Y16" s="15">
        <f t="shared" si="16"/>
        <v>721</v>
      </c>
      <c r="Z16" s="15">
        <f>SUM(Z14:Z15)</f>
        <v>861</v>
      </c>
      <c r="AA16" s="16">
        <f t="shared" ref="AA16:AK16" si="17">SUM(AA14:AA15)</f>
        <v>1612.4499999999985</v>
      </c>
      <c r="AB16" s="15">
        <f t="shared" si="17"/>
        <v>1795.3215000000009</v>
      </c>
      <c r="AC16" s="15">
        <f t="shared" si="17"/>
        <v>2148.6375329999983</v>
      </c>
      <c r="AD16" s="15">
        <f t="shared" si="17"/>
        <v>2528.1613659700033</v>
      </c>
      <c r="AE16" s="15">
        <f t="shared" si="17"/>
        <v>2935.545068841303</v>
      </c>
      <c r="AF16" s="15">
        <f t="shared" si="17"/>
        <v>3372.5369822390803</v>
      </c>
      <c r="AG16" s="15">
        <f t="shared" si="17"/>
        <v>3840.9870777049719</v>
      </c>
      <c r="AH16" s="15">
        <f t="shared" si="17"/>
        <v>4342.8526077983252</v>
      </c>
      <c r="AI16" s="15">
        <f t="shared" si="17"/>
        <v>4880.2040614446596</v>
      </c>
      <c r="AJ16" s="15">
        <f t="shared" si="17"/>
        <v>5455.2314407035692</v>
      </c>
      <c r="AK16" s="15">
        <f t="shared" si="17"/>
        <v>6070.2508759728944</v>
      </c>
    </row>
    <row r="17" spans="3:146" x14ac:dyDescent="0.25">
      <c r="C17" s="2" t="s">
        <v>54</v>
      </c>
      <c r="D17" s="2">
        <v>93</v>
      </c>
      <c r="E17" s="10">
        <v>-104</v>
      </c>
      <c r="F17" s="10">
        <v>-163</v>
      </c>
      <c r="G17" s="10">
        <v>-48</v>
      </c>
      <c r="H17" s="10">
        <v>21</v>
      </c>
      <c r="I17" s="10">
        <v>-59</v>
      </c>
      <c r="J17" s="10">
        <v>-182</v>
      </c>
      <c r="K17" s="24">
        <v>67</v>
      </c>
      <c r="L17" s="10">
        <v>51</v>
      </c>
      <c r="M17" s="10">
        <v>-98</v>
      </c>
      <c r="N17" s="10">
        <v>-146</v>
      </c>
      <c r="O17" s="10">
        <v>-15</v>
      </c>
      <c r="P17" s="19">
        <v>43</v>
      </c>
      <c r="Q17" s="10"/>
      <c r="R17" s="10"/>
      <c r="S17" s="10"/>
      <c r="U17" s="15">
        <v>-177</v>
      </c>
      <c r="V17" s="15">
        <v>130</v>
      </c>
      <c r="W17" s="15">
        <v>367</v>
      </c>
      <c r="X17" s="15">
        <v>-221</v>
      </c>
      <c r="Y17" s="15">
        <v>-152</v>
      </c>
      <c r="Z17" s="15">
        <v>-209</v>
      </c>
      <c r="AA17" s="16">
        <f>AA16*-0.22</f>
        <v>-354.73899999999963</v>
      </c>
      <c r="AB17" s="15">
        <f t="shared" ref="AB17:AJ17" si="18">AB16*-0.22</f>
        <v>-394.97073000000023</v>
      </c>
      <c r="AC17" s="15">
        <f t="shared" si="18"/>
        <v>-472.7002572599996</v>
      </c>
      <c r="AD17" s="15">
        <f t="shared" si="18"/>
        <v>-556.1955005134007</v>
      </c>
      <c r="AE17" s="15">
        <f t="shared" si="18"/>
        <v>-645.81991514508661</v>
      </c>
      <c r="AF17" s="15">
        <f t="shared" si="18"/>
        <v>-741.95813609259767</v>
      </c>
      <c r="AG17" s="15">
        <f t="shared" si="18"/>
        <v>-845.01715709509381</v>
      </c>
      <c r="AH17" s="15">
        <f t="shared" si="18"/>
        <v>-955.42757371563152</v>
      </c>
      <c r="AI17" s="15">
        <f t="shared" si="18"/>
        <v>-1073.644893517825</v>
      </c>
      <c r="AJ17" s="15">
        <f t="shared" si="18"/>
        <v>-1200.1509169547853</v>
      </c>
      <c r="AK17" s="15">
        <f>AK16*-0.22</f>
        <v>-1335.4551927140367</v>
      </c>
    </row>
    <row r="18" spans="3:146" x14ac:dyDescent="0.25">
      <c r="C18" s="1" t="s">
        <v>55</v>
      </c>
      <c r="D18" s="23">
        <f t="shared" ref="D18:O18" si="19">SUM(D16:D17)</f>
        <v>-638</v>
      </c>
      <c r="E18" s="23">
        <f t="shared" si="19"/>
        <v>432</v>
      </c>
      <c r="F18" s="23">
        <f t="shared" si="19"/>
        <v>634</v>
      </c>
      <c r="G18" s="23">
        <f t="shared" si="19"/>
        <v>2</v>
      </c>
      <c r="H18" s="23">
        <f t="shared" si="19"/>
        <v>-303</v>
      </c>
      <c r="I18" s="23">
        <f t="shared" si="19"/>
        <v>272</v>
      </c>
      <c r="J18" s="23">
        <f t="shared" si="19"/>
        <v>558</v>
      </c>
      <c r="K18" s="23">
        <f t="shared" si="19"/>
        <v>41</v>
      </c>
      <c r="L18" s="23">
        <f t="shared" si="19"/>
        <v>-327</v>
      </c>
      <c r="M18" s="23">
        <f t="shared" si="19"/>
        <v>310</v>
      </c>
      <c r="N18" s="23">
        <f t="shared" si="19"/>
        <v>536</v>
      </c>
      <c r="O18" s="23">
        <f t="shared" si="19"/>
        <v>132</v>
      </c>
      <c r="P18" s="20">
        <f>SUM(P16:P17)</f>
        <v>-218</v>
      </c>
      <c r="Q18" s="10"/>
      <c r="R18" s="10"/>
      <c r="S18" s="10"/>
      <c r="U18" s="13">
        <f t="shared" ref="U18:Y18" si="20">SUM(U16:U17)</f>
        <v>725</v>
      </c>
      <c r="V18" s="13">
        <f t="shared" si="20"/>
        <v>-5952</v>
      </c>
      <c r="W18" s="13">
        <f t="shared" si="20"/>
        <v>-1678</v>
      </c>
      <c r="X18" s="13">
        <f t="shared" si="20"/>
        <v>428</v>
      </c>
      <c r="Y18" s="13">
        <f t="shared" si="20"/>
        <v>569</v>
      </c>
      <c r="Z18" s="13">
        <f>SUM(Z16:Z17)</f>
        <v>652</v>
      </c>
      <c r="AA18" s="14">
        <f t="shared" ref="AA18:AK18" si="21">SUM(AA16:AA17)</f>
        <v>1257.7109999999989</v>
      </c>
      <c r="AB18" s="13">
        <f t="shared" si="21"/>
        <v>1400.3507700000007</v>
      </c>
      <c r="AC18" s="13">
        <f t="shared" si="21"/>
        <v>1675.9372757399988</v>
      </c>
      <c r="AD18" s="13">
        <f t="shared" si="21"/>
        <v>1971.9658654566026</v>
      </c>
      <c r="AE18" s="13">
        <f t="shared" si="21"/>
        <v>2289.7251536962162</v>
      </c>
      <c r="AF18" s="13">
        <f t="shared" si="21"/>
        <v>2630.5788461464826</v>
      </c>
      <c r="AG18" s="13">
        <f t="shared" si="21"/>
        <v>2995.969920609878</v>
      </c>
      <c r="AH18" s="13">
        <f t="shared" si="21"/>
        <v>3387.4250340826939</v>
      </c>
      <c r="AI18" s="13">
        <f t="shared" si="21"/>
        <v>3806.5591679268346</v>
      </c>
      <c r="AJ18" s="13">
        <f t="shared" si="21"/>
        <v>4255.0805237487839</v>
      </c>
      <c r="AK18" s="13">
        <f t="shared" si="21"/>
        <v>4734.7956832588579</v>
      </c>
      <c r="AL18" s="13">
        <f>AK18*(1+$AN$22)</f>
        <v>4687.4477264262696</v>
      </c>
      <c r="AM18" s="13">
        <f t="shared" ref="AM18:CX18" si="22">AL18*(1+$AN$22)</f>
        <v>4640.5732491620065</v>
      </c>
      <c r="AN18" s="13">
        <f t="shared" si="22"/>
        <v>4594.1675166703862</v>
      </c>
      <c r="AO18" s="13">
        <f t="shared" si="22"/>
        <v>4548.2258415036822</v>
      </c>
      <c r="AP18" s="13">
        <f t="shared" si="22"/>
        <v>4502.7435830886452</v>
      </c>
      <c r="AQ18" s="13">
        <f t="shared" si="22"/>
        <v>4457.7161472577591</v>
      </c>
      <c r="AR18" s="13">
        <f t="shared" si="22"/>
        <v>4413.1389857851818</v>
      </c>
      <c r="AS18" s="13">
        <f t="shared" si="22"/>
        <v>4369.0075959273299</v>
      </c>
      <c r="AT18" s="13">
        <f t="shared" si="22"/>
        <v>4325.3175199680563</v>
      </c>
      <c r="AU18" s="13">
        <f t="shared" si="22"/>
        <v>4282.064344768376</v>
      </c>
      <c r="AV18" s="13">
        <f t="shared" si="22"/>
        <v>4239.2437013206918</v>
      </c>
      <c r="AW18" s="13">
        <f t="shared" si="22"/>
        <v>4196.8512643074846</v>
      </c>
      <c r="AX18" s="13">
        <f t="shared" si="22"/>
        <v>4154.8827516644096</v>
      </c>
      <c r="AY18" s="13">
        <f t="shared" si="22"/>
        <v>4113.3339241477652</v>
      </c>
      <c r="AZ18" s="13">
        <f t="shared" si="22"/>
        <v>4072.2005849062875</v>
      </c>
      <c r="BA18" s="13">
        <f t="shared" si="22"/>
        <v>4031.4785790572246</v>
      </c>
      <c r="BB18" s="13">
        <f t="shared" si="22"/>
        <v>3991.1637932666522</v>
      </c>
      <c r="BC18" s="13">
        <f t="shared" si="22"/>
        <v>3951.2521553339857</v>
      </c>
      <c r="BD18" s="13">
        <f t="shared" si="22"/>
        <v>3911.7396337806458</v>
      </c>
      <c r="BE18" s="13">
        <f t="shared" si="22"/>
        <v>3872.6222374428394</v>
      </c>
      <c r="BF18" s="13">
        <f t="shared" si="22"/>
        <v>3833.8960150684111</v>
      </c>
      <c r="BG18" s="13">
        <f t="shared" si="22"/>
        <v>3795.5570549177269</v>
      </c>
      <c r="BH18" s="13">
        <f t="shared" si="22"/>
        <v>3757.6014843685498</v>
      </c>
      <c r="BI18" s="13">
        <f t="shared" si="22"/>
        <v>3720.0254695248641</v>
      </c>
      <c r="BJ18" s="13">
        <f t="shared" si="22"/>
        <v>3682.8252148296156</v>
      </c>
      <c r="BK18" s="13">
        <f t="shared" si="22"/>
        <v>3645.9969626813195</v>
      </c>
      <c r="BL18" s="13">
        <f t="shared" si="22"/>
        <v>3609.5369930545062</v>
      </c>
      <c r="BM18" s="13">
        <f t="shared" si="22"/>
        <v>3573.4416231239611</v>
      </c>
      <c r="BN18" s="13">
        <f t="shared" si="22"/>
        <v>3537.7072068927214</v>
      </c>
      <c r="BO18" s="13">
        <f t="shared" si="22"/>
        <v>3502.3301348237942</v>
      </c>
      <c r="BP18" s="13">
        <f t="shared" si="22"/>
        <v>3467.3068334755562</v>
      </c>
      <c r="BQ18" s="13">
        <f t="shared" si="22"/>
        <v>3432.6337651408007</v>
      </c>
      <c r="BR18" s="13">
        <f t="shared" si="22"/>
        <v>3398.3074274893929</v>
      </c>
      <c r="BS18" s="13">
        <f t="shared" si="22"/>
        <v>3364.3243532144988</v>
      </c>
      <c r="BT18" s="13">
        <f t="shared" si="22"/>
        <v>3330.681109682354</v>
      </c>
      <c r="BU18" s="13">
        <f t="shared" si="22"/>
        <v>3297.3742985855306</v>
      </c>
      <c r="BV18" s="13">
        <f t="shared" si="22"/>
        <v>3264.400555599675</v>
      </c>
      <c r="BW18" s="13">
        <f t="shared" si="22"/>
        <v>3231.7565500436781</v>
      </c>
      <c r="BX18" s="13">
        <f t="shared" si="22"/>
        <v>3199.4389845432411</v>
      </c>
      <c r="BY18" s="13">
        <f t="shared" si="22"/>
        <v>3167.4445946978085</v>
      </c>
      <c r="BZ18" s="13">
        <f t="shared" si="22"/>
        <v>3135.7701487508302</v>
      </c>
      <c r="CA18" s="13">
        <f t="shared" si="22"/>
        <v>3104.4124472633221</v>
      </c>
      <c r="CB18" s="13">
        <f t="shared" si="22"/>
        <v>3073.368322790689</v>
      </c>
      <c r="CC18" s="13">
        <f t="shared" si="22"/>
        <v>3042.634639562782</v>
      </c>
      <c r="CD18" s="13">
        <f t="shared" si="22"/>
        <v>3012.2082931671544</v>
      </c>
      <c r="CE18" s="13">
        <f t="shared" si="22"/>
        <v>2982.0862102354827</v>
      </c>
      <c r="CF18" s="13">
        <f t="shared" si="22"/>
        <v>2952.2653481331276</v>
      </c>
      <c r="CG18" s="13">
        <f t="shared" si="22"/>
        <v>2922.7426946517962</v>
      </c>
      <c r="CH18" s="13">
        <f t="shared" si="22"/>
        <v>2893.5152677052783</v>
      </c>
      <c r="CI18" s="13">
        <f t="shared" si="22"/>
        <v>2864.5801150282255</v>
      </c>
      <c r="CJ18" s="13">
        <f t="shared" si="22"/>
        <v>2835.9343138779432</v>
      </c>
      <c r="CK18" s="13">
        <f t="shared" si="22"/>
        <v>2807.5749707391637</v>
      </c>
      <c r="CL18" s="13">
        <f t="shared" si="22"/>
        <v>2779.4992210317719</v>
      </c>
      <c r="CM18" s="13">
        <f t="shared" si="22"/>
        <v>2751.7042288214543</v>
      </c>
      <c r="CN18" s="13">
        <f t="shared" si="22"/>
        <v>2724.1871865332396</v>
      </c>
      <c r="CO18" s="13">
        <f t="shared" si="22"/>
        <v>2696.945314667907</v>
      </c>
      <c r="CP18" s="13">
        <f t="shared" si="22"/>
        <v>2669.9758615212281</v>
      </c>
      <c r="CQ18" s="13">
        <f t="shared" si="22"/>
        <v>2643.2761029060157</v>
      </c>
      <c r="CR18" s="13">
        <f t="shared" si="22"/>
        <v>2616.8433418769555</v>
      </c>
      <c r="CS18" s="13">
        <f t="shared" si="22"/>
        <v>2590.6749084581861</v>
      </c>
      <c r="CT18" s="13">
        <f t="shared" si="22"/>
        <v>2564.7681593736042</v>
      </c>
      <c r="CU18" s="13">
        <f t="shared" si="22"/>
        <v>2539.120477779868</v>
      </c>
      <c r="CV18" s="13">
        <f t="shared" si="22"/>
        <v>2513.7292730020695</v>
      </c>
      <c r="CW18" s="13">
        <f t="shared" si="22"/>
        <v>2488.5919802720487</v>
      </c>
      <c r="CX18" s="13">
        <f t="shared" si="22"/>
        <v>2463.7060604693283</v>
      </c>
      <c r="CY18" s="13">
        <f t="shared" ref="CY18:EP18" si="23">CX18*(1+$AN$22)</f>
        <v>2439.0689998646349</v>
      </c>
      <c r="CZ18" s="13">
        <f t="shared" si="23"/>
        <v>2414.6783098659885</v>
      </c>
      <c r="DA18" s="13">
        <f t="shared" si="23"/>
        <v>2390.5315267673286</v>
      </c>
      <c r="DB18" s="13">
        <f t="shared" si="23"/>
        <v>2366.6262114996553</v>
      </c>
      <c r="DC18" s="13">
        <f t="shared" si="23"/>
        <v>2342.9599493846586</v>
      </c>
      <c r="DD18" s="13">
        <f t="shared" si="23"/>
        <v>2319.530349890812</v>
      </c>
      <c r="DE18" s="13">
        <f t="shared" si="23"/>
        <v>2296.3350463919037</v>
      </c>
      <c r="DF18" s="13">
        <f t="shared" si="23"/>
        <v>2273.3716959279845</v>
      </c>
      <c r="DG18" s="13">
        <f t="shared" si="23"/>
        <v>2250.6379789687048</v>
      </c>
      <c r="DH18" s="13">
        <f t="shared" si="23"/>
        <v>2228.1315991790179</v>
      </c>
      <c r="DI18" s="13">
        <f t="shared" si="23"/>
        <v>2205.8502831872279</v>
      </c>
      <c r="DJ18" s="13">
        <f t="shared" si="23"/>
        <v>2183.7917803553555</v>
      </c>
      <c r="DK18" s="13">
        <f t="shared" si="23"/>
        <v>2161.9538625518021</v>
      </c>
      <c r="DL18" s="13">
        <f t="shared" si="23"/>
        <v>2140.334323926284</v>
      </c>
      <c r="DM18" s="13">
        <f t="shared" si="23"/>
        <v>2118.930980687021</v>
      </c>
      <c r="DN18" s="13">
        <f t="shared" si="23"/>
        <v>2097.7416708801507</v>
      </c>
      <c r="DO18" s="13">
        <f t="shared" si="23"/>
        <v>2076.764254171349</v>
      </c>
      <c r="DP18" s="13">
        <f t="shared" si="23"/>
        <v>2055.9966116296355</v>
      </c>
      <c r="DQ18" s="13">
        <f t="shared" si="23"/>
        <v>2035.436645513339</v>
      </c>
      <c r="DR18" s="13">
        <f t="shared" si="23"/>
        <v>2015.0822790582056</v>
      </c>
      <c r="DS18" s="13">
        <f t="shared" si="23"/>
        <v>1994.9314562676236</v>
      </c>
      <c r="DT18" s="13">
        <f t="shared" si="23"/>
        <v>1974.9821417049473</v>
      </c>
      <c r="DU18" s="13">
        <f t="shared" si="23"/>
        <v>1955.2323202878977</v>
      </c>
      <c r="DV18" s="13">
        <f t="shared" si="23"/>
        <v>1935.6799970850186</v>
      </c>
      <c r="DW18" s="13">
        <f t="shared" si="23"/>
        <v>1916.3231971141684</v>
      </c>
      <c r="DX18" s="13">
        <f t="shared" si="23"/>
        <v>1897.1599651430267</v>
      </c>
      <c r="DY18" s="13">
        <f t="shared" si="23"/>
        <v>1878.1883654915964</v>
      </c>
      <c r="DZ18" s="13">
        <f t="shared" si="23"/>
        <v>1859.4064818366805</v>
      </c>
      <c r="EA18" s="13">
        <f t="shared" si="23"/>
        <v>1840.8124170183137</v>
      </c>
      <c r="EB18" s="13">
        <f t="shared" si="23"/>
        <v>1822.4042928481306</v>
      </c>
      <c r="EC18" s="13">
        <f t="shared" si="23"/>
        <v>1804.1802499196492</v>
      </c>
      <c r="ED18" s="13">
        <f t="shared" si="23"/>
        <v>1786.1384474204526</v>
      </c>
      <c r="EE18" s="13">
        <f t="shared" si="23"/>
        <v>1768.2770629462482</v>
      </c>
      <c r="EF18" s="13">
        <f t="shared" si="23"/>
        <v>1750.5942923167856</v>
      </c>
      <c r="EG18" s="13">
        <f t="shared" si="23"/>
        <v>1733.0883493936178</v>
      </c>
      <c r="EH18" s="13">
        <f t="shared" si="23"/>
        <v>1715.7574658996816</v>
      </c>
      <c r="EI18" s="13">
        <f t="shared" si="23"/>
        <v>1698.5998912406849</v>
      </c>
      <c r="EJ18" s="13">
        <f t="shared" si="23"/>
        <v>1681.6138923282781</v>
      </c>
      <c r="EK18" s="13">
        <f t="shared" si="23"/>
        <v>1664.7977534049953</v>
      </c>
      <c r="EL18" s="13">
        <f t="shared" si="23"/>
        <v>1648.1497758709454</v>
      </c>
      <c r="EM18" s="13">
        <f t="shared" si="23"/>
        <v>1631.6682781122358</v>
      </c>
      <c r="EN18" s="13">
        <f t="shared" si="23"/>
        <v>1615.3515953311135</v>
      </c>
      <c r="EO18" s="13">
        <f t="shared" si="23"/>
        <v>1599.1980793778023</v>
      </c>
      <c r="EP18" s="13">
        <f t="shared" si="23"/>
        <v>1583.2060985840242</v>
      </c>
    </row>
    <row r="19" spans="3:146" x14ac:dyDescent="0.25">
      <c r="C19" s="2" t="s">
        <v>59</v>
      </c>
      <c r="D19" s="10">
        <v>191.250686</v>
      </c>
      <c r="E19" s="10">
        <v>232.76890299999999</v>
      </c>
      <c r="F19" s="10">
        <v>232.76890299999999</v>
      </c>
      <c r="G19" s="10">
        <v>191.30411599999999</v>
      </c>
      <c r="H19" s="10">
        <v>191.30411599999999</v>
      </c>
      <c r="I19" s="10">
        <v>232.76890299999999</v>
      </c>
      <c r="J19" s="10">
        <v>232.76890299999999</v>
      </c>
      <c r="K19" s="10">
        <v>225.81547499999999</v>
      </c>
      <c r="L19" s="10">
        <v>191.30411599999999</v>
      </c>
      <c r="M19" s="10">
        <v>219.15793600000001</v>
      </c>
      <c r="N19" s="10">
        <v>219.15792999999999</v>
      </c>
      <c r="O19" s="10">
        <v>218.95406700000001</v>
      </c>
      <c r="P19" s="9">
        <v>216.586524</v>
      </c>
      <c r="U19" s="10">
        <v>103.00626699999999</v>
      </c>
      <c r="V19" s="10">
        <v>148.61880500000001</v>
      </c>
      <c r="W19" s="10">
        <v>191.250686</v>
      </c>
      <c r="X19" s="10">
        <v>191.277074</v>
      </c>
      <c r="Y19" s="10">
        <v>191.30411599999999</v>
      </c>
      <c r="Z19" s="10">
        <v>203.614417</v>
      </c>
      <c r="AA19" s="9">
        <v>203.614417</v>
      </c>
      <c r="AB19" s="10">
        <v>203.614417</v>
      </c>
      <c r="AC19" s="10">
        <v>203.614417</v>
      </c>
      <c r="AD19" s="10">
        <v>203.614417</v>
      </c>
      <c r="AE19" s="10">
        <v>203.614417</v>
      </c>
      <c r="AF19" s="10">
        <v>203.614417</v>
      </c>
      <c r="AG19" s="10">
        <v>203.614417</v>
      </c>
      <c r="AH19" s="10">
        <v>203.614417</v>
      </c>
      <c r="AI19" s="10">
        <v>203.614417</v>
      </c>
      <c r="AJ19" s="10">
        <v>203.614417</v>
      </c>
      <c r="AK19" s="10">
        <v>203.614417</v>
      </c>
    </row>
    <row r="20" spans="3:146" x14ac:dyDescent="0.25">
      <c r="C20" s="2" t="s">
        <v>60</v>
      </c>
      <c r="D20" s="22">
        <f t="shared" ref="D20:M20" si="24">D18/D19</f>
        <v>-3.3359357466566157</v>
      </c>
      <c r="E20" s="22">
        <f t="shared" si="24"/>
        <v>1.855918013240798</v>
      </c>
      <c r="F20" s="22">
        <f t="shared" si="24"/>
        <v>2.7237315286913564</v>
      </c>
      <c r="G20" s="22">
        <f t="shared" si="24"/>
        <v>1.0454558123569073E-2</v>
      </c>
      <c r="H20" s="22">
        <f t="shared" si="24"/>
        <v>-1.5838655557207144</v>
      </c>
      <c r="I20" s="22">
        <f t="shared" si="24"/>
        <v>1.1685409712997616</v>
      </c>
      <c r="J20" s="22">
        <f t="shared" si="24"/>
        <v>2.397227433769364</v>
      </c>
      <c r="K20" s="22">
        <f t="shared" si="24"/>
        <v>0.18156417313738132</v>
      </c>
      <c r="L20" s="22">
        <f t="shared" si="24"/>
        <v>-1.7093202532035432</v>
      </c>
      <c r="M20" s="22">
        <f t="shared" si="24"/>
        <v>1.4145050170576527</v>
      </c>
      <c r="N20" s="22">
        <f>N18/N19</f>
        <v>2.4457248706446535</v>
      </c>
      <c r="O20" s="22">
        <f>O18/O19</f>
        <v>0.60286617101293671</v>
      </c>
      <c r="P20" s="21">
        <f>P18/P19</f>
        <v>-1.0065261493369735</v>
      </c>
      <c r="U20" s="22">
        <f t="shared" ref="U20:X20" si="25">U18/U19</f>
        <v>7.0384067019922201</v>
      </c>
      <c r="V20" s="22">
        <f t="shared" si="25"/>
        <v>-40.04876771819017</v>
      </c>
      <c r="W20" s="22">
        <f t="shared" si="25"/>
        <v>-8.7738247380717898</v>
      </c>
      <c r="X20" s="22">
        <f t="shared" si="25"/>
        <v>2.237591735641042</v>
      </c>
      <c r="Y20" s="22">
        <f>Y18/Y19</f>
        <v>2.974321786155401</v>
      </c>
      <c r="Z20" s="22">
        <f>Z18/Z19</f>
        <v>3.2021308196462335</v>
      </c>
      <c r="AA20" s="21">
        <f t="shared" ref="AA20:AK20" si="26">AA18/AA19</f>
        <v>6.1769250848283441</v>
      </c>
      <c r="AB20" s="22">
        <f t="shared" si="26"/>
        <v>6.8774637406937673</v>
      </c>
      <c r="AC20" s="22">
        <f t="shared" si="26"/>
        <v>8.2309362000628798</v>
      </c>
      <c r="AD20" s="22">
        <f t="shared" si="26"/>
        <v>9.6848047132959287</v>
      </c>
      <c r="AE20" s="22">
        <f t="shared" si="26"/>
        <v>11.245397980321876</v>
      </c>
      <c r="AF20" s="22">
        <f t="shared" si="26"/>
        <v>12.919413491955645</v>
      </c>
      <c r="AG20" s="22">
        <f t="shared" si="26"/>
        <v>14.713938063677869</v>
      </c>
      <c r="AH20" s="22">
        <f t="shared" si="26"/>
        <v>16.636469479873295</v>
      </c>
      <c r="AI20" s="22">
        <f t="shared" si="26"/>
        <v>18.694939307400979</v>
      </c>
      <c r="AJ20" s="22">
        <f t="shared" si="26"/>
        <v>20.897736940448493</v>
      </c>
      <c r="AK20" s="22">
        <f t="shared" si="26"/>
        <v>23.253734941857569</v>
      </c>
    </row>
    <row r="21" spans="3:146" x14ac:dyDescent="0.25">
      <c r="AM21" s="2" t="s">
        <v>143</v>
      </c>
      <c r="AN21" s="29">
        <v>0.09</v>
      </c>
    </row>
    <row r="22" spans="3:146" x14ac:dyDescent="0.25">
      <c r="C22" s="1" t="s">
        <v>29</v>
      </c>
      <c r="D22" s="11"/>
      <c r="H22" s="27">
        <f t="shared" ref="H22:O22" si="27">(H6-D6)/D6</f>
        <v>0.65605561653860223</v>
      </c>
      <c r="I22" s="27">
        <f t="shared" si="27"/>
        <v>7.8423943928774387E-2</v>
      </c>
      <c r="J22" s="27">
        <f t="shared" si="27"/>
        <v>5.5555555555555552E-2</v>
      </c>
      <c r="K22" s="27">
        <f t="shared" si="27"/>
        <v>3.4812547819433819E-2</v>
      </c>
      <c r="L22" s="27">
        <f t="shared" si="27"/>
        <v>-2.3641184268669908E-2</v>
      </c>
      <c r="M22" s="27">
        <f t="shared" si="27"/>
        <v>3.1266467591779382E-2</v>
      </c>
      <c r="N22" s="27">
        <f t="shared" si="27"/>
        <v>-2.2917654496601866E-2</v>
      </c>
      <c r="O22" s="27">
        <f t="shared" si="27"/>
        <v>1.4232902033271719E-2</v>
      </c>
      <c r="P22" s="26">
        <f>(P6-L6)/L6</f>
        <v>2.8739533831183526E-2</v>
      </c>
      <c r="U22" s="27"/>
      <c r="V22" s="27">
        <f t="shared" ref="V22:Y22" si="28">(V6-U6)/U6</f>
        <v>-0.60570071258907365</v>
      </c>
      <c r="W22" s="27">
        <f t="shared" si="28"/>
        <v>0.35609103078982596</v>
      </c>
      <c r="X22" s="27">
        <f t="shared" si="28"/>
        <v>0.89861796643632774</v>
      </c>
      <c r="Y22" s="27">
        <f t="shared" si="28"/>
        <v>0.14152758280039515</v>
      </c>
      <c r="Z22" s="27">
        <f>(Z6-Y6)/Y6</f>
        <v>1.8219084491004326E-4</v>
      </c>
      <c r="AA22" s="26">
        <f t="shared" ref="AA22:AK22" si="29">(AA6-Z6)/Z6</f>
        <v>3.000000000000002E-2</v>
      </c>
      <c r="AB22" s="27">
        <f t="shared" si="29"/>
        <v>7.0000000000000062E-2</v>
      </c>
      <c r="AC22" s="27">
        <f t="shared" si="29"/>
        <v>5.0000000000000065E-2</v>
      </c>
      <c r="AD22" s="27">
        <f t="shared" si="29"/>
        <v>5.0000000000000114E-2</v>
      </c>
      <c r="AE22" s="27">
        <f t="shared" si="29"/>
        <v>5.0000000000000107E-2</v>
      </c>
      <c r="AF22" s="27">
        <f t="shared" si="29"/>
        <v>5.0000000000000031E-2</v>
      </c>
      <c r="AG22" s="27">
        <f t="shared" si="29"/>
        <v>5.0000000000000044E-2</v>
      </c>
      <c r="AH22" s="27">
        <f t="shared" si="29"/>
        <v>5.0000000000000044E-2</v>
      </c>
      <c r="AI22" s="27">
        <f t="shared" si="29"/>
        <v>4.9999999999999947E-2</v>
      </c>
      <c r="AJ22" s="27">
        <f t="shared" si="29"/>
        <v>4.9999999999999954E-2</v>
      </c>
      <c r="AK22" s="27">
        <f t="shared" si="29"/>
        <v>5.0000000000000058E-2</v>
      </c>
      <c r="AM22" s="2" t="s">
        <v>144</v>
      </c>
      <c r="AN22" s="29">
        <v>-0.01</v>
      </c>
    </row>
    <row r="23" spans="3:146" x14ac:dyDescent="0.25">
      <c r="C23" s="2" t="s">
        <v>30</v>
      </c>
      <c r="D23" s="28">
        <f t="shared" ref="D23:O23" si="30">D14/D6</f>
        <v>-0.10171972191730699</v>
      </c>
      <c r="E23" s="28">
        <f t="shared" si="30"/>
        <v>0.1922712634968744</v>
      </c>
      <c r="F23" s="28">
        <f t="shared" si="30"/>
        <v>0.2057057057057057</v>
      </c>
      <c r="G23" s="28">
        <f t="shared" si="30"/>
        <v>9.3343534812547813E-2</v>
      </c>
      <c r="H23" s="28">
        <f t="shared" si="30"/>
        <v>4.3747238179407864E-2</v>
      </c>
      <c r="I23" s="28">
        <f t="shared" si="30"/>
        <v>0.14649569646934832</v>
      </c>
      <c r="J23" s="28">
        <f t="shared" si="30"/>
        <v>0.19756598703967124</v>
      </c>
      <c r="K23" s="28">
        <f t="shared" si="30"/>
        <v>9.2791127541589649E-2</v>
      </c>
      <c r="L23" s="28">
        <f t="shared" si="30"/>
        <v>2.8513238289205704E-2</v>
      </c>
      <c r="M23" s="28">
        <f t="shared" si="30"/>
        <v>0.15789473684210525</v>
      </c>
      <c r="N23" s="28">
        <f t="shared" si="30"/>
        <v>0.18683274021352314</v>
      </c>
      <c r="O23" s="28">
        <f t="shared" si="30"/>
        <v>0.11408784399489703</v>
      </c>
      <c r="P23" s="25">
        <f>P14/P6</f>
        <v>4.2454905411350635E-2</v>
      </c>
      <c r="U23" s="28">
        <f t="shared" ref="U23:Y23" si="31">U14/U6</f>
        <v>0.11316970176827659</v>
      </c>
      <c r="V23" s="28">
        <f t="shared" si="31"/>
        <v>-0.64270414993306557</v>
      </c>
      <c r="W23" s="28">
        <f t="shared" si="31"/>
        <v>-4.3336623889437313E-2</v>
      </c>
      <c r="X23" s="28">
        <f t="shared" si="31"/>
        <v>0.12774918109499298</v>
      </c>
      <c r="Y23" s="28">
        <f t="shared" si="31"/>
        <v>0.12685037576861763</v>
      </c>
      <c r="Z23" s="28">
        <f>Z14/Z6</f>
        <v>0.12914977913384035</v>
      </c>
      <c r="AA23" s="25">
        <f t="shared" ref="AA23:AK23" si="32">AA14/AA6</f>
        <v>0.11550431364365268</v>
      </c>
      <c r="AB23" s="28">
        <f t="shared" si="32"/>
        <v>0.11550431364365278</v>
      </c>
      <c r="AC23" s="28">
        <f t="shared" si="32"/>
        <v>0.12390813148456356</v>
      </c>
      <c r="AD23" s="28">
        <f t="shared" si="32"/>
        <v>0.13223191296508499</v>
      </c>
      <c r="AE23" s="28">
        <f t="shared" si="32"/>
        <v>0.14047642033626792</v>
      </c>
      <c r="AF23" s="28">
        <f t="shared" si="32"/>
        <v>0.1486424085896301</v>
      </c>
      <c r="AG23" s="28">
        <f t="shared" si="32"/>
        <v>0.15673062552629347</v>
      </c>
      <c r="AH23" s="28">
        <f t="shared" si="32"/>
        <v>0.16474181182546513</v>
      </c>
      <c r="AI23" s="28">
        <f t="shared" si="32"/>
        <v>0.17267670111226341</v>
      </c>
      <c r="AJ23" s="28">
        <f t="shared" si="32"/>
        <v>0.18053602002490174</v>
      </c>
      <c r="AK23" s="28">
        <f t="shared" si="32"/>
        <v>0.18832048828122933</v>
      </c>
      <c r="AM23" s="32" t="s">
        <v>145</v>
      </c>
      <c r="AN23" s="39">
        <f>NPV(AN21,AA18:EP18)</f>
        <v>34969.077361408446</v>
      </c>
    </row>
    <row r="24" spans="3:146" x14ac:dyDescent="0.25">
      <c r="U24" s="28"/>
      <c r="V24" s="28"/>
      <c r="W24" s="28"/>
      <c r="X24" s="28"/>
      <c r="Y24" s="28"/>
      <c r="Z24" s="28"/>
      <c r="AA24" s="25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M24" s="2" t="s">
        <v>2</v>
      </c>
      <c r="AN24" s="10">
        <v>216.586524</v>
      </c>
    </row>
    <row r="25" spans="3:146" x14ac:dyDescent="0.25">
      <c r="C25" s="2" t="s">
        <v>87</v>
      </c>
      <c r="D25" s="15">
        <v>54002</v>
      </c>
      <c r="E25" s="15">
        <v>55572</v>
      </c>
      <c r="F25" s="15">
        <v>55977</v>
      </c>
      <c r="G25" s="15">
        <v>55977</v>
      </c>
      <c r="H25" s="15">
        <v>56059</v>
      </c>
      <c r="I25" s="15">
        <v>55930</v>
      </c>
      <c r="J25" s="15">
        <v>55969</v>
      </c>
      <c r="K25" s="15">
        <v>55642</v>
      </c>
      <c r="L25" s="15">
        <v>55657</v>
      </c>
      <c r="M25" s="15">
        <v>55566</v>
      </c>
      <c r="N25" s="15">
        <v>55452</v>
      </c>
      <c r="O25" s="15">
        <v>55319</v>
      </c>
      <c r="P25" s="16">
        <v>55603</v>
      </c>
      <c r="U25" s="28"/>
      <c r="V25" s="28"/>
      <c r="W25" s="28"/>
      <c r="X25" s="28"/>
      <c r="Y25" s="28"/>
      <c r="Z25" s="28"/>
      <c r="AA25" s="25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M25" s="2" t="s">
        <v>146</v>
      </c>
      <c r="AN25" s="38">
        <f>AN23/AN24</f>
        <v>161.45546230479439</v>
      </c>
    </row>
    <row r="26" spans="3:146" x14ac:dyDescent="0.25">
      <c r="C26" s="2" t="s">
        <v>88</v>
      </c>
      <c r="D26" s="2">
        <v>266</v>
      </c>
      <c r="E26" s="2">
        <v>270</v>
      </c>
      <c r="F26" s="2">
        <v>271</v>
      </c>
      <c r="G26" s="2">
        <v>271</v>
      </c>
      <c r="H26" s="2">
        <v>270</v>
      </c>
      <c r="I26" s="2">
        <v>269</v>
      </c>
      <c r="J26" s="2">
        <v>269</v>
      </c>
      <c r="K26" s="2">
        <v>267</v>
      </c>
      <c r="L26" s="2">
        <v>266</v>
      </c>
      <c r="M26" s="2">
        <v>264</v>
      </c>
      <c r="N26" s="2">
        <v>264</v>
      </c>
      <c r="O26" s="2">
        <v>263</v>
      </c>
      <c r="P26" s="4">
        <v>264</v>
      </c>
      <c r="U26" s="28"/>
      <c r="V26" s="28"/>
      <c r="W26" s="28"/>
      <c r="X26" s="28"/>
      <c r="Y26" s="28"/>
      <c r="Z26" s="28"/>
      <c r="AA26" s="25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M26" s="1" t="s">
        <v>147</v>
      </c>
      <c r="AN26" s="27">
        <f>(AN25-B4)/B4</f>
        <v>0.93824084399513086</v>
      </c>
    </row>
    <row r="27" spans="3:146" x14ac:dyDescent="0.25">
      <c r="C27" s="2" t="s">
        <v>148</v>
      </c>
      <c r="U27" s="28"/>
      <c r="V27" s="28"/>
      <c r="W27" s="28"/>
      <c r="X27" s="28"/>
      <c r="Y27" s="28"/>
      <c r="Z27" s="28"/>
      <c r="AA27" s="25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M27" s="1"/>
      <c r="AN27" s="27"/>
    </row>
    <row r="29" spans="3:146" x14ac:dyDescent="0.25">
      <c r="C29" s="3" t="s">
        <v>62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"/>
      <c r="P29" s="18"/>
      <c r="Q29" s="1"/>
      <c r="R29" s="1"/>
      <c r="S29" s="1"/>
      <c r="T29" s="1"/>
      <c r="U29" s="1"/>
      <c r="V29" s="1"/>
      <c r="W29" s="1"/>
    </row>
    <row r="30" spans="3:146" x14ac:dyDescent="0.25">
      <c r="C30" s="2" t="s">
        <v>114</v>
      </c>
      <c r="D30" s="15">
        <v>7049</v>
      </c>
      <c r="E30" s="15"/>
      <c r="F30" s="15"/>
      <c r="G30" s="15"/>
      <c r="H30" s="15">
        <v>7129</v>
      </c>
      <c r="I30" s="15">
        <v>7276</v>
      </c>
      <c r="J30" s="15">
        <v>7214</v>
      </c>
      <c r="K30" s="15">
        <v>7010</v>
      </c>
      <c r="L30" s="15">
        <v>7062</v>
      </c>
      <c r="M30" s="15">
        <v>7043</v>
      </c>
      <c r="N30" s="15">
        <v>7002</v>
      </c>
      <c r="O30" s="15">
        <v>7101</v>
      </c>
      <c r="P30" s="16">
        <v>6848</v>
      </c>
    </row>
    <row r="31" spans="3:146" x14ac:dyDescent="0.25">
      <c r="C31" s="2" t="s">
        <v>115</v>
      </c>
      <c r="D31" s="15">
        <v>709</v>
      </c>
      <c r="E31" s="15"/>
      <c r="F31" s="15"/>
      <c r="G31" s="15"/>
      <c r="H31" s="15">
        <v>294</v>
      </c>
      <c r="I31" s="15">
        <v>77</v>
      </c>
      <c r="J31" s="15">
        <v>78</v>
      </c>
      <c r="K31" s="15">
        <v>75</v>
      </c>
      <c r="L31" s="15">
        <v>74</v>
      </c>
      <c r="M31" s="15">
        <v>74</v>
      </c>
      <c r="N31" s="15">
        <v>71</v>
      </c>
      <c r="O31" s="15">
        <v>71</v>
      </c>
      <c r="P31" s="16">
        <v>69</v>
      </c>
    </row>
    <row r="32" spans="3:146" x14ac:dyDescent="0.25">
      <c r="C32" s="2" t="s">
        <v>63</v>
      </c>
      <c r="D32" s="15">
        <v>32738</v>
      </c>
      <c r="E32" s="15"/>
      <c r="F32" s="15"/>
      <c r="G32" s="15"/>
      <c r="H32" s="15">
        <v>40610</v>
      </c>
      <c r="I32" s="15">
        <v>41138</v>
      </c>
      <c r="J32" s="15">
        <v>39914</v>
      </c>
      <c r="K32" s="15">
        <v>39389</v>
      </c>
      <c r="L32" s="15">
        <v>41421</v>
      </c>
      <c r="M32" s="15">
        <v>40565</v>
      </c>
      <c r="N32" s="15">
        <v>39685</v>
      </c>
      <c r="O32" s="15">
        <v>39707</v>
      </c>
      <c r="P32" s="16">
        <v>38625</v>
      </c>
    </row>
    <row r="33" spans="3:19" x14ac:dyDescent="0.25">
      <c r="C33" s="2" t="s">
        <v>116</v>
      </c>
      <c r="D33" s="15">
        <v>3767</v>
      </c>
      <c r="E33" s="15"/>
      <c r="F33" s="15"/>
      <c r="G33" s="15"/>
      <c r="H33" s="15">
        <v>3921</v>
      </c>
      <c r="I33" s="15">
        <v>4154</v>
      </c>
      <c r="J33" s="15">
        <v>4012</v>
      </c>
      <c r="K33" s="15">
        <v>3958</v>
      </c>
      <c r="L33" s="15">
        <v>4102</v>
      </c>
      <c r="M33" s="15">
        <v>4118</v>
      </c>
      <c r="N33" s="15">
        <v>4006</v>
      </c>
      <c r="O33" s="15">
        <v>4142</v>
      </c>
      <c r="P33" s="16">
        <v>4100</v>
      </c>
    </row>
    <row r="34" spans="3:19" x14ac:dyDescent="0.25">
      <c r="C34" s="2" t="s">
        <v>117</v>
      </c>
      <c r="D34" s="15">
        <v>875</v>
      </c>
      <c r="E34" s="15"/>
      <c r="F34" s="15"/>
      <c r="G34" s="15"/>
      <c r="H34" s="15">
        <v>721</v>
      </c>
      <c r="I34" s="15">
        <v>796</v>
      </c>
      <c r="J34" s="15">
        <v>769</v>
      </c>
      <c r="K34" s="15">
        <v>713</v>
      </c>
      <c r="L34" s="15">
        <v>825</v>
      </c>
      <c r="M34" s="15">
        <v>790</v>
      </c>
      <c r="N34" s="15">
        <v>786</v>
      </c>
      <c r="O34" s="15">
        <v>751</v>
      </c>
      <c r="P34" s="16">
        <v>767</v>
      </c>
    </row>
    <row r="35" spans="3:19" x14ac:dyDescent="0.25">
      <c r="C35" s="2" t="s">
        <v>118</v>
      </c>
      <c r="D35" s="15">
        <v>1677</v>
      </c>
      <c r="E35" s="15"/>
      <c r="F35" s="15"/>
      <c r="G35" s="15"/>
      <c r="H35" s="15">
        <v>2034</v>
      </c>
      <c r="I35" s="15">
        <v>2574</v>
      </c>
      <c r="J35" s="15">
        <v>3293</v>
      </c>
      <c r="K35" s="15">
        <v>1467</v>
      </c>
      <c r="L35" s="15">
        <v>2032</v>
      </c>
      <c r="M35" s="15">
        <v>2859</v>
      </c>
      <c r="N35" s="15">
        <v>3304</v>
      </c>
      <c r="O35" s="15">
        <v>1224</v>
      </c>
      <c r="P35" s="16">
        <v>1338</v>
      </c>
    </row>
    <row r="36" spans="3:19" x14ac:dyDescent="0.25">
      <c r="C36" s="2" t="s">
        <v>64</v>
      </c>
      <c r="D36" s="15">
        <f>194+23</f>
        <v>217</v>
      </c>
      <c r="E36" s="15"/>
      <c r="F36" s="15"/>
      <c r="G36" s="15"/>
      <c r="H36" s="15">
        <f>146+285</f>
        <v>431</v>
      </c>
      <c r="I36" s="15">
        <f>107+560</f>
        <v>667</v>
      </c>
      <c r="J36" s="15">
        <v>1438</v>
      </c>
      <c r="K36" s="15">
        <v>1344</v>
      </c>
      <c r="L36" s="15">
        <v>534</v>
      </c>
      <c r="M36" s="15">
        <v>964</v>
      </c>
      <c r="N36" s="15">
        <v>1567</v>
      </c>
      <c r="O36" s="15">
        <v>846</v>
      </c>
      <c r="P36" s="16">
        <v>135</v>
      </c>
    </row>
    <row r="37" spans="3:19" x14ac:dyDescent="0.25">
      <c r="C37" s="1" t="s">
        <v>65</v>
      </c>
      <c r="D37" s="13">
        <f t="shared" ref="D37:O37" si="33">SUM(D30:D36)</f>
        <v>47032</v>
      </c>
      <c r="E37" s="13">
        <f t="shared" si="33"/>
        <v>0</v>
      </c>
      <c r="F37" s="13">
        <f t="shared" si="33"/>
        <v>0</v>
      </c>
      <c r="G37" s="13">
        <f t="shared" si="33"/>
        <v>0</v>
      </c>
      <c r="H37" s="13">
        <f t="shared" si="33"/>
        <v>55140</v>
      </c>
      <c r="I37" s="13">
        <f t="shared" si="33"/>
        <v>56682</v>
      </c>
      <c r="J37" s="13">
        <f t="shared" si="33"/>
        <v>56718</v>
      </c>
      <c r="K37" s="13">
        <f t="shared" si="33"/>
        <v>53956</v>
      </c>
      <c r="L37" s="13">
        <f t="shared" si="33"/>
        <v>56050</v>
      </c>
      <c r="M37" s="13">
        <f t="shared" si="33"/>
        <v>56413</v>
      </c>
      <c r="N37" s="13">
        <f t="shared" si="33"/>
        <v>56421</v>
      </c>
      <c r="O37" s="13">
        <f t="shared" si="33"/>
        <v>53842</v>
      </c>
      <c r="P37" s="14">
        <f>SUM(P30:P36)</f>
        <v>51882</v>
      </c>
    </row>
    <row r="38" spans="3:19" x14ac:dyDescent="0.25">
      <c r="C38" s="2" t="s">
        <v>119</v>
      </c>
      <c r="D38" s="15">
        <v>772</v>
      </c>
      <c r="E38" s="15"/>
      <c r="F38" s="15"/>
      <c r="G38" s="15"/>
      <c r="H38" s="15">
        <v>1609</v>
      </c>
      <c r="I38" s="15">
        <v>1913</v>
      </c>
      <c r="J38" s="15">
        <v>2413</v>
      </c>
      <c r="K38" s="15">
        <v>2059</v>
      </c>
      <c r="L38" s="15">
        <v>1718</v>
      </c>
      <c r="M38" s="15">
        <v>2267</v>
      </c>
      <c r="N38" s="15">
        <v>3622</v>
      </c>
      <c r="O38" s="15">
        <v>3265</v>
      </c>
      <c r="P38" s="16">
        <v>2643</v>
      </c>
    </row>
    <row r="39" spans="3:19" x14ac:dyDescent="0.25">
      <c r="C39" s="2" t="s">
        <v>66</v>
      </c>
      <c r="D39" s="15">
        <v>45</v>
      </c>
      <c r="E39" s="15"/>
      <c r="F39" s="15"/>
      <c r="G39" s="15"/>
      <c r="H39" s="15">
        <v>81</v>
      </c>
      <c r="I39" s="15">
        <v>91</v>
      </c>
      <c r="J39" s="15">
        <v>101</v>
      </c>
      <c r="K39" s="15">
        <v>107</v>
      </c>
      <c r="L39" s="15">
        <v>110</v>
      </c>
      <c r="M39" s="15">
        <v>117</v>
      </c>
      <c r="N39" s="15">
        <v>112</v>
      </c>
      <c r="O39" s="15">
        <v>107</v>
      </c>
      <c r="P39" s="16">
        <v>104</v>
      </c>
    </row>
    <row r="40" spans="3:19" x14ac:dyDescent="0.25">
      <c r="C40" s="12" t="s">
        <v>120</v>
      </c>
      <c r="D40" s="17">
        <f t="shared" ref="D40:O40" si="34">SUM(D38:D39)</f>
        <v>817</v>
      </c>
      <c r="E40" s="17">
        <f t="shared" si="34"/>
        <v>0</v>
      </c>
      <c r="F40" s="17">
        <f t="shared" si="34"/>
        <v>0</v>
      </c>
      <c r="G40" s="17">
        <f t="shared" si="34"/>
        <v>0</v>
      </c>
      <c r="H40" s="17">
        <f t="shared" si="34"/>
        <v>1690</v>
      </c>
      <c r="I40" s="17">
        <f t="shared" si="34"/>
        <v>2004</v>
      </c>
      <c r="J40" s="17">
        <f t="shared" si="34"/>
        <v>2514</v>
      </c>
      <c r="K40" s="17">
        <f t="shared" si="34"/>
        <v>2166</v>
      </c>
      <c r="L40" s="17">
        <f t="shared" si="34"/>
        <v>1828</v>
      </c>
      <c r="M40" s="17">
        <f t="shared" si="34"/>
        <v>2384</v>
      </c>
      <c r="N40" s="17">
        <f t="shared" si="34"/>
        <v>3734</v>
      </c>
      <c r="O40" s="17">
        <f t="shared" si="34"/>
        <v>3372</v>
      </c>
      <c r="P40" s="37">
        <f>SUM(P38:P39)</f>
        <v>2747</v>
      </c>
    </row>
    <row r="41" spans="3:19" x14ac:dyDescent="0.25">
      <c r="C41" s="2" t="s">
        <v>121</v>
      </c>
      <c r="D41" s="15">
        <v>4061</v>
      </c>
      <c r="E41" s="15"/>
      <c r="F41" s="15"/>
      <c r="G41" s="15"/>
      <c r="H41" s="15">
        <v>1270</v>
      </c>
      <c r="I41" s="15">
        <v>974</v>
      </c>
      <c r="J41" s="15">
        <v>977</v>
      </c>
      <c r="K41" s="15">
        <v>980</v>
      </c>
      <c r="L41" s="15">
        <v>982</v>
      </c>
      <c r="M41" s="15">
        <v>985</v>
      </c>
      <c r="N41" s="15">
        <v>972</v>
      </c>
      <c r="O41" s="15">
        <v>974</v>
      </c>
      <c r="P41" s="16">
        <v>1133</v>
      </c>
      <c r="Q41" s="1"/>
      <c r="R41" s="1"/>
      <c r="S41" s="1"/>
    </row>
    <row r="42" spans="3:19" x14ac:dyDescent="0.25">
      <c r="C42" s="2" t="s">
        <v>122</v>
      </c>
      <c r="D42" s="15">
        <v>33714</v>
      </c>
      <c r="E42" s="15"/>
      <c r="F42" s="15"/>
      <c r="G42" s="15"/>
      <c r="H42" s="15">
        <v>41886</v>
      </c>
      <c r="I42" s="15">
        <v>42599</v>
      </c>
      <c r="J42" s="15">
        <v>41459</v>
      </c>
      <c r="K42" s="15">
        <v>41041</v>
      </c>
      <c r="L42" s="15">
        <v>43154</v>
      </c>
      <c r="M42" s="15">
        <v>42415</v>
      </c>
      <c r="N42" s="15">
        <v>41618</v>
      </c>
      <c r="O42" s="15">
        <v>41757</v>
      </c>
      <c r="P42" s="16">
        <v>40627</v>
      </c>
    </row>
    <row r="43" spans="3:19" x14ac:dyDescent="0.25">
      <c r="C43" s="2" t="s">
        <v>123</v>
      </c>
      <c r="D43" s="15">
        <v>1119</v>
      </c>
      <c r="E43" s="15"/>
      <c r="F43" s="15"/>
      <c r="G43" s="15"/>
      <c r="H43" s="15">
        <v>1225</v>
      </c>
      <c r="I43" s="15">
        <v>1208</v>
      </c>
      <c r="J43" s="15">
        <v>1129</v>
      </c>
      <c r="K43" s="15">
        <v>1106</v>
      </c>
      <c r="L43" s="15">
        <v>1206</v>
      </c>
      <c r="M43" s="15">
        <v>1182</v>
      </c>
      <c r="N43" s="15">
        <v>1361</v>
      </c>
      <c r="O43" s="15">
        <v>1028</v>
      </c>
      <c r="P43" s="16">
        <v>1050</v>
      </c>
    </row>
    <row r="44" spans="3:19" x14ac:dyDescent="0.25">
      <c r="C44" s="2" t="s">
        <v>124</v>
      </c>
      <c r="D44" s="15">
        <v>1369</v>
      </c>
      <c r="E44" s="15"/>
      <c r="F44" s="15"/>
      <c r="G44" s="15"/>
      <c r="H44" s="15">
        <f>1524</f>
        <v>1524</v>
      </c>
      <c r="I44" s="15">
        <f>1566</f>
        <v>1566</v>
      </c>
      <c r="J44" s="15">
        <f>1609</f>
        <v>1609</v>
      </c>
      <c r="K44" s="15">
        <v>1109</v>
      </c>
      <c r="L44" s="15">
        <v>1140</v>
      </c>
      <c r="M44" s="15">
        <v>962</v>
      </c>
      <c r="N44" s="15">
        <v>0</v>
      </c>
      <c r="O44" s="15">
        <v>0</v>
      </c>
      <c r="P44" s="16">
        <v>0</v>
      </c>
    </row>
    <row r="45" spans="3:19" x14ac:dyDescent="0.25">
      <c r="C45" s="2" t="s">
        <v>138</v>
      </c>
      <c r="D45" s="15">
        <v>2088</v>
      </c>
      <c r="E45" s="15"/>
      <c r="F45" s="15"/>
      <c r="G45" s="15"/>
      <c r="H45" s="15">
        <v>2432</v>
      </c>
      <c r="I45" s="15">
        <v>2522</v>
      </c>
      <c r="J45" s="15">
        <v>2520</v>
      </c>
      <c r="K45" s="15">
        <v>2444</v>
      </c>
      <c r="L45" s="15">
        <v>2591</v>
      </c>
      <c r="M45" s="15">
        <v>2587</v>
      </c>
      <c r="N45" s="15">
        <v>2595</v>
      </c>
      <c r="O45" s="15">
        <v>2654</v>
      </c>
      <c r="P45" s="16">
        <v>2643</v>
      </c>
    </row>
    <row r="46" spans="3:19" x14ac:dyDescent="0.25">
      <c r="C46" s="2" t="s">
        <v>67</v>
      </c>
      <c r="D46" s="15">
        <v>0</v>
      </c>
      <c r="E46" s="15"/>
      <c r="F46" s="15"/>
      <c r="G46" s="15"/>
      <c r="H46" s="15">
        <v>0</v>
      </c>
      <c r="I46" s="15">
        <v>0</v>
      </c>
      <c r="J46" s="15">
        <v>25</v>
      </c>
      <c r="K46" s="15">
        <v>7</v>
      </c>
      <c r="L46" s="15">
        <v>44</v>
      </c>
      <c r="M46" s="15">
        <v>40</v>
      </c>
      <c r="N46" s="15">
        <v>34</v>
      </c>
      <c r="O46" s="15">
        <v>48</v>
      </c>
      <c r="P46" s="16">
        <v>57</v>
      </c>
      <c r="Q46" s="12"/>
      <c r="R46" s="12"/>
      <c r="S46" s="12"/>
    </row>
    <row r="47" spans="3:19" x14ac:dyDescent="0.25">
      <c r="C47" s="2" t="s">
        <v>125</v>
      </c>
      <c r="D47" s="17">
        <v>3864</v>
      </c>
      <c r="E47" s="15"/>
      <c r="F47" s="15"/>
      <c r="G47" s="15"/>
      <c r="H47" s="15">
        <v>5113</v>
      </c>
      <c r="I47" s="15">
        <v>5811</v>
      </c>
      <c r="J47" s="15">
        <v>6484</v>
      </c>
      <c r="K47" s="15">
        <v>5103</v>
      </c>
      <c r="L47" s="15">
        <v>5105</v>
      </c>
      <c r="M47" s="15">
        <v>5859</v>
      </c>
      <c r="N47" s="15">
        <v>6108</v>
      </c>
      <c r="O47" s="15">
        <v>4009</v>
      </c>
      <c r="P47" s="16">
        <v>3624</v>
      </c>
    </row>
    <row r="48" spans="3:19" x14ac:dyDescent="0.25">
      <c r="C48" s="12" t="s">
        <v>68</v>
      </c>
      <c r="D48" s="17">
        <f t="shared" ref="D48:O48" si="35">SUM(D41:D47)</f>
        <v>46215</v>
      </c>
      <c r="E48" s="17">
        <f t="shared" si="35"/>
        <v>0</v>
      </c>
      <c r="F48" s="17">
        <f t="shared" si="35"/>
        <v>0</v>
      </c>
      <c r="G48" s="17">
        <f t="shared" si="35"/>
        <v>0</v>
      </c>
      <c r="H48" s="17">
        <f t="shared" si="35"/>
        <v>53450</v>
      </c>
      <c r="I48" s="17">
        <f t="shared" si="35"/>
        <v>54680</v>
      </c>
      <c r="J48" s="17">
        <f t="shared" si="35"/>
        <v>54203</v>
      </c>
      <c r="K48" s="17">
        <f t="shared" si="35"/>
        <v>51790</v>
      </c>
      <c r="L48" s="17">
        <f t="shared" si="35"/>
        <v>54222</v>
      </c>
      <c r="M48" s="17">
        <f t="shared" si="35"/>
        <v>54030</v>
      </c>
      <c r="N48" s="17">
        <f t="shared" si="35"/>
        <v>52688</v>
      </c>
      <c r="O48" s="17">
        <f t="shared" si="35"/>
        <v>50470</v>
      </c>
      <c r="P48" s="37">
        <f>SUM(P41:P47)</f>
        <v>49134</v>
      </c>
    </row>
    <row r="49" spans="3:26" x14ac:dyDescent="0.25">
      <c r="C49" s="1" t="s">
        <v>69</v>
      </c>
      <c r="D49" s="13">
        <f t="shared" ref="D49:O49" si="36">D40+D48</f>
        <v>47032</v>
      </c>
      <c r="E49" s="13">
        <f t="shared" si="36"/>
        <v>0</v>
      </c>
      <c r="F49" s="13">
        <f t="shared" si="36"/>
        <v>0</v>
      </c>
      <c r="G49" s="13">
        <f t="shared" si="36"/>
        <v>0</v>
      </c>
      <c r="H49" s="13">
        <f t="shared" si="36"/>
        <v>55140</v>
      </c>
      <c r="I49" s="13">
        <f t="shared" si="36"/>
        <v>56684</v>
      </c>
      <c r="J49" s="13">
        <f t="shared" si="36"/>
        <v>56717</v>
      </c>
      <c r="K49" s="13">
        <f t="shared" si="36"/>
        <v>53956</v>
      </c>
      <c r="L49" s="13">
        <f t="shared" si="36"/>
        <v>56050</v>
      </c>
      <c r="M49" s="13">
        <f t="shared" si="36"/>
        <v>56414</v>
      </c>
      <c r="N49" s="13">
        <f t="shared" si="36"/>
        <v>56422</v>
      </c>
      <c r="O49" s="13">
        <f t="shared" si="36"/>
        <v>53842</v>
      </c>
      <c r="P49" s="14">
        <f>P40+P48</f>
        <v>51881</v>
      </c>
    </row>
    <row r="50" spans="3:26" x14ac:dyDescent="0.25"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</row>
    <row r="51" spans="3:26" x14ac:dyDescent="0.25">
      <c r="C51" s="3" t="s">
        <v>61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"/>
      <c r="P51" s="18"/>
      <c r="Q51" s="1"/>
      <c r="R51" s="1"/>
      <c r="S51" s="1"/>
      <c r="T51" s="1"/>
    </row>
    <row r="52" spans="3:26" x14ac:dyDescent="0.25">
      <c r="C52" s="2" t="s">
        <v>70</v>
      </c>
      <c r="D52" s="15">
        <f t="shared" ref="D52:O52" si="37">D14</f>
        <v>-278</v>
      </c>
      <c r="E52" s="15">
        <f t="shared" si="37"/>
        <v>1015</v>
      </c>
      <c r="F52" s="15">
        <f t="shared" si="37"/>
        <v>1233</v>
      </c>
      <c r="G52" s="15">
        <f t="shared" si="37"/>
        <v>488</v>
      </c>
      <c r="H52" s="15">
        <f t="shared" si="37"/>
        <v>198</v>
      </c>
      <c r="I52" s="15">
        <f t="shared" si="37"/>
        <v>834</v>
      </c>
      <c r="J52" s="15">
        <f t="shared" si="37"/>
        <v>1250</v>
      </c>
      <c r="K52" s="15">
        <f t="shared" si="37"/>
        <v>502</v>
      </c>
      <c r="L52" s="15">
        <f t="shared" si="37"/>
        <v>126</v>
      </c>
      <c r="M52" s="15">
        <f t="shared" si="37"/>
        <v>927</v>
      </c>
      <c r="N52" s="15">
        <f t="shared" si="37"/>
        <v>1155</v>
      </c>
      <c r="O52" s="15">
        <f t="shared" si="37"/>
        <v>626</v>
      </c>
      <c r="P52" s="16">
        <f>P14</f>
        <v>193</v>
      </c>
      <c r="U52" s="15">
        <f t="shared" ref="U52:Z52" si="38">U14</f>
        <v>2144</v>
      </c>
      <c r="V52" s="15">
        <f t="shared" si="38"/>
        <v>-4801</v>
      </c>
      <c r="W52" s="15">
        <f t="shared" si="38"/>
        <v>-439</v>
      </c>
      <c r="X52" s="15">
        <f t="shared" si="38"/>
        <v>2457</v>
      </c>
      <c r="Y52" s="15">
        <f t="shared" si="38"/>
        <v>2785</v>
      </c>
      <c r="Z52" s="15">
        <f t="shared" si="38"/>
        <v>2836</v>
      </c>
    </row>
    <row r="53" spans="3:26" x14ac:dyDescent="0.25">
      <c r="C53" s="2" t="s">
        <v>71</v>
      </c>
      <c r="D53" s="15">
        <v>-279</v>
      </c>
      <c r="E53" s="15"/>
      <c r="F53" s="15"/>
      <c r="G53" s="15">
        <v>488</v>
      </c>
      <c r="H53" s="15">
        <v>199</v>
      </c>
      <c r="I53" s="15">
        <v>833</v>
      </c>
      <c r="J53" s="15">
        <v>1251</v>
      </c>
      <c r="K53" s="15">
        <v>502</v>
      </c>
      <c r="L53" s="15">
        <v>126</v>
      </c>
      <c r="M53" s="15">
        <v>927</v>
      </c>
      <c r="N53" s="15">
        <v>1155</v>
      </c>
      <c r="O53" s="15">
        <v>626</v>
      </c>
      <c r="P53" s="16">
        <v>194</v>
      </c>
      <c r="U53" s="15">
        <v>2144</v>
      </c>
      <c r="V53" s="15">
        <v>-4800</v>
      </c>
      <c r="W53" s="15">
        <v>-440</v>
      </c>
      <c r="X53" s="15">
        <v>2457</v>
      </c>
      <c r="Y53" s="15">
        <v>2785</v>
      </c>
      <c r="Z53" s="15">
        <v>2836</v>
      </c>
    </row>
    <row r="54" spans="3:26" x14ac:dyDescent="0.25">
      <c r="C54" s="2" t="s">
        <v>72</v>
      </c>
      <c r="D54" s="15">
        <f>820</f>
        <v>820</v>
      </c>
      <c r="E54" s="15"/>
      <c r="F54" s="15"/>
      <c r="G54" s="15">
        <f>878+39</f>
        <v>917</v>
      </c>
      <c r="H54" s="15">
        <f>938+15</f>
        <v>953</v>
      </c>
      <c r="I54" s="15">
        <f>943+40</f>
        <v>983</v>
      </c>
      <c r="J54" s="15">
        <f>970-11</f>
        <v>959</v>
      </c>
      <c r="K54" s="15">
        <f>962+54</f>
        <v>1016</v>
      </c>
      <c r="L54" s="15">
        <f>955+22</f>
        <v>977</v>
      </c>
      <c r="M54" s="15">
        <f>975+24</f>
        <v>999</v>
      </c>
      <c r="N54" s="15">
        <f>967+23</f>
        <v>990</v>
      </c>
      <c r="O54" s="15">
        <f>987+19</f>
        <v>1006</v>
      </c>
      <c r="P54" s="16">
        <f>966+37</f>
        <v>1003</v>
      </c>
      <c r="U54" s="15">
        <v>3108</v>
      </c>
      <c r="V54" s="15">
        <v>6226</v>
      </c>
      <c r="W54" s="15">
        <v>3120</v>
      </c>
      <c r="X54" s="15">
        <v>3400</v>
      </c>
      <c r="Y54" s="15">
        <v>3910</v>
      </c>
      <c r="Z54" s="15">
        <v>3972</v>
      </c>
    </row>
    <row r="55" spans="3:26" x14ac:dyDescent="0.25">
      <c r="C55" s="2" t="s">
        <v>73</v>
      </c>
      <c r="D55" s="15">
        <v>-34</v>
      </c>
      <c r="E55" s="15"/>
      <c r="F55" s="15"/>
      <c r="G55" s="15">
        <v>-3</v>
      </c>
      <c r="H55" s="15">
        <v>-50</v>
      </c>
      <c r="I55" s="15">
        <v>-29</v>
      </c>
      <c r="J55" s="15">
        <v>-15</v>
      </c>
      <c r="K55" s="15">
        <v>-15</v>
      </c>
      <c r="L55" s="15">
        <v>-54</v>
      </c>
      <c r="M55" s="15">
        <v>-51</v>
      </c>
      <c r="N55" s="15">
        <v>-4</v>
      </c>
      <c r="O55" s="15">
        <v>-17</v>
      </c>
      <c r="P55" s="16">
        <v>-119</v>
      </c>
      <c r="U55" s="15">
        <v>-343</v>
      </c>
      <c r="V55" s="15">
        <v>-54</v>
      </c>
      <c r="W55" s="15">
        <v>-51</v>
      </c>
      <c r="X55" s="15">
        <v>-39</v>
      </c>
      <c r="Y55" s="15">
        <v>-109</v>
      </c>
      <c r="Z55" s="15">
        <v>-126</v>
      </c>
    </row>
    <row r="56" spans="3:26" x14ac:dyDescent="0.25">
      <c r="C56" s="2" t="s">
        <v>74</v>
      </c>
      <c r="D56" s="15">
        <v>-440</v>
      </c>
      <c r="E56" s="15"/>
      <c r="F56" s="15"/>
      <c r="G56" s="15">
        <v>569</v>
      </c>
      <c r="H56" s="15">
        <v>-370</v>
      </c>
      <c r="I56" s="15">
        <v>23</v>
      </c>
      <c r="J56" s="15">
        <v>-160</v>
      </c>
      <c r="K56" s="15">
        <v>315</v>
      </c>
      <c r="L56" s="15">
        <v>-435</v>
      </c>
      <c r="M56" s="15">
        <v>-29</v>
      </c>
      <c r="N56" s="15">
        <v>-245</v>
      </c>
      <c r="O56" s="15">
        <v>416</v>
      </c>
      <c r="P56" s="16">
        <v>-394</v>
      </c>
      <c r="U56" s="15">
        <f>3+51-120-17+241</f>
        <v>158</v>
      </c>
      <c r="V56" s="15">
        <f>35+465+35-467-289</f>
        <v>-221</v>
      </c>
      <c r="W56" s="15">
        <f>-14-368+74+656+724</f>
        <v>1072</v>
      </c>
      <c r="X56" s="15">
        <f>-22-228+36-22+850</f>
        <v>614</v>
      </c>
      <c r="Y56" s="15">
        <f>-6+156-370+142-114</f>
        <v>-192</v>
      </c>
      <c r="Z56" s="15">
        <f>-7+71+174-257-274</f>
        <v>-293</v>
      </c>
    </row>
    <row r="57" spans="3:26" x14ac:dyDescent="0.25">
      <c r="C57" s="1" t="s">
        <v>31</v>
      </c>
      <c r="D57" s="13">
        <f t="shared" ref="D57:O57" si="39">SUM(D53:D56)</f>
        <v>67</v>
      </c>
      <c r="E57" s="13">
        <f t="shared" si="39"/>
        <v>0</v>
      </c>
      <c r="F57" s="13">
        <f t="shared" si="39"/>
        <v>0</v>
      </c>
      <c r="G57" s="13">
        <f t="shared" si="39"/>
        <v>1971</v>
      </c>
      <c r="H57" s="13">
        <f t="shared" si="39"/>
        <v>732</v>
      </c>
      <c r="I57" s="13">
        <f t="shared" si="39"/>
        <v>1810</v>
      </c>
      <c r="J57" s="13">
        <f t="shared" si="39"/>
        <v>2035</v>
      </c>
      <c r="K57" s="13">
        <f t="shared" si="39"/>
        <v>1818</v>
      </c>
      <c r="L57" s="13">
        <f t="shared" si="39"/>
        <v>614</v>
      </c>
      <c r="M57" s="13">
        <f t="shared" si="39"/>
        <v>1846</v>
      </c>
      <c r="N57" s="13">
        <f t="shared" si="39"/>
        <v>1896</v>
      </c>
      <c r="O57" s="13">
        <f t="shared" si="39"/>
        <v>2031</v>
      </c>
      <c r="P57" s="14">
        <f>SUM(P53:P56)</f>
        <v>684</v>
      </c>
      <c r="U57" s="13">
        <f t="shared" ref="U57:Y57" si="40">SUM(U53:U56)</f>
        <v>5067</v>
      </c>
      <c r="V57" s="13">
        <f t="shared" si="40"/>
        <v>1151</v>
      </c>
      <c r="W57" s="13">
        <f t="shared" si="40"/>
        <v>3701</v>
      </c>
      <c r="X57" s="13">
        <f t="shared" si="40"/>
        <v>6432</v>
      </c>
      <c r="Y57" s="13">
        <f t="shared" si="40"/>
        <v>6394</v>
      </c>
      <c r="Z57" s="13">
        <f>SUM(Z53:Z56)</f>
        <v>6389</v>
      </c>
    </row>
    <row r="58" spans="3:26" x14ac:dyDescent="0.25"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6"/>
      <c r="U58" s="15"/>
      <c r="V58" s="15"/>
      <c r="W58" s="15"/>
      <c r="X58" s="15"/>
      <c r="Y58" s="15"/>
      <c r="Z58" s="15"/>
    </row>
    <row r="59" spans="3:26" x14ac:dyDescent="0.25">
      <c r="C59" s="2" t="s">
        <v>75</v>
      </c>
      <c r="D59" s="15">
        <v>-203</v>
      </c>
      <c r="E59" s="15"/>
      <c r="F59" s="15"/>
      <c r="G59" s="15">
        <v>-82</v>
      </c>
      <c r="H59" s="15">
        <v>-91</v>
      </c>
      <c r="I59" s="15">
        <v>-119</v>
      </c>
      <c r="J59" s="15">
        <v>-101</v>
      </c>
      <c r="K59" s="15">
        <v>-211</v>
      </c>
      <c r="L59" s="15">
        <v>-263</v>
      </c>
      <c r="M59" s="15">
        <v>-281</v>
      </c>
      <c r="N59" s="15">
        <v>-163</v>
      </c>
      <c r="O59" s="15">
        <v>-350</v>
      </c>
      <c r="P59" s="16">
        <v>-260</v>
      </c>
      <c r="U59" s="15">
        <v>-1155</v>
      </c>
      <c r="V59" s="15">
        <v>-751</v>
      </c>
      <c r="W59" s="15">
        <v>-513</v>
      </c>
      <c r="X59" s="15">
        <v>-635</v>
      </c>
      <c r="Y59" s="15">
        <v>-521</v>
      </c>
      <c r="Z59" s="15">
        <v>-1056</v>
      </c>
    </row>
    <row r="60" spans="3:26" x14ac:dyDescent="0.25">
      <c r="C60" s="1" t="s">
        <v>33</v>
      </c>
      <c r="D60" s="13">
        <f t="shared" ref="D60:N60" si="41">D59</f>
        <v>-203</v>
      </c>
      <c r="E60" s="13">
        <f t="shared" si="41"/>
        <v>0</v>
      </c>
      <c r="F60" s="13">
        <f t="shared" si="41"/>
        <v>0</v>
      </c>
      <c r="G60" s="13">
        <f t="shared" si="41"/>
        <v>-82</v>
      </c>
      <c r="H60" s="13">
        <f t="shared" si="41"/>
        <v>-91</v>
      </c>
      <c r="I60" s="13">
        <f t="shared" si="41"/>
        <v>-119</v>
      </c>
      <c r="J60" s="13">
        <f t="shared" si="41"/>
        <v>-101</v>
      </c>
      <c r="K60" s="13">
        <f t="shared" si="41"/>
        <v>-211</v>
      </c>
      <c r="L60" s="13">
        <f t="shared" si="41"/>
        <v>-263</v>
      </c>
      <c r="M60" s="13">
        <f t="shared" si="41"/>
        <v>-281</v>
      </c>
      <c r="N60" s="13">
        <f t="shared" si="41"/>
        <v>-163</v>
      </c>
      <c r="O60" s="13">
        <f>O59</f>
        <v>-350</v>
      </c>
      <c r="P60" s="14">
        <f>P59</f>
        <v>-260</v>
      </c>
      <c r="U60" s="13">
        <f t="shared" ref="U60:Y60" si="42">SUM(U59)</f>
        <v>-1155</v>
      </c>
      <c r="V60" s="13">
        <f t="shared" si="42"/>
        <v>-751</v>
      </c>
      <c r="W60" s="13">
        <f t="shared" si="42"/>
        <v>-513</v>
      </c>
      <c r="X60" s="13">
        <f t="shared" si="42"/>
        <v>-635</v>
      </c>
      <c r="Y60" s="13">
        <f t="shared" si="42"/>
        <v>-521</v>
      </c>
      <c r="Z60" s="13">
        <f>SUM(Z59)</f>
        <v>-1056</v>
      </c>
    </row>
    <row r="61" spans="3:26" x14ac:dyDescent="0.25"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U61" s="15"/>
      <c r="V61" s="15"/>
      <c r="W61" s="15"/>
      <c r="X61" s="15"/>
      <c r="Y61" s="15"/>
      <c r="Z61" s="15"/>
    </row>
    <row r="62" spans="3:26" x14ac:dyDescent="0.25">
      <c r="C62" s="2" t="s">
        <v>76</v>
      </c>
      <c r="D62" s="15">
        <v>0</v>
      </c>
      <c r="E62" s="15"/>
      <c r="F62" s="15"/>
      <c r="G62" s="15">
        <v>0</v>
      </c>
      <c r="H62" s="15">
        <v>0</v>
      </c>
      <c r="I62" s="15">
        <v>-7</v>
      </c>
      <c r="J62" s="15">
        <v>0</v>
      </c>
      <c r="K62" s="15">
        <v>0</v>
      </c>
      <c r="L62" s="15">
        <v>0</v>
      </c>
      <c r="M62" s="15">
        <v>-7</v>
      </c>
      <c r="N62" s="15">
        <v>0</v>
      </c>
      <c r="O62" s="15">
        <v>0</v>
      </c>
      <c r="P62" s="16">
        <v>0</v>
      </c>
      <c r="U62" s="15">
        <v>-14</v>
      </c>
      <c r="V62" s="15">
        <v>-37</v>
      </c>
      <c r="W62" s="15">
        <v>-3</v>
      </c>
      <c r="X62" s="15">
        <v>-10</v>
      </c>
      <c r="Y62" s="15">
        <v>-7</v>
      </c>
      <c r="Z62" s="15">
        <v>-7</v>
      </c>
    </row>
    <row r="63" spans="3:26" x14ac:dyDescent="0.25">
      <c r="C63" s="2" t="s">
        <v>86</v>
      </c>
      <c r="D63" s="15">
        <v>0</v>
      </c>
      <c r="E63" s="15"/>
      <c r="F63" s="15"/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6">
        <v>0</v>
      </c>
      <c r="V63" s="15">
        <v>1701</v>
      </c>
      <c r="W63" s="15">
        <v>0</v>
      </c>
      <c r="X63" s="15">
        <v>0</v>
      </c>
      <c r="Y63" s="15">
        <v>0</v>
      </c>
      <c r="Z63" s="15">
        <v>0</v>
      </c>
    </row>
    <row r="64" spans="3:26" x14ac:dyDescent="0.25">
      <c r="C64" s="2" t="s">
        <v>77</v>
      </c>
      <c r="D64" s="15">
        <v>794</v>
      </c>
      <c r="E64" s="15"/>
      <c r="F64" s="15"/>
      <c r="G64" s="15">
        <v>-699</v>
      </c>
      <c r="H64" s="15">
        <v>374</v>
      </c>
      <c r="I64" s="15">
        <v>-340</v>
      </c>
      <c r="J64" s="15">
        <v>-45</v>
      </c>
      <c r="K64" s="15">
        <v>-39</v>
      </c>
      <c r="L64" s="15">
        <v>-44</v>
      </c>
      <c r="M64" s="15">
        <v>-39</v>
      </c>
      <c r="N64" s="15">
        <v>-44</v>
      </c>
      <c r="O64" s="15">
        <v>-631</v>
      </c>
      <c r="P64" s="16">
        <v>156</v>
      </c>
      <c r="U64" s="15">
        <v>626</v>
      </c>
      <c r="V64" s="15">
        <f>4571</f>
        <v>4571</v>
      </c>
      <c r="W64" s="15">
        <f>1577-1257-201</f>
        <v>119</v>
      </c>
      <c r="X64" s="15">
        <v>-2067</v>
      </c>
      <c r="Y64" s="15">
        <v>-51</v>
      </c>
      <c r="Z64" s="15">
        <v>-758</v>
      </c>
    </row>
    <row r="65" spans="3:26" x14ac:dyDescent="0.25">
      <c r="C65" s="2" t="s">
        <v>78</v>
      </c>
      <c r="D65" s="15">
        <v>0</v>
      </c>
      <c r="E65" s="15"/>
      <c r="F65" s="15"/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6">
        <v>0</v>
      </c>
      <c r="U65" s="15">
        <v>-574</v>
      </c>
      <c r="V65" s="15">
        <v>0</v>
      </c>
      <c r="W65" s="15">
        <v>0</v>
      </c>
      <c r="X65" s="15">
        <v>0</v>
      </c>
      <c r="Y65" s="15">
        <v>-630</v>
      </c>
      <c r="Z65" s="15">
        <v>0</v>
      </c>
    </row>
    <row r="66" spans="3:26" x14ac:dyDescent="0.25">
      <c r="C66" s="2" t="s">
        <v>79</v>
      </c>
      <c r="D66" s="15">
        <v>0</v>
      </c>
      <c r="E66" s="15"/>
      <c r="F66" s="15"/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-52</v>
      </c>
      <c r="P66" s="16">
        <v>-239</v>
      </c>
      <c r="U66" s="15">
        <v>-2147</v>
      </c>
      <c r="V66" s="15">
        <v>0</v>
      </c>
      <c r="W66" s="15">
        <v>0</v>
      </c>
      <c r="X66" s="15">
        <v>0</v>
      </c>
      <c r="Y66" s="15">
        <v>0</v>
      </c>
      <c r="Z66" s="15">
        <v>-52</v>
      </c>
    </row>
    <row r="67" spans="3:26" x14ac:dyDescent="0.25">
      <c r="C67" s="2" t="s">
        <v>80</v>
      </c>
      <c r="D67" s="15">
        <v>0</v>
      </c>
      <c r="E67" s="15"/>
      <c r="F67" s="15"/>
      <c r="G67" s="15">
        <v>0</v>
      </c>
      <c r="H67" s="15">
        <v>0</v>
      </c>
      <c r="I67" s="15">
        <v>0</v>
      </c>
      <c r="J67" s="15">
        <v>0</v>
      </c>
      <c r="K67" s="15">
        <v>0</v>
      </c>
      <c r="L67" s="15">
        <v>0</v>
      </c>
      <c r="M67" s="15">
        <v>0</v>
      </c>
      <c r="N67" s="15">
        <v>0</v>
      </c>
      <c r="O67" s="15">
        <v>-544</v>
      </c>
      <c r="P67" s="16">
        <v>0</v>
      </c>
      <c r="U67" s="15">
        <v>-513</v>
      </c>
      <c r="V67" s="15">
        <v>0</v>
      </c>
      <c r="W67" s="15">
        <v>0</v>
      </c>
      <c r="X67" s="15">
        <v>0</v>
      </c>
      <c r="Y67" s="15">
        <v>0</v>
      </c>
      <c r="Z67" s="15">
        <v>-544</v>
      </c>
    </row>
    <row r="68" spans="3:26" x14ac:dyDescent="0.25">
      <c r="C68" s="2" t="s">
        <v>81</v>
      </c>
      <c r="D68" s="15">
        <v>-462</v>
      </c>
      <c r="E68" s="15"/>
      <c r="F68" s="15"/>
      <c r="G68" s="15">
        <v>-532</v>
      </c>
      <c r="H68" s="15">
        <v>-552</v>
      </c>
      <c r="I68" s="15">
        <v>-575</v>
      </c>
      <c r="J68" s="15">
        <v>-603</v>
      </c>
      <c r="K68" s="15">
        <v>-598</v>
      </c>
      <c r="L68" s="15">
        <v>-609</v>
      </c>
      <c r="M68" s="15">
        <v>-631</v>
      </c>
      <c r="N68" s="15">
        <v>-627</v>
      </c>
      <c r="O68" s="15">
        <v>-634</v>
      </c>
      <c r="P68" s="16">
        <v>-655</v>
      </c>
      <c r="U68" s="15">
        <v>-6</v>
      </c>
      <c r="V68" s="15">
        <f>-2999-2155</f>
        <v>-5154</v>
      </c>
      <c r="W68" s="15">
        <v>-1544</v>
      </c>
      <c r="X68" s="15">
        <v>-1976</v>
      </c>
      <c r="Y68" s="15">
        <v>-2328</v>
      </c>
      <c r="Z68" s="15">
        <v>-2500</v>
      </c>
    </row>
    <row r="69" spans="3:26" x14ac:dyDescent="0.25">
      <c r="C69" s="2" t="s">
        <v>82</v>
      </c>
      <c r="D69" s="15">
        <v>0</v>
      </c>
      <c r="E69" s="15"/>
      <c r="F69" s="15"/>
      <c r="G69" s="15">
        <v>0</v>
      </c>
      <c r="H69" s="15">
        <v>-33</v>
      </c>
      <c r="I69" s="15">
        <v>-1</v>
      </c>
      <c r="J69" s="15">
        <v>0</v>
      </c>
      <c r="K69" s="15">
        <v>0</v>
      </c>
      <c r="L69" s="15">
        <v>0</v>
      </c>
      <c r="M69" s="15">
        <v>0</v>
      </c>
      <c r="N69" s="15">
        <v>-15</v>
      </c>
      <c r="O69" s="15">
        <v>0</v>
      </c>
      <c r="P69" s="16">
        <v>0</v>
      </c>
      <c r="U69" s="15">
        <v>-71</v>
      </c>
      <c r="V69" s="15">
        <f>-285-38</f>
        <v>-323</v>
      </c>
      <c r="W69" s="15">
        <v>-65</v>
      </c>
      <c r="X69" s="15">
        <v>0</v>
      </c>
      <c r="Y69" s="15">
        <v>-34</v>
      </c>
      <c r="Z69" s="15">
        <v>-15</v>
      </c>
    </row>
    <row r="70" spans="3:26" x14ac:dyDescent="0.25">
      <c r="C70" s="2" t="s">
        <v>126</v>
      </c>
      <c r="D70" s="15">
        <v>-344</v>
      </c>
      <c r="E70" s="15"/>
      <c r="F70" s="15"/>
      <c r="G70" s="15">
        <v>-383</v>
      </c>
      <c r="H70" s="15">
        <v>-431</v>
      </c>
      <c r="I70" s="15">
        <v>-431</v>
      </c>
      <c r="J70" s="15">
        <v>-444</v>
      </c>
      <c r="K70" s="15">
        <v>-428</v>
      </c>
      <c r="L70" s="15">
        <v>-442</v>
      </c>
      <c r="M70" s="15">
        <v>-441</v>
      </c>
      <c r="N70" s="15">
        <v>-445</v>
      </c>
      <c r="O70" s="15">
        <v>-442</v>
      </c>
      <c r="P70" s="16">
        <v>-17</v>
      </c>
      <c r="U70" s="15">
        <v>-1143</v>
      </c>
      <c r="V70" s="15">
        <v>-148</v>
      </c>
      <c r="W70" s="15">
        <v>0</v>
      </c>
      <c r="X70" s="15">
        <v>0</v>
      </c>
      <c r="Y70" s="15">
        <v>-57</v>
      </c>
      <c r="Z70" s="15">
        <v>-152</v>
      </c>
    </row>
    <row r="71" spans="3:26" x14ac:dyDescent="0.25">
      <c r="C71" s="2" t="s">
        <v>83</v>
      </c>
      <c r="D71" s="15">
        <v>-55</v>
      </c>
      <c r="E71" s="15"/>
      <c r="F71" s="15"/>
      <c r="G71" s="15">
        <v>-30</v>
      </c>
      <c r="H71" s="15">
        <v>-14</v>
      </c>
      <c r="I71" s="15">
        <v>-23</v>
      </c>
      <c r="J71" s="15">
        <v>12</v>
      </c>
      <c r="K71" s="15">
        <v>-32</v>
      </c>
      <c r="L71" s="15">
        <v>-34</v>
      </c>
      <c r="M71" s="15">
        <v>-30</v>
      </c>
      <c r="N71" s="15">
        <v>-3</v>
      </c>
      <c r="O71" s="15">
        <v>-85</v>
      </c>
      <c r="P71" s="16">
        <v>-432</v>
      </c>
      <c r="U71" s="15">
        <v>-361</v>
      </c>
      <c r="V71" s="15">
        <v>-1036</v>
      </c>
      <c r="W71" s="15">
        <f>-266-1194</f>
        <v>-1460</v>
      </c>
      <c r="X71" s="15">
        <f>-1464-155</f>
        <v>-1619</v>
      </c>
      <c r="Y71" s="15">
        <v>-1734</v>
      </c>
      <c r="Z71" s="15">
        <v>-1771</v>
      </c>
    </row>
    <row r="72" spans="3:26" x14ac:dyDescent="0.25">
      <c r="C72" s="1" t="s">
        <v>32</v>
      </c>
      <c r="D72" s="13">
        <f t="shared" ref="D72:O72" si="43">SUM(D62:D71)</f>
        <v>-67</v>
      </c>
      <c r="E72" s="13">
        <f t="shared" si="43"/>
        <v>0</v>
      </c>
      <c r="F72" s="13">
        <f t="shared" si="43"/>
        <v>0</v>
      </c>
      <c r="G72" s="13">
        <f t="shared" si="43"/>
        <v>-1644</v>
      </c>
      <c r="H72" s="13">
        <f t="shared" si="43"/>
        <v>-656</v>
      </c>
      <c r="I72" s="13">
        <f t="shared" si="43"/>
        <v>-1377</v>
      </c>
      <c r="J72" s="13">
        <f t="shared" si="43"/>
        <v>-1080</v>
      </c>
      <c r="K72" s="13">
        <f t="shared" si="43"/>
        <v>-1097</v>
      </c>
      <c r="L72" s="13">
        <f t="shared" si="43"/>
        <v>-1129</v>
      </c>
      <c r="M72" s="13">
        <f t="shared" si="43"/>
        <v>-1148</v>
      </c>
      <c r="N72" s="13">
        <f t="shared" si="43"/>
        <v>-1134</v>
      </c>
      <c r="O72" s="13">
        <f t="shared" si="43"/>
        <v>-2388</v>
      </c>
      <c r="P72" s="14">
        <f>SUM(P62:P71)</f>
        <v>-1187</v>
      </c>
      <c r="U72" s="13">
        <f t="shared" ref="U72:Z72" si="44">SUM(U62:U71)</f>
        <v>-4203</v>
      </c>
      <c r="V72" s="13">
        <f t="shared" si="44"/>
        <v>-426</v>
      </c>
      <c r="W72" s="13">
        <f t="shared" si="44"/>
        <v>-2953</v>
      </c>
      <c r="X72" s="13">
        <f t="shared" si="44"/>
        <v>-5672</v>
      </c>
      <c r="Y72" s="13">
        <f t="shared" si="44"/>
        <v>-4841</v>
      </c>
      <c r="Z72" s="13">
        <f t="shared" si="44"/>
        <v>-5799</v>
      </c>
    </row>
    <row r="73" spans="3:26" x14ac:dyDescent="0.25"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6"/>
      <c r="U73" s="15"/>
      <c r="V73" s="15"/>
      <c r="W73" s="15"/>
      <c r="X73" s="15"/>
      <c r="Y73" s="15"/>
      <c r="Z73" s="15"/>
    </row>
    <row r="74" spans="3:26" x14ac:dyDescent="0.25">
      <c r="C74" s="2" t="s">
        <v>84</v>
      </c>
      <c r="D74" s="15">
        <f t="shared" ref="D74:N74" si="45">D57+D60+D72</f>
        <v>-203</v>
      </c>
      <c r="E74" s="15">
        <f t="shared" si="45"/>
        <v>0</v>
      </c>
      <c r="F74" s="15">
        <f t="shared" si="45"/>
        <v>0</v>
      </c>
      <c r="G74" s="15">
        <f t="shared" si="45"/>
        <v>245</v>
      </c>
      <c r="H74" s="15">
        <f t="shared" si="45"/>
        <v>-15</v>
      </c>
      <c r="I74" s="15">
        <f t="shared" si="45"/>
        <v>314</v>
      </c>
      <c r="J74" s="15">
        <f t="shared" si="45"/>
        <v>854</v>
      </c>
      <c r="K74" s="15">
        <f t="shared" si="45"/>
        <v>510</v>
      </c>
      <c r="L74" s="15">
        <f t="shared" si="45"/>
        <v>-778</v>
      </c>
      <c r="M74" s="15">
        <f t="shared" si="45"/>
        <v>417</v>
      </c>
      <c r="N74" s="15">
        <f t="shared" si="45"/>
        <v>599</v>
      </c>
      <c r="O74" s="15">
        <f>O57+O60+O72</f>
        <v>-707</v>
      </c>
      <c r="P74" s="16">
        <f>P57+P60+P72</f>
        <v>-763</v>
      </c>
      <c r="U74" s="15">
        <f t="shared" ref="U74:Z74" si="46">U57+U60+U72</f>
        <v>-291</v>
      </c>
      <c r="V74" s="15">
        <f t="shared" si="46"/>
        <v>-26</v>
      </c>
      <c r="W74" s="15">
        <f t="shared" si="46"/>
        <v>235</v>
      </c>
      <c r="X74" s="15">
        <f t="shared" si="46"/>
        <v>125</v>
      </c>
      <c r="Y74" s="15">
        <f t="shared" si="46"/>
        <v>1032</v>
      </c>
      <c r="Z74" s="15">
        <f t="shared" si="46"/>
        <v>-466</v>
      </c>
    </row>
    <row r="75" spans="3:26" x14ac:dyDescent="0.25"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6"/>
      <c r="U75" s="15"/>
      <c r="V75" s="15"/>
      <c r="W75" s="15"/>
      <c r="X75" s="15"/>
      <c r="Y75" s="15"/>
      <c r="Z75" s="15"/>
    </row>
    <row r="76" spans="3:26" x14ac:dyDescent="0.25">
      <c r="C76" s="2" t="s">
        <v>85</v>
      </c>
      <c r="D76" s="15">
        <f t="shared" ref="D76:O76" si="47">D57+D59</f>
        <v>-136</v>
      </c>
      <c r="E76" s="15">
        <f t="shared" si="47"/>
        <v>0</v>
      </c>
      <c r="F76" s="15">
        <f t="shared" si="47"/>
        <v>0</v>
      </c>
      <c r="G76" s="15">
        <f t="shared" si="47"/>
        <v>1889</v>
      </c>
      <c r="H76" s="15">
        <f t="shared" si="47"/>
        <v>641</v>
      </c>
      <c r="I76" s="15">
        <f t="shared" si="47"/>
        <v>1691</v>
      </c>
      <c r="J76" s="15">
        <f t="shared" si="47"/>
        <v>1934</v>
      </c>
      <c r="K76" s="15">
        <f t="shared" si="47"/>
        <v>1607</v>
      </c>
      <c r="L76" s="15">
        <f t="shared" si="47"/>
        <v>351</v>
      </c>
      <c r="M76" s="15">
        <f t="shared" si="47"/>
        <v>1565</v>
      </c>
      <c r="N76" s="15">
        <f t="shared" si="47"/>
        <v>1733</v>
      </c>
      <c r="O76" s="15">
        <f t="shared" si="47"/>
        <v>1681</v>
      </c>
      <c r="P76" s="16">
        <f>P57+P59</f>
        <v>424</v>
      </c>
      <c r="U76" s="15">
        <f t="shared" ref="U76:X76" si="48">U57+U59</f>
        <v>3912</v>
      </c>
      <c r="V76" s="15">
        <f t="shared" si="48"/>
        <v>400</v>
      </c>
      <c r="W76" s="15">
        <f t="shared" si="48"/>
        <v>3188</v>
      </c>
      <c r="X76" s="15">
        <f t="shared" si="48"/>
        <v>5797</v>
      </c>
      <c r="Y76" s="15">
        <f>Y57+Y59</f>
        <v>5873</v>
      </c>
      <c r="Z76" s="15">
        <f>Z57+Z59</f>
        <v>5333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058E0-3BA5-6740-BE74-082DF7085DA4}">
  <dimension ref="B2:AF68"/>
  <sheetViews>
    <sheetView showGridLines="0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U19" sqref="U19"/>
    </sheetView>
  </sheetViews>
  <sheetFormatPr baseColWidth="10" defaultRowHeight="19" x14ac:dyDescent="0.25"/>
  <cols>
    <col min="1" max="1" width="4.83203125" style="2" customWidth="1"/>
    <col min="2" max="2" width="37.33203125" style="2" customWidth="1"/>
    <col min="3" max="17" width="10.83203125" style="2"/>
    <col min="18" max="23" width="10.1640625" style="2" customWidth="1"/>
    <col min="24" max="16384" width="10.83203125" style="2"/>
  </cols>
  <sheetData>
    <row r="2" spans="2:32" x14ac:dyDescent="0.25">
      <c r="Y2" s="1" t="s">
        <v>127</v>
      </c>
    </row>
    <row r="3" spans="2:32" x14ac:dyDescent="0.25">
      <c r="B3" s="2" t="s">
        <v>96</v>
      </c>
      <c r="C3" s="7" t="s">
        <v>3</v>
      </c>
      <c r="D3" s="7" t="s">
        <v>4</v>
      </c>
      <c r="E3" s="7" t="s">
        <v>5</v>
      </c>
      <c r="F3" s="7" t="s">
        <v>6</v>
      </c>
      <c r="G3" s="45">
        <v>2022</v>
      </c>
      <c r="H3" s="7" t="s">
        <v>7</v>
      </c>
      <c r="I3" s="7" t="s">
        <v>8</v>
      </c>
      <c r="J3" s="7" t="s">
        <v>9</v>
      </c>
      <c r="K3" s="7" t="s">
        <v>10</v>
      </c>
      <c r="L3" s="45">
        <v>2023</v>
      </c>
      <c r="M3" s="7" t="s">
        <v>11</v>
      </c>
      <c r="N3" s="7" t="s">
        <v>12</v>
      </c>
      <c r="O3" s="7" t="s">
        <v>13</v>
      </c>
      <c r="P3" s="7" t="s">
        <v>14</v>
      </c>
      <c r="Q3" s="45">
        <v>2024</v>
      </c>
      <c r="R3" s="7" t="s">
        <v>106</v>
      </c>
      <c r="S3" s="7" t="s">
        <v>111</v>
      </c>
      <c r="T3" s="7" t="s">
        <v>112</v>
      </c>
      <c r="U3" s="7" t="s">
        <v>113</v>
      </c>
      <c r="V3" s="45">
        <v>2025</v>
      </c>
      <c r="W3" s="44"/>
    </row>
    <row r="4" spans="2:32" ht="24" x14ac:dyDescent="0.3">
      <c r="B4" s="42" t="s">
        <v>94</v>
      </c>
      <c r="G4" s="46"/>
      <c r="L4" s="46"/>
      <c r="Q4" s="46"/>
      <c r="V4" s="46"/>
      <c r="Y4" s="2" t="s">
        <v>94</v>
      </c>
      <c r="Z4" s="29">
        <f>AA4/$AA$9</f>
        <v>0.34012553279499308</v>
      </c>
      <c r="AA4" s="15">
        <v>18912</v>
      </c>
    </row>
    <row r="5" spans="2:32" x14ac:dyDescent="0.25">
      <c r="B5" s="1" t="s">
        <v>41</v>
      </c>
      <c r="C5" s="13">
        <v>827</v>
      </c>
      <c r="D5" s="13">
        <v>1686</v>
      </c>
      <c r="E5" s="13">
        <v>1882</v>
      </c>
      <c r="F5" s="13">
        <v>1658</v>
      </c>
      <c r="G5" s="36">
        <f>SUM(C5:F5)</f>
        <v>6053</v>
      </c>
      <c r="H5" s="13">
        <v>1388</v>
      </c>
      <c r="I5" s="13">
        <v>1751</v>
      </c>
      <c r="J5" s="13">
        <v>1862</v>
      </c>
      <c r="K5" s="13">
        <v>1641</v>
      </c>
      <c r="L5" s="36">
        <f>SUM(H5:K5)</f>
        <v>6642</v>
      </c>
      <c r="M5" s="13">
        <v>1325</v>
      </c>
      <c r="N5" s="13">
        <v>1755</v>
      </c>
      <c r="O5" s="13">
        <v>1873</v>
      </c>
      <c r="P5" s="13">
        <v>1654</v>
      </c>
      <c r="Q5" s="36">
        <f>SUM(M5:P5)</f>
        <v>6607</v>
      </c>
      <c r="R5" s="13">
        <v>1343</v>
      </c>
      <c r="S5" s="1"/>
      <c r="T5" s="1"/>
      <c r="U5" s="1"/>
      <c r="V5" s="36">
        <f>SUM(R5:U5)</f>
        <v>1343</v>
      </c>
      <c r="W5" s="1"/>
      <c r="Y5" s="2" t="s">
        <v>89</v>
      </c>
      <c r="Z5" s="29">
        <f>AA5/$AA$9</f>
        <v>0.28838372030286136</v>
      </c>
      <c r="AA5" s="15">
        <v>16035</v>
      </c>
    </row>
    <row r="6" spans="2:32" ht="23" customHeight="1" x14ac:dyDescent="0.35">
      <c r="B6" s="2" t="s">
        <v>97</v>
      </c>
      <c r="C6" s="2">
        <v>507</v>
      </c>
      <c r="D6" s="2">
        <v>1225</v>
      </c>
      <c r="E6" s="2">
        <v>810</v>
      </c>
      <c r="F6" s="2">
        <v>433</v>
      </c>
      <c r="G6" s="46"/>
      <c r="H6" s="2">
        <v>561</v>
      </c>
      <c r="I6" s="2">
        <v>65</v>
      </c>
      <c r="J6" s="2">
        <v>-20</v>
      </c>
      <c r="K6" s="2">
        <v>-17</v>
      </c>
      <c r="L6" s="46"/>
      <c r="M6" s="2">
        <v>-63</v>
      </c>
      <c r="N6" s="2">
        <v>4</v>
      </c>
      <c r="O6" s="2">
        <v>11</v>
      </c>
      <c r="P6" s="2">
        <v>13</v>
      </c>
      <c r="Q6" s="46"/>
      <c r="R6" s="2">
        <v>18</v>
      </c>
      <c r="V6" s="46"/>
      <c r="Y6" s="2" t="s">
        <v>90</v>
      </c>
      <c r="Z6" s="29">
        <f>AA6/$AA$9</f>
        <v>0.22140891678506555</v>
      </c>
      <c r="AA6" s="15">
        <v>12311</v>
      </c>
      <c r="AC6" s="2" t="s">
        <v>149</v>
      </c>
      <c r="AF6" s="43"/>
    </row>
    <row r="7" spans="2:32" x14ac:dyDescent="0.25">
      <c r="B7" s="30" t="s">
        <v>107</v>
      </c>
      <c r="C7" s="34">
        <v>11</v>
      </c>
      <c r="D7" s="34">
        <v>77</v>
      </c>
      <c r="E7" s="34">
        <v>159</v>
      </c>
      <c r="F7" s="34">
        <v>120</v>
      </c>
      <c r="G7" s="47"/>
      <c r="H7" s="34">
        <v>95</v>
      </c>
      <c r="I7" s="34">
        <v>68</v>
      </c>
      <c r="J7" s="34">
        <v>11</v>
      </c>
      <c r="K7" s="34">
        <v>10</v>
      </c>
      <c r="L7" s="47"/>
      <c r="M7" s="34">
        <v>4</v>
      </c>
      <c r="N7" s="34">
        <v>19</v>
      </c>
      <c r="O7" s="34">
        <v>38</v>
      </c>
      <c r="P7" s="34">
        <v>33</v>
      </c>
      <c r="Q7" s="47"/>
      <c r="R7" s="34">
        <v>9</v>
      </c>
      <c r="S7" s="34"/>
      <c r="T7" s="34"/>
      <c r="U7" s="34"/>
      <c r="V7" s="47"/>
      <c r="W7" s="34"/>
      <c r="Y7" s="2" t="s">
        <v>91</v>
      </c>
      <c r="Z7" s="29">
        <f>AA7/$AA$9</f>
        <v>0.10030034350664532</v>
      </c>
      <c r="AA7" s="15">
        <v>5577</v>
      </c>
    </row>
    <row r="8" spans="2:32" x14ac:dyDescent="0.25">
      <c r="B8" s="30" t="s">
        <v>108</v>
      </c>
      <c r="C8" s="34">
        <v>0</v>
      </c>
      <c r="D8" s="34">
        <v>0</v>
      </c>
      <c r="E8" s="34">
        <v>0</v>
      </c>
      <c r="F8" s="34">
        <v>0</v>
      </c>
      <c r="G8" s="47"/>
      <c r="H8" s="34">
        <v>0</v>
      </c>
      <c r="I8" s="34">
        <v>0</v>
      </c>
      <c r="J8" s="34">
        <v>0</v>
      </c>
      <c r="K8" s="34">
        <v>0</v>
      </c>
      <c r="L8" s="47"/>
      <c r="M8" s="34">
        <v>0</v>
      </c>
      <c r="N8" s="34">
        <v>0</v>
      </c>
      <c r="O8" s="34">
        <v>0</v>
      </c>
      <c r="P8" s="34">
        <v>0</v>
      </c>
      <c r="Q8" s="47"/>
      <c r="R8" s="34">
        <v>15</v>
      </c>
      <c r="S8" s="34"/>
      <c r="T8" s="34"/>
      <c r="U8" s="34"/>
      <c r="V8" s="47"/>
      <c r="W8" s="34"/>
      <c r="Y8" s="2" t="s">
        <v>92</v>
      </c>
      <c r="Z8" s="29">
        <f>AA8/$AA$9</f>
        <v>4.9781486610434689E-2</v>
      </c>
      <c r="AA8" s="15">
        <v>2768</v>
      </c>
    </row>
    <row r="9" spans="2:32" x14ac:dyDescent="0.25">
      <c r="B9" s="30" t="s">
        <v>98</v>
      </c>
      <c r="C9" s="34">
        <v>8</v>
      </c>
      <c r="D9" s="34">
        <v>-7</v>
      </c>
      <c r="E9" s="34">
        <v>-15</v>
      </c>
      <c r="F9" s="34">
        <v>-18</v>
      </c>
      <c r="G9" s="47"/>
      <c r="H9" s="34">
        <v>-33</v>
      </c>
      <c r="I9" s="34">
        <v>-40</v>
      </c>
      <c r="J9" s="34">
        <v>-52</v>
      </c>
      <c r="K9" s="34">
        <v>-45</v>
      </c>
      <c r="L9" s="47"/>
      <c r="M9" s="34">
        <v>-23</v>
      </c>
      <c r="N9" s="34">
        <v>-32</v>
      </c>
      <c r="O9" s="34">
        <v>-24</v>
      </c>
      <c r="P9" s="34">
        <v>-8</v>
      </c>
      <c r="Q9" s="47"/>
      <c r="R9" s="34">
        <v>0</v>
      </c>
      <c r="S9" s="34"/>
      <c r="T9" s="34"/>
      <c r="U9" s="34"/>
      <c r="V9" s="47"/>
      <c r="W9" s="34"/>
      <c r="Y9" s="1" t="s">
        <v>93</v>
      </c>
      <c r="Z9" s="27">
        <f>SUM(Z4:Z8)</f>
        <v>1</v>
      </c>
      <c r="AA9" s="13">
        <f>SUM(AA4:AA8)</f>
        <v>55603</v>
      </c>
    </row>
    <row r="10" spans="2:32" x14ac:dyDescent="0.25">
      <c r="B10" s="31" t="s">
        <v>99</v>
      </c>
      <c r="C10" s="35">
        <v>488</v>
      </c>
      <c r="D10" s="35">
        <v>1155</v>
      </c>
      <c r="E10" s="35">
        <v>667</v>
      </c>
      <c r="F10" s="35">
        <v>330</v>
      </c>
      <c r="G10" s="48"/>
      <c r="H10" s="35">
        <v>499</v>
      </c>
      <c r="I10" s="35">
        <v>36</v>
      </c>
      <c r="J10" s="35">
        <v>22</v>
      </c>
      <c r="K10" s="35">
        <v>18</v>
      </c>
      <c r="L10" s="48"/>
      <c r="M10" s="35">
        <v>-44</v>
      </c>
      <c r="N10" s="35">
        <v>18</v>
      </c>
      <c r="O10" s="35">
        <v>-3</v>
      </c>
      <c r="P10" s="35">
        <v>-11</v>
      </c>
      <c r="Q10" s="48"/>
      <c r="R10" s="35">
        <v>-6</v>
      </c>
      <c r="S10" s="35"/>
      <c r="T10" s="35"/>
      <c r="U10" s="35"/>
      <c r="V10" s="48"/>
      <c r="W10" s="35"/>
    </row>
    <row r="11" spans="2:32" x14ac:dyDescent="0.25">
      <c r="B11" s="1" t="s">
        <v>100</v>
      </c>
      <c r="C11" s="1">
        <v>-80</v>
      </c>
      <c r="D11" s="1">
        <v>333</v>
      </c>
      <c r="E11" s="1">
        <v>401</v>
      </c>
      <c r="F11" s="1">
        <v>221</v>
      </c>
      <c r="G11" s="49">
        <f>SUM(C11:F11)</f>
        <v>875</v>
      </c>
      <c r="H11" s="1">
        <v>95</v>
      </c>
      <c r="I11" s="1">
        <v>270</v>
      </c>
      <c r="J11" s="1">
        <v>405</v>
      </c>
      <c r="K11" s="1">
        <v>225</v>
      </c>
      <c r="L11" s="49">
        <f>SUM(H11:K11)</f>
        <v>995</v>
      </c>
      <c r="M11" s="1">
        <v>66</v>
      </c>
      <c r="N11" s="1">
        <v>288</v>
      </c>
      <c r="O11" s="1">
        <v>406</v>
      </c>
      <c r="P11" s="1">
        <v>220</v>
      </c>
      <c r="Q11" s="49">
        <f>SUM(M11:P11)</f>
        <v>980</v>
      </c>
      <c r="R11" s="1">
        <v>59</v>
      </c>
      <c r="S11" s="1"/>
      <c r="T11" s="1"/>
      <c r="U11" s="1"/>
      <c r="V11" s="49">
        <f>SUM(R11:U11)</f>
        <v>59</v>
      </c>
      <c r="W11" s="1"/>
    </row>
    <row r="12" spans="2:32" x14ac:dyDescent="0.25">
      <c r="B12" s="32" t="s">
        <v>109</v>
      </c>
      <c r="C12" s="33">
        <v>-9.7000000000000003E-2</v>
      </c>
      <c r="D12" s="33">
        <v>0.19700000000000001</v>
      </c>
      <c r="E12" s="33">
        <v>0.21199999999999999</v>
      </c>
      <c r="F12" s="33">
        <v>0.13200000000000001</v>
      </c>
      <c r="G12" s="50"/>
      <c r="H12" s="33">
        <v>6.8000000000000005E-2</v>
      </c>
      <c r="I12" s="33">
        <v>0.154</v>
      </c>
      <c r="J12" s="33">
        <v>0.217</v>
      </c>
      <c r="K12" s="33">
        <v>0.13700000000000001</v>
      </c>
      <c r="L12" s="50"/>
      <c r="M12" s="33">
        <v>0.05</v>
      </c>
      <c r="N12" s="33">
        <v>0.16400000000000001</v>
      </c>
      <c r="O12" s="33">
        <v>0.217</v>
      </c>
      <c r="P12" s="33">
        <v>0.13300000000000001</v>
      </c>
      <c r="Q12" s="50"/>
      <c r="R12" s="33">
        <v>4.3999999999999997E-2</v>
      </c>
      <c r="S12" s="33"/>
      <c r="T12" s="33"/>
      <c r="U12" s="33"/>
      <c r="V12" s="50"/>
      <c r="W12" s="33"/>
    </row>
    <row r="13" spans="2:32" x14ac:dyDescent="0.25">
      <c r="B13" s="1" t="s">
        <v>101</v>
      </c>
      <c r="C13" s="1">
        <v>379</v>
      </c>
      <c r="D13" s="1">
        <v>756</v>
      </c>
      <c r="E13" s="1">
        <v>867</v>
      </c>
      <c r="F13" s="1">
        <v>705</v>
      </c>
      <c r="G13" s="49"/>
      <c r="H13" s="1">
        <v>616</v>
      </c>
      <c r="I13" s="1">
        <v>823</v>
      </c>
      <c r="J13" s="1">
        <v>886</v>
      </c>
      <c r="K13" s="1">
        <v>730</v>
      </c>
      <c r="L13" s="49"/>
      <c r="M13" s="1">
        <v>605</v>
      </c>
      <c r="N13" s="1">
        <v>843</v>
      </c>
      <c r="O13" s="1">
        <v>892</v>
      </c>
      <c r="P13" s="1">
        <v>728</v>
      </c>
      <c r="Q13" s="49"/>
      <c r="R13" s="1">
        <v>607</v>
      </c>
      <c r="S13" s="1"/>
      <c r="T13" s="1"/>
      <c r="U13" s="1"/>
      <c r="V13" s="49"/>
      <c r="W13" s="1"/>
    </row>
    <row r="14" spans="2:32" x14ac:dyDescent="0.25">
      <c r="B14" s="2" t="s">
        <v>103</v>
      </c>
      <c r="C14" s="2">
        <v>2</v>
      </c>
      <c r="D14" s="2">
        <v>0</v>
      </c>
      <c r="E14" s="2">
        <v>13</v>
      </c>
      <c r="F14" s="2">
        <v>3</v>
      </c>
      <c r="G14" s="46"/>
      <c r="H14" s="2">
        <v>4</v>
      </c>
      <c r="I14" s="2">
        <v>8</v>
      </c>
      <c r="J14" s="2">
        <v>8</v>
      </c>
      <c r="K14" s="2">
        <v>5</v>
      </c>
      <c r="L14" s="46"/>
      <c r="M14" s="2">
        <v>3</v>
      </c>
      <c r="N14" s="2">
        <v>5</v>
      </c>
      <c r="O14" s="2">
        <v>5</v>
      </c>
      <c r="P14" s="2">
        <v>-1</v>
      </c>
      <c r="Q14" s="46"/>
      <c r="R14" s="2">
        <v>-7</v>
      </c>
      <c r="V14" s="46"/>
    </row>
    <row r="15" spans="2:32" x14ac:dyDescent="0.25">
      <c r="B15" s="32" t="s">
        <v>99</v>
      </c>
      <c r="C15" s="32">
        <v>218</v>
      </c>
      <c r="D15" s="32">
        <v>533</v>
      </c>
      <c r="E15" s="32">
        <v>350</v>
      </c>
      <c r="F15" s="32">
        <v>160</v>
      </c>
      <c r="G15" s="51"/>
      <c r="H15" s="32">
        <v>233</v>
      </c>
      <c r="I15" s="32">
        <v>58</v>
      </c>
      <c r="J15" s="32">
        <v>11</v>
      </c>
      <c r="K15" s="32">
        <v>20</v>
      </c>
      <c r="L15" s="51"/>
      <c r="M15" s="32">
        <v>-13</v>
      </c>
      <c r="N15" s="32">
        <v>16</v>
      </c>
      <c r="O15" s="32">
        <v>1</v>
      </c>
      <c r="P15" s="32">
        <v>1</v>
      </c>
      <c r="Q15" s="51"/>
      <c r="R15" s="32">
        <v>9</v>
      </c>
      <c r="S15" s="32"/>
      <c r="T15" s="32"/>
      <c r="U15" s="32"/>
      <c r="V15" s="51"/>
      <c r="W15" s="32"/>
    </row>
    <row r="16" spans="2:32" x14ac:dyDescent="0.25">
      <c r="B16" s="2" t="s">
        <v>105</v>
      </c>
      <c r="C16" s="2">
        <v>964</v>
      </c>
      <c r="D16" s="2">
        <v>1164</v>
      </c>
      <c r="E16" s="2">
        <v>1228</v>
      </c>
      <c r="F16" s="2">
        <v>1192</v>
      </c>
      <c r="G16" s="46"/>
      <c r="H16" s="2">
        <v>1120</v>
      </c>
      <c r="I16" s="2">
        <v>1277</v>
      </c>
      <c r="J16" s="2">
        <v>1239</v>
      </c>
      <c r="K16" s="2">
        <v>1223</v>
      </c>
      <c r="L16" s="46"/>
      <c r="M16" s="2">
        <v>1135</v>
      </c>
      <c r="N16" s="2">
        <v>1313</v>
      </c>
      <c r="O16" s="2">
        <v>1238</v>
      </c>
      <c r="P16" s="2">
        <v>1232</v>
      </c>
      <c r="Q16" s="46"/>
      <c r="R16" s="2">
        <v>1141</v>
      </c>
      <c r="V16" s="46"/>
    </row>
    <row r="17" spans="2:26" x14ac:dyDescent="0.25">
      <c r="B17" s="32" t="s">
        <v>104</v>
      </c>
      <c r="C17" s="33">
        <v>0.39400000000000002</v>
      </c>
      <c r="D17" s="33">
        <v>0.65</v>
      </c>
      <c r="E17" s="33">
        <v>0.70599999999999996</v>
      </c>
      <c r="F17" s="33">
        <v>0.59199999999999997</v>
      </c>
      <c r="G17" s="50"/>
      <c r="H17" s="33">
        <v>0.55000000000000004</v>
      </c>
      <c r="I17" s="33">
        <v>0.64400000000000002</v>
      </c>
      <c r="J17" s="33">
        <v>0.71499999999999997</v>
      </c>
      <c r="K17" s="33">
        <v>0.59699999999999998</v>
      </c>
      <c r="L17" s="50"/>
      <c r="M17" s="33">
        <v>0.53300000000000003</v>
      </c>
      <c r="N17" s="33">
        <v>0.64200000000000002</v>
      </c>
      <c r="O17" s="33">
        <v>0.72099999999999997</v>
      </c>
      <c r="P17" s="33">
        <v>0.59099999999999997</v>
      </c>
      <c r="Q17" s="50"/>
      <c r="R17" s="33">
        <v>0.53200000000000003</v>
      </c>
      <c r="S17" s="33"/>
      <c r="T17" s="33"/>
      <c r="U17" s="33"/>
      <c r="V17" s="50"/>
      <c r="W17" s="33"/>
    </row>
    <row r="18" spans="2:26" x14ac:dyDescent="0.25">
      <c r="G18" s="46"/>
      <c r="L18" s="46"/>
      <c r="Q18" s="46"/>
      <c r="V18" s="46"/>
    </row>
    <row r="19" spans="2:26" ht="24" x14ac:dyDescent="0.3">
      <c r="B19" s="42" t="s">
        <v>89</v>
      </c>
      <c r="G19" s="46"/>
      <c r="L19" s="46"/>
      <c r="Q19" s="46"/>
      <c r="V19" s="46"/>
    </row>
    <row r="20" spans="2:26" x14ac:dyDescent="0.25">
      <c r="B20" s="1" t="s">
        <v>41</v>
      </c>
      <c r="C20" s="13">
        <v>961</v>
      </c>
      <c r="D20" s="13">
        <v>1699</v>
      </c>
      <c r="E20" s="13">
        <v>1876</v>
      </c>
      <c r="F20" s="13">
        <v>1503</v>
      </c>
      <c r="G20" s="36">
        <f>SUM(C20:F20)</f>
        <v>6039</v>
      </c>
      <c r="H20" s="13">
        <v>1313</v>
      </c>
      <c r="I20" s="13">
        <v>1548</v>
      </c>
      <c r="J20" s="13">
        <v>1851</v>
      </c>
      <c r="K20" s="13">
        <v>1469</v>
      </c>
      <c r="L20" s="36">
        <f>SUM(H20:K20)</f>
        <v>6181</v>
      </c>
      <c r="M20" s="13">
        <v>1248</v>
      </c>
      <c r="N20" s="13">
        <v>1636</v>
      </c>
      <c r="O20" s="13">
        <v>1783</v>
      </c>
      <c r="P20" s="13">
        <v>1461</v>
      </c>
      <c r="Q20" s="36">
        <f>SUM(M20:P20)</f>
        <v>6128</v>
      </c>
      <c r="R20" s="13">
        <v>1340</v>
      </c>
      <c r="S20" s="1"/>
      <c r="T20" s="1"/>
      <c r="U20" s="1"/>
      <c r="V20" s="36">
        <f>SUM(R20:U20)</f>
        <v>1340</v>
      </c>
      <c r="W20" s="1"/>
    </row>
    <row r="21" spans="2:26" x14ac:dyDescent="0.25">
      <c r="B21" s="2" t="s">
        <v>102</v>
      </c>
      <c r="C21" s="2">
        <v>63</v>
      </c>
      <c r="D21" s="2">
        <v>76</v>
      </c>
      <c r="E21" s="2">
        <v>116</v>
      </c>
      <c r="F21" s="2">
        <v>60</v>
      </c>
      <c r="G21" s="46"/>
      <c r="H21" s="2">
        <v>-47</v>
      </c>
      <c r="I21" s="2">
        <v>-93</v>
      </c>
      <c r="J21" s="2">
        <v>-49</v>
      </c>
      <c r="K21" s="2">
        <v>-101</v>
      </c>
      <c r="L21" s="46"/>
      <c r="M21" s="2">
        <v>-41</v>
      </c>
      <c r="N21" s="2">
        <v>9</v>
      </c>
      <c r="O21" s="2">
        <v>-97</v>
      </c>
      <c r="P21" s="2">
        <v>-10</v>
      </c>
      <c r="Q21" s="46"/>
      <c r="R21" s="2">
        <v>-33</v>
      </c>
      <c r="V21" s="46"/>
    </row>
    <row r="22" spans="2:26" x14ac:dyDescent="0.25">
      <c r="B22" s="2" t="s">
        <v>97</v>
      </c>
      <c r="C22" s="2">
        <v>579</v>
      </c>
      <c r="D22" s="2">
        <v>980</v>
      </c>
      <c r="E22" s="2">
        <v>329</v>
      </c>
      <c r="F22" s="2">
        <v>307</v>
      </c>
      <c r="G22" s="46"/>
      <c r="H22" s="2">
        <v>398</v>
      </c>
      <c r="I22" s="2">
        <v>-59</v>
      </c>
      <c r="J22" s="2">
        <v>25</v>
      </c>
      <c r="K22" s="2">
        <v>68</v>
      </c>
      <c r="L22" s="46"/>
      <c r="M22" s="2">
        <v>-24</v>
      </c>
      <c r="N22" s="2">
        <v>79</v>
      </c>
      <c r="O22" s="2">
        <v>28</v>
      </c>
      <c r="P22" s="2">
        <v>1</v>
      </c>
      <c r="Q22" s="46"/>
      <c r="R22" s="2">
        <v>126</v>
      </c>
      <c r="V22" s="46"/>
    </row>
    <row r="23" spans="2:26" x14ac:dyDescent="0.25">
      <c r="B23" s="30" t="s">
        <v>107</v>
      </c>
      <c r="C23" s="34">
        <v>8</v>
      </c>
      <c r="D23" s="34">
        <v>17</v>
      </c>
      <c r="E23" s="34">
        <v>53</v>
      </c>
      <c r="F23" s="34">
        <v>45</v>
      </c>
      <c r="G23" s="47"/>
      <c r="H23" s="34">
        <v>53</v>
      </c>
      <c r="I23" s="34">
        <v>44</v>
      </c>
      <c r="J23" s="34">
        <v>16</v>
      </c>
      <c r="K23" s="34">
        <v>4</v>
      </c>
      <c r="L23" s="47"/>
      <c r="M23" s="34">
        <v>0</v>
      </c>
      <c r="N23" s="34">
        <v>0</v>
      </c>
      <c r="O23" s="34">
        <v>0</v>
      </c>
      <c r="P23" s="34">
        <v>0</v>
      </c>
      <c r="Q23" s="47"/>
      <c r="R23" s="34">
        <v>0</v>
      </c>
      <c r="S23" s="34"/>
      <c r="T23" s="34"/>
      <c r="U23" s="34"/>
      <c r="V23" s="47"/>
      <c r="W23" s="34"/>
    </row>
    <row r="24" spans="2:26" x14ac:dyDescent="0.25">
      <c r="B24" s="30" t="s">
        <v>108</v>
      </c>
      <c r="C24" s="34">
        <v>0</v>
      </c>
      <c r="D24" s="34">
        <v>0</v>
      </c>
      <c r="E24" s="34">
        <v>0</v>
      </c>
      <c r="F24" s="34">
        <v>0</v>
      </c>
      <c r="G24" s="47"/>
      <c r="H24" s="34">
        <v>0</v>
      </c>
      <c r="I24" s="34">
        <v>0</v>
      </c>
      <c r="J24" s="34">
        <v>0</v>
      </c>
      <c r="K24" s="34">
        <v>0</v>
      </c>
      <c r="L24" s="47"/>
      <c r="M24" s="34">
        <v>0</v>
      </c>
      <c r="N24" s="34">
        <v>0</v>
      </c>
      <c r="O24" s="2">
        <v>0</v>
      </c>
      <c r="P24" s="34">
        <v>0</v>
      </c>
      <c r="Q24" s="47"/>
      <c r="R24" s="34">
        <v>-19</v>
      </c>
      <c r="S24" s="34"/>
      <c r="T24" s="34"/>
      <c r="U24" s="34"/>
      <c r="V24" s="47"/>
      <c r="W24" s="34"/>
    </row>
    <row r="25" spans="2:26" x14ac:dyDescent="0.25">
      <c r="B25" s="30" t="s">
        <v>98</v>
      </c>
      <c r="C25" s="34">
        <v>-2</v>
      </c>
      <c r="D25" s="34">
        <v>-4</v>
      </c>
      <c r="E25" s="34">
        <v>-7</v>
      </c>
      <c r="F25" s="34">
        <v>0</v>
      </c>
      <c r="G25" s="47"/>
      <c r="H25" s="34">
        <v>0</v>
      </c>
      <c r="I25" s="34">
        <v>-87</v>
      </c>
      <c r="J25" s="34">
        <v>-20</v>
      </c>
      <c r="K25" s="34">
        <v>11</v>
      </c>
      <c r="L25" s="47"/>
      <c r="M25" s="34">
        <v>-33</v>
      </c>
      <c r="N25" s="34">
        <v>-35</v>
      </c>
      <c r="O25" s="34">
        <v>-77</v>
      </c>
      <c r="P25" s="34">
        <v>-71</v>
      </c>
      <c r="Q25" s="47"/>
      <c r="R25" s="34">
        <v>-3</v>
      </c>
      <c r="S25" s="34"/>
      <c r="T25" s="34"/>
      <c r="U25" s="34"/>
      <c r="V25" s="47"/>
      <c r="W25" s="34"/>
    </row>
    <row r="26" spans="2:26" x14ac:dyDescent="0.25">
      <c r="B26" s="31" t="s">
        <v>99</v>
      </c>
      <c r="C26" s="35">
        <v>573</v>
      </c>
      <c r="D26" s="35">
        <v>966</v>
      </c>
      <c r="E26" s="35">
        <v>283</v>
      </c>
      <c r="F26" s="35">
        <v>263</v>
      </c>
      <c r="G26" s="48"/>
      <c r="H26" s="35">
        <v>345</v>
      </c>
      <c r="I26" s="35">
        <v>-16</v>
      </c>
      <c r="J26" s="35">
        <v>29</v>
      </c>
      <c r="K26" s="35">
        <v>53</v>
      </c>
      <c r="L26" s="48"/>
      <c r="M26" s="35">
        <v>9</v>
      </c>
      <c r="N26" s="35">
        <v>114</v>
      </c>
      <c r="O26" s="35">
        <v>105</v>
      </c>
      <c r="P26" s="35">
        <v>72</v>
      </c>
      <c r="Q26" s="48"/>
      <c r="R26" s="35">
        <v>148</v>
      </c>
      <c r="S26" s="35"/>
      <c r="T26" s="35"/>
      <c r="U26" s="35"/>
      <c r="V26" s="48"/>
      <c r="W26" s="35"/>
    </row>
    <row r="27" spans="2:26" x14ac:dyDescent="0.25">
      <c r="B27" s="1" t="s">
        <v>100</v>
      </c>
      <c r="C27" s="1">
        <v>135</v>
      </c>
      <c r="D27" s="1">
        <v>417</v>
      </c>
      <c r="E27" s="1">
        <v>425</v>
      </c>
      <c r="F27" s="1">
        <v>194</v>
      </c>
      <c r="G27" s="49">
        <f>SUM(C27:F27)</f>
        <v>1171</v>
      </c>
      <c r="H27" s="1">
        <v>152</v>
      </c>
      <c r="I27" s="1">
        <v>285</v>
      </c>
      <c r="J27" s="1">
        <v>404</v>
      </c>
      <c r="K27" s="1">
        <v>170</v>
      </c>
      <c r="L27" s="49">
        <f>SUM(H27:K27)</f>
        <v>1011</v>
      </c>
      <c r="M27" s="1">
        <v>92</v>
      </c>
      <c r="N27" s="1">
        <v>288</v>
      </c>
      <c r="O27" s="1">
        <v>353</v>
      </c>
      <c r="P27" s="1">
        <v>176</v>
      </c>
      <c r="Q27" s="49">
        <f>SUM(M27:P27)</f>
        <v>909</v>
      </c>
      <c r="R27" s="1">
        <v>141</v>
      </c>
      <c r="S27" s="1"/>
      <c r="T27" s="1"/>
      <c r="U27" s="1"/>
      <c r="V27" s="49">
        <f>SUM(R27:U27)</f>
        <v>141</v>
      </c>
      <c r="W27" s="1"/>
      <c r="Y27" s="1" t="s">
        <v>140</v>
      </c>
      <c r="Z27" s="2" t="s">
        <v>139</v>
      </c>
    </row>
    <row r="28" spans="2:26" x14ac:dyDescent="0.25">
      <c r="B28" s="32" t="s">
        <v>109</v>
      </c>
      <c r="C28" s="33">
        <v>0.14000000000000001</v>
      </c>
      <c r="D28" s="33">
        <v>0.245</v>
      </c>
      <c r="E28" s="33">
        <v>0.22700000000000001</v>
      </c>
      <c r="F28" s="33">
        <v>0.129</v>
      </c>
      <c r="G28" s="50"/>
      <c r="H28" s="33">
        <v>0.115</v>
      </c>
      <c r="I28" s="33">
        <v>0.184</v>
      </c>
      <c r="J28" s="33">
        <v>0.218</v>
      </c>
      <c r="K28" s="33">
        <v>0.11600000000000001</v>
      </c>
      <c r="L28" s="50"/>
      <c r="M28" s="33">
        <v>7.3999999999999996E-2</v>
      </c>
      <c r="N28" s="33">
        <v>0.17599999999999999</v>
      </c>
      <c r="O28" s="33">
        <v>0.19800000000000001</v>
      </c>
      <c r="P28" s="33">
        <v>0.12</v>
      </c>
      <c r="Q28" s="50"/>
      <c r="R28" s="33">
        <v>0.105</v>
      </c>
      <c r="S28" s="33"/>
      <c r="T28" s="33"/>
      <c r="U28" s="33"/>
      <c r="V28" s="50"/>
      <c r="W28" s="33"/>
    </row>
    <row r="29" spans="2:26" x14ac:dyDescent="0.25">
      <c r="B29" s="1" t="s">
        <v>101</v>
      </c>
      <c r="C29" s="1">
        <v>482</v>
      </c>
      <c r="D29" s="1">
        <v>783</v>
      </c>
      <c r="E29" s="1">
        <v>914</v>
      </c>
      <c r="F29" s="1">
        <v>679</v>
      </c>
      <c r="G29" s="49"/>
      <c r="H29" s="1">
        <v>635</v>
      </c>
      <c r="I29" s="1">
        <v>779</v>
      </c>
      <c r="J29" s="1">
        <v>947</v>
      </c>
      <c r="K29" s="1">
        <v>686</v>
      </c>
      <c r="L29" s="49"/>
      <c r="M29" s="1">
        <v>622</v>
      </c>
      <c r="N29" s="1">
        <v>860</v>
      </c>
      <c r="O29" s="1">
        <v>973</v>
      </c>
      <c r="P29" s="1">
        <v>731</v>
      </c>
      <c r="Q29" s="49"/>
      <c r="R29" s="1">
        <v>709</v>
      </c>
      <c r="S29" s="1"/>
      <c r="T29" s="1"/>
      <c r="U29" s="1"/>
      <c r="V29" s="49"/>
      <c r="W29" s="1"/>
    </row>
    <row r="30" spans="2:26" x14ac:dyDescent="0.25">
      <c r="B30" s="2" t="s">
        <v>102</v>
      </c>
      <c r="C30" s="2">
        <v>32</v>
      </c>
      <c r="D30" s="2">
        <v>35</v>
      </c>
      <c r="E30" s="2">
        <v>56</v>
      </c>
      <c r="F30" s="2">
        <v>26</v>
      </c>
      <c r="G30" s="46"/>
      <c r="H30" s="2">
        <v>-23</v>
      </c>
      <c r="I30" s="2">
        <v>-46</v>
      </c>
      <c r="J30" s="2">
        <v>-25</v>
      </c>
      <c r="K30" s="2">
        <v>-48</v>
      </c>
      <c r="L30" s="46"/>
      <c r="M30" s="2">
        <v>-20</v>
      </c>
      <c r="N30" s="2">
        <v>4</v>
      </c>
      <c r="O30" s="2">
        <v>-51</v>
      </c>
      <c r="P30" s="2">
        <v>-4</v>
      </c>
      <c r="Q30" s="46"/>
      <c r="R30" s="2">
        <v>-18</v>
      </c>
      <c r="V30" s="46"/>
    </row>
    <row r="31" spans="2:26" x14ac:dyDescent="0.25">
      <c r="B31" s="2" t="s">
        <v>103</v>
      </c>
      <c r="C31" s="2">
        <v>0</v>
      </c>
      <c r="D31" s="2">
        <v>2</v>
      </c>
      <c r="E31" s="2">
        <v>-1</v>
      </c>
      <c r="F31" s="2">
        <v>-4</v>
      </c>
      <c r="G31" s="46"/>
      <c r="H31" s="2">
        <v>0</v>
      </c>
      <c r="I31" s="2">
        <v>24</v>
      </c>
      <c r="J31" s="2">
        <v>27</v>
      </c>
      <c r="K31" s="2">
        <v>10</v>
      </c>
      <c r="L31" s="46"/>
      <c r="M31" s="2">
        <v>2</v>
      </c>
      <c r="N31" s="2">
        <v>0</v>
      </c>
      <c r="O31" s="2">
        <v>-9</v>
      </c>
      <c r="P31" s="2">
        <v>6</v>
      </c>
      <c r="Q31" s="46"/>
      <c r="R31" s="2">
        <v>-4</v>
      </c>
      <c r="V31" s="46"/>
    </row>
    <row r="32" spans="2:26" x14ac:dyDescent="0.25">
      <c r="B32" s="32" t="s">
        <v>99</v>
      </c>
      <c r="C32" s="32">
        <v>274</v>
      </c>
      <c r="D32" s="32">
        <v>418</v>
      </c>
      <c r="E32" s="32">
        <v>184</v>
      </c>
      <c r="F32" s="32">
        <v>155</v>
      </c>
      <c r="G32" s="51"/>
      <c r="H32" s="32">
        <v>176</v>
      </c>
      <c r="I32" s="32">
        <v>19</v>
      </c>
      <c r="J32" s="32">
        <v>31</v>
      </c>
      <c r="K32" s="32">
        <v>45</v>
      </c>
      <c r="L32" s="51"/>
      <c r="M32" s="32">
        <v>5</v>
      </c>
      <c r="N32" s="32">
        <v>77</v>
      </c>
      <c r="O32" s="32">
        <v>86</v>
      </c>
      <c r="P32" s="32">
        <v>43</v>
      </c>
      <c r="Q32" s="51"/>
      <c r="R32" s="32">
        <v>102</v>
      </c>
      <c r="S32" s="32"/>
      <c r="T32" s="32"/>
      <c r="U32" s="32"/>
      <c r="V32" s="51"/>
      <c r="W32" s="32"/>
    </row>
    <row r="33" spans="2:26" x14ac:dyDescent="0.25">
      <c r="B33" s="2" t="s">
        <v>105</v>
      </c>
      <c r="C33" s="2">
        <v>1070</v>
      </c>
      <c r="D33" s="2">
        <v>1230</v>
      </c>
      <c r="E33" s="2">
        <v>1289</v>
      </c>
      <c r="F33" s="2">
        <v>1248</v>
      </c>
      <c r="G33" s="46"/>
      <c r="H33" s="2">
        <v>1197</v>
      </c>
      <c r="I33" s="2">
        <v>1283</v>
      </c>
      <c r="J33" s="2">
        <v>1329</v>
      </c>
      <c r="K33" s="2">
        <v>1241</v>
      </c>
      <c r="L33" s="46"/>
      <c r="M33" s="2">
        <v>1204</v>
      </c>
      <c r="N33" s="2">
        <v>1350</v>
      </c>
      <c r="O33" s="2">
        <v>1351</v>
      </c>
      <c r="P33" s="2">
        <v>1258</v>
      </c>
      <c r="Q33" s="46"/>
      <c r="R33" s="2">
        <v>1227</v>
      </c>
      <c r="V33" s="46"/>
    </row>
    <row r="34" spans="2:26" x14ac:dyDescent="0.25">
      <c r="B34" s="32" t="s">
        <v>104</v>
      </c>
      <c r="C34" s="33">
        <v>0.45</v>
      </c>
      <c r="D34" s="33">
        <v>0.63600000000000001</v>
      </c>
      <c r="E34" s="33">
        <v>0.70899999999999996</v>
      </c>
      <c r="F34" s="33">
        <v>0.54400000000000004</v>
      </c>
      <c r="G34" s="50"/>
      <c r="H34" s="33">
        <v>0.53100000000000003</v>
      </c>
      <c r="I34" s="33">
        <v>0.60699999999999998</v>
      </c>
      <c r="J34" s="33">
        <v>0.71299999999999997</v>
      </c>
      <c r="K34" s="33">
        <v>0.55300000000000005</v>
      </c>
      <c r="L34" s="50"/>
      <c r="M34" s="33">
        <v>0.51600000000000001</v>
      </c>
      <c r="N34" s="33">
        <v>0.63700000000000001</v>
      </c>
      <c r="O34" s="33">
        <v>0.72099999999999997</v>
      </c>
      <c r="P34" s="33">
        <v>0.58099999999999996</v>
      </c>
      <c r="Q34" s="50"/>
      <c r="R34" s="33">
        <v>0.57799999999999996</v>
      </c>
      <c r="S34" s="33"/>
      <c r="T34" s="33"/>
      <c r="U34" s="33"/>
      <c r="V34" s="50"/>
      <c r="W34" s="33"/>
    </row>
    <row r="35" spans="2:26" x14ac:dyDescent="0.25">
      <c r="G35" s="46"/>
      <c r="L35" s="46"/>
      <c r="Q35" s="46"/>
      <c r="V35" s="46"/>
    </row>
    <row r="36" spans="2:26" ht="24" x14ac:dyDescent="0.3">
      <c r="B36" s="42" t="s">
        <v>90</v>
      </c>
      <c r="G36" s="46"/>
      <c r="L36" s="46"/>
      <c r="Q36" s="46"/>
      <c r="V36" s="46"/>
      <c r="Y36" s="1" t="s">
        <v>141</v>
      </c>
      <c r="Z36" s="2" t="s">
        <v>142</v>
      </c>
    </row>
    <row r="37" spans="2:26" x14ac:dyDescent="0.25">
      <c r="B37" s="1" t="s">
        <v>41</v>
      </c>
      <c r="C37" s="13">
        <v>562</v>
      </c>
      <c r="D37" s="13">
        <v>1074</v>
      </c>
      <c r="E37" s="13">
        <v>1257</v>
      </c>
      <c r="F37" s="13">
        <v>1196</v>
      </c>
      <c r="G37" s="36">
        <f>SUM(C37:F37)</f>
        <v>4089</v>
      </c>
      <c r="H37" s="13">
        <v>1053</v>
      </c>
      <c r="I37" s="13">
        <v>1264</v>
      </c>
      <c r="J37" s="13">
        <v>1397</v>
      </c>
      <c r="K37" s="13">
        <v>1283</v>
      </c>
      <c r="L37" s="36">
        <f>SUM(H37:K37)</f>
        <v>4997</v>
      </c>
      <c r="M37" s="13">
        <v>1061</v>
      </c>
      <c r="N37" s="13">
        <v>1246</v>
      </c>
      <c r="O37" s="13">
        <v>1311</v>
      </c>
      <c r="P37" s="13">
        <v>1265</v>
      </c>
      <c r="Q37" s="36">
        <f>SUM(M37:P37)</f>
        <v>4883</v>
      </c>
      <c r="R37" s="13">
        <v>1037</v>
      </c>
      <c r="S37" s="1"/>
      <c r="T37" s="1"/>
      <c r="U37" s="1"/>
      <c r="V37" s="36">
        <f>SUM(R37:U37)</f>
        <v>1037</v>
      </c>
      <c r="W37" s="1"/>
    </row>
    <row r="38" spans="2:26" x14ac:dyDescent="0.25">
      <c r="B38" s="2" t="s">
        <v>102</v>
      </c>
      <c r="C38" s="2">
        <v>20</v>
      </c>
      <c r="D38" s="2">
        <v>35</v>
      </c>
      <c r="E38" s="2">
        <v>51</v>
      </c>
      <c r="F38" s="2">
        <v>83</v>
      </c>
      <c r="G38" s="46"/>
      <c r="H38" s="2">
        <v>67</v>
      </c>
      <c r="I38" s="2">
        <v>106</v>
      </c>
      <c r="J38" s="2">
        <v>136</v>
      </c>
      <c r="K38" s="2">
        <v>66</v>
      </c>
      <c r="L38" s="46"/>
      <c r="M38" s="2">
        <v>8</v>
      </c>
      <c r="N38" s="2">
        <v>6</v>
      </c>
      <c r="O38" s="2">
        <v>-33</v>
      </c>
      <c r="P38" s="2">
        <v>1</v>
      </c>
      <c r="Q38" s="46"/>
      <c r="R38" s="2">
        <v>-4</v>
      </c>
      <c r="V38" s="46"/>
    </row>
    <row r="39" spans="2:26" x14ac:dyDescent="0.25">
      <c r="B39" s="2" t="s">
        <v>97</v>
      </c>
      <c r="C39" s="2">
        <v>334</v>
      </c>
      <c r="D39" s="2">
        <v>726</v>
      </c>
      <c r="E39" s="2">
        <v>491</v>
      </c>
      <c r="F39" s="2">
        <v>269</v>
      </c>
      <c r="G39" s="46"/>
      <c r="H39" s="2">
        <v>424</v>
      </c>
      <c r="I39" s="2">
        <v>85</v>
      </c>
      <c r="J39" s="2">
        <v>5</v>
      </c>
      <c r="K39" s="2">
        <v>21</v>
      </c>
      <c r="L39" s="46"/>
      <c r="M39" s="2">
        <v>0</v>
      </c>
      <c r="N39" s="2">
        <v>-24</v>
      </c>
      <c r="O39" s="2">
        <v>-54</v>
      </c>
      <c r="P39" s="2">
        <v>-19</v>
      </c>
      <c r="Q39" s="46"/>
      <c r="R39" s="2">
        <v>-20</v>
      </c>
      <c r="V39" s="46"/>
    </row>
    <row r="40" spans="2:26" x14ac:dyDescent="0.25">
      <c r="B40" s="30" t="s">
        <v>107</v>
      </c>
      <c r="C40" s="34">
        <v>42</v>
      </c>
      <c r="D40" s="34">
        <v>86</v>
      </c>
      <c r="E40" s="34">
        <v>82</v>
      </c>
      <c r="F40" s="34">
        <v>62</v>
      </c>
      <c r="G40" s="47"/>
      <c r="H40" s="34">
        <v>25</v>
      </c>
      <c r="I40" s="34">
        <v>37</v>
      </c>
      <c r="J40" s="34">
        <v>35</v>
      </c>
      <c r="K40" s="34">
        <v>13</v>
      </c>
      <c r="L40" s="47"/>
      <c r="M40" s="34">
        <v>0</v>
      </c>
      <c r="N40" s="34">
        <v>0</v>
      </c>
      <c r="O40" s="34">
        <v>0</v>
      </c>
      <c r="P40" s="34">
        <v>0</v>
      </c>
      <c r="Q40" s="47"/>
      <c r="R40" s="34">
        <v>0</v>
      </c>
      <c r="S40" s="34"/>
      <c r="T40" s="34"/>
      <c r="U40" s="34"/>
      <c r="V40" s="47"/>
      <c r="W40" s="34"/>
    </row>
    <row r="41" spans="2:26" x14ac:dyDescent="0.25">
      <c r="B41" s="30" t="s">
        <v>108</v>
      </c>
      <c r="C41" s="34">
        <v>0</v>
      </c>
      <c r="D41" s="34">
        <v>0</v>
      </c>
      <c r="E41" s="34">
        <v>0</v>
      </c>
      <c r="F41" s="34">
        <v>0</v>
      </c>
      <c r="G41" s="47"/>
      <c r="H41" s="34">
        <v>0</v>
      </c>
      <c r="I41" s="34">
        <v>0</v>
      </c>
      <c r="J41" s="34">
        <v>0</v>
      </c>
      <c r="K41" s="34">
        <v>0</v>
      </c>
      <c r="L41" s="47"/>
      <c r="M41" s="34">
        <v>0</v>
      </c>
      <c r="N41" s="34">
        <v>0</v>
      </c>
      <c r="O41" s="34">
        <v>0</v>
      </c>
      <c r="P41" s="2">
        <v>0</v>
      </c>
      <c r="Q41" s="46"/>
      <c r="R41" s="34">
        <v>-18</v>
      </c>
      <c r="S41" s="34"/>
      <c r="T41" s="34"/>
      <c r="U41" s="34"/>
      <c r="V41" s="47"/>
      <c r="W41" s="34"/>
    </row>
    <row r="42" spans="2:26" x14ac:dyDescent="0.25">
      <c r="B42" s="30" t="s">
        <v>98</v>
      </c>
      <c r="C42" s="34">
        <v>0</v>
      </c>
      <c r="D42" s="34">
        <v>0</v>
      </c>
      <c r="E42" s="34">
        <v>0</v>
      </c>
      <c r="F42" s="34">
        <v>0</v>
      </c>
      <c r="G42" s="47"/>
      <c r="H42" s="34">
        <v>-9</v>
      </c>
      <c r="I42" s="34">
        <v>-9</v>
      </c>
      <c r="J42" s="34">
        <v>-10</v>
      </c>
      <c r="K42" s="34">
        <v>-9</v>
      </c>
      <c r="L42" s="47"/>
      <c r="M42" s="34">
        <v>0</v>
      </c>
      <c r="N42" s="34">
        <v>0</v>
      </c>
      <c r="O42" s="34">
        <v>-24</v>
      </c>
      <c r="P42" s="34">
        <v>-36</v>
      </c>
      <c r="Q42" s="47"/>
      <c r="R42" s="34">
        <v>1</v>
      </c>
      <c r="S42" s="34"/>
      <c r="T42" s="34"/>
      <c r="U42" s="34"/>
      <c r="V42" s="47"/>
      <c r="W42" s="34"/>
    </row>
    <row r="43" spans="2:26" x14ac:dyDescent="0.25">
      <c r="B43" s="31" t="s">
        <v>99</v>
      </c>
      <c r="C43" s="35">
        <v>292</v>
      </c>
      <c r="D43" s="35">
        <v>639</v>
      </c>
      <c r="E43" s="35">
        <v>409</v>
      </c>
      <c r="F43" s="35">
        <v>208</v>
      </c>
      <c r="G43" s="48"/>
      <c r="H43" s="35">
        <v>408</v>
      </c>
      <c r="I43" s="35">
        <v>57</v>
      </c>
      <c r="J43" s="35">
        <v>-21</v>
      </c>
      <c r="K43" s="35">
        <v>17</v>
      </c>
      <c r="L43" s="48"/>
      <c r="M43" s="35">
        <v>0</v>
      </c>
      <c r="N43" s="35">
        <v>-24</v>
      </c>
      <c r="O43" s="35">
        <v>-29</v>
      </c>
      <c r="P43" s="35">
        <v>16</v>
      </c>
      <c r="Q43" s="48"/>
      <c r="R43" s="35">
        <v>-3</v>
      </c>
      <c r="S43" s="35"/>
      <c r="T43" s="35"/>
      <c r="U43" s="35"/>
      <c r="V43" s="48"/>
      <c r="W43" s="35"/>
    </row>
    <row r="44" spans="2:26" x14ac:dyDescent="0.25">
      <c r="B44" s="1" t="s">
        <v>100</v>
      </c>
      <c r="C44" s="1">
        <v>-160</v>
      </c>
      <c r="D44" s="1">
        <v>186</v>
      </c>
      <c r="E44" s="1">
        <v>233</v>
      </c>
      <c r="F44" s="1">
        <v>124</v>
      </c>
      <c r="G44" s="49">
        <f>SUM(C44:F44)</f>
        <v>383</v>
      </c>
      <c r="H44" s="1">
        <v>19</v>
      </c>
      <c r="I44" s="1">
        <v>145</v>
      </c>
      <c r="J44" s="1">
        <v>245</v>
      </c>
      <c r="K44" s="1">
        <v>130</v>
      </c>
      <c r="L44" s="49">
        <f>SUM(H44:K44)</f>
        <v>539</v>
      </c>
      <c r="M44" s="1">
        <v>16</v>
      </c>
      <c r="N44" s="1">
        <v>162</v>
      </c>
      <c r="O44" s="1">
        <v>223</v>
      </c>
      <c r="P44" s="1">
        <v>168</v>
      </c>
      <c r="Q44" s="49">
        <f>SUM(M44:P44)</f>
        <v>569</v>
      </c>
      <c r="R44" s="1">
        <v>22</v>
      </c>
      <c r="S44" s="1"/>
      <c r="T44" s="1"/>
      <c r="U44" s="1"/>
      <c r="V44" s="49">
        <f>SUM(R44:U44)</f>
        <v>22</v>
      </c>
      <c r="W44" s="1"/>
    </row>
    <row r="45" spans="2:26" x14ac:dyDescent="0.25">
      <c r="B45" s="32" t="s">
        <v>109</v>
      </c>
      <c r="C45" s="33">
        <v>-0.28499999999999998</v>
      </c>
      <c r="D45" s="33">
        <v>0.17399999999999999</v>
      </c>
      <c r="E45" s="33">
        <v>0.185</v>
      </c>
      <c r="F45" s="33">
        <v>0.104</v>
      </c>
      <c r="G45" s="50"/>
      <c r="H45" s="33">
        <v>1.7999999999999999E-2</v>
      </c>
      <c r="I45" s="33">
        <v>0.115</v>
      </c>
      <c r="J45" s="33">
        <v>0.17599999999999999</v>
      </c>
      <c r="K45" s="33">
        <v>0.10100000000000001</v>
      </c>
      <c r="L45" s="50"/>
      <c r="M45" s="33">
        <v>1.4999999999999999E-2</v>
      </c>
      <c r="N45" s="33">
        <v>0.13</v>
      </c>
      <c r="O45" s="33">
        <v>0.17</v>
      </c>
      <c r="P45" s="33">
        <v>0.13300000000000001</v>
      </c>
      <c r="Q45" s="50"/>
      <c r="R45" s="33">
        <v>2.1999999999999999E-2</v>
      </c>
      <c r="S45" s="33"/>
      <c r="T45" s="33"/>
      <c r="U45" s="33"/>
      <c r="V45" s="50"/>
      <c r="W45" s="33"/>
    </row>
    <row r="46" spans="2:26" x14ac:dyDescent="0.25">
      <c r="B46" s="1" t="s">
        <v>101</v>
      </c>
      <c r="C46" s="1">
        <v>327</v>
      </c>
      <c r="D46" s="1">
        <v>628</v>
      </c>
      <c r="E46" s="1">
        <v>766</v>
      </c>
      <c r="F46" s="1">
        <v>650</v>
      </c>
      <c r="G46" s="49"/>
      <c r="H46" s="1">
        <v>600</v>
      </c>
      <c r="I46" s="1">
        <v>749</v>
      </c>
      <c r="J46" s="1">
        <v>848</v>
      </c>
      <c r="K46" s="1">
        <v>705</v>
      </c>
      <c r="L46" s="49"/>
      <c r="M46" s="1">
        <v>603</v>
      </c>
      <c r="N46" s="1">
        <v>757</v>
      </c>
      <c r="O46" s="1">
        <v>821</v>
      </c>
      <c r="P46" s="1">
        <v>748</v>
      </c>
      <c r="Q46" s="49"/>
      <c r="R46" s="1">
        <v>618</v>
      </c>
      <c r="S46" s="1"/>
      <c r="T46" s="1"/>
      <c r="U46" s="1"/>
      <c r="V46" s="49"/>
      <c r="W46" s="1"/>
    </row>
    <row r="47" spans="2:26" x14ac:dyDescent="0.25">
      <c r="B47" s="2" t="s">
        <v>102</v>
      </c>
      <c r="C47" s="2">
        <v>11</v>
      </c>
      <c r="D47" s="2">
        <v>20</v>
      </c>
      <c r="E47" s="2">
        <v>31</v>
      </c>
      <c r="F47" s="2">
        <v>46</v>
      </c>
      <c r="G47" s="46"/>
      <c r="H47" s="2">
        <v>38</v>
      </c>
      <c r="I47" s="2">
        <v>62</v>
      </c>
      <c r="J47" s="2">
        <v>82</v>
      </c>
      <c r="K47" s="2">
        <v>35</v>
      </c>
      <c r="L47" s="46"/>
      <c r="M47" s="2">
        <v>4</v>
      </c>
      <c r="N47" s="2">
        <v>4</v>
      </c>
      <c r="O47" s="2">
        <v>-20</v>
      </c>
      <c r="P47" s="2">
        <v>1</v>
      </c>
      <c r="Q47" s="46"/>
      <c r="R47" s="2">
        <v>-3</v>
      </c>
      <c r="V47" s="46"/>
    </row>
    <row r="48" spans="2:26" x14ac:dyDescent="0.25">
      <c r="B48" s="2" t="s">
        <v>103</v>
      </c>
      <c r="C48" s="2">
        <v>-6</v>
      </c>
      <c r="D48" s="2">
        <v>8</v>
      </c>
      <c r="E48" s="2">
        <v>16</v>
      </c>
      <c r="F48" s="2">
        <v>9</v>
      </c>
      <c r="G48" s="46"/>
      <c r="H48" s="2">
        <v>1</v>
      </c>
      <c r="I48" s="2">
        <v>10</v>
      </c>
      <c r="J48" s="2">
        <v>14</v>
      </c>
      <c r="K48" s="2">
        <v>13</v>
      </c>
      <c r="L48" s="46"/>
      <c r="M48" s="2">
        <v>0</v>
      </c>
      <c r="N48" s="2">
        <v>0</v>
      </c>
      <c r="O48" s="2">
        <v>0</v>
      </c>
      <c r="P48" s="2">
        <v>8</v>
      </c>
      <c r="Q48" s="46"/>
      <c r="R48" s="2">
        <v>18</v>
      </c>
      <c r="V48" s="46"/>
    </row>
    <row r="49" spans="2:23" x14ac:dyDescent="0.25">
      <c r="B49" s="32" t="s">
        <v>99</v>
      </c>
      <c r="C49" s="32">
        <v>197</v>
      </c>
      <c r="D49" s="32">
        <v>409</v>
      </c>
      <c r="E49" s="32">
        <v>186</v>
      </c>
      <c r="F49" s="32">
        <v>141</v>
      </c>
      <c r="G49" s="51"/>
      <c r="H49" s="32">
        <v>234</v>
      </c>
      <c r="I49" s="32">
        <v>49</v>
      </c>
      <c r="J49" s="32">
        <v>-14</v>
      </c>
      <c r="K49" s="32">
        <v>7</v>
      </c>
      <c r="L49" s="51"/>
      <c r="M49" s="32">
        <v>-1</v>
      </c>
      <c r="N49" s="32">
        <v>4</v>
      </c>
      <c r="O49" s="32">
        <v>-7</v>
      </c>
      <c r="P49" s="32">
        <v>34</v>
      </c>
      <c r="Q49" s="51"/>
      <c r="R49" s="32">
        <v>8</v>
      </c>
      <c r="S49" s="32"/>
      <c r="T49" s="32"/>
      <c r="U49" s="32"/>
      <c r="V49" s="51"/>
      <c r="W49" s="32"/>
    </row>
    <row r="50" spans="2:23" x14ac:dyDescent="0.25">
      <c r="B50" s="2" t="s">
        <v>105</v>
      </c>
      <c r="C50" s="2">
        <v>1026</v>
      </c>
      <c r="D50" s="2">
        <v>1141</v>
      </c>
      <c r="E50" s="2">
        <v>1167</v>
      </c>
      <c r="F50" s="2">
        <v>1211</v>
      </c>
      <c r="G50" s="46"/>
      <c r="H50" s="2">
        <v>1180</v>
      </c>
      <c r="I50" s="2">
        <v>1297</v>
      </c>
      <c r="J50" s="2">
        <v>1293</v>
      </c>
      <c r="K50" s="2">
        <v>1301</v>
      </c>
      <c r="L50" s="46"/>
      <c r="M50" s="2">
        <v>1236</v>
      </c>
      <c r="N50" s="2">
        <v>1300</v>
      </c>
      <c r="O50" s="2">
        <v>1268</v>
      </c>
      <c r="P50" s="2">
        <v>1321</v>
      </c>
      <c r="Q50" s="46"/>
      <c r="R50" s="2">
        <v>1163</v>
      </c>
      <c r="V50" s="46"/>
    </row>
    <row r="51" spans="2:23" x14ac:dyDescent="0.25">
      <c r="B51" s="32" t="s">
        <v>104</v>
      </c>
      <c r="C51" s="33">
        <v>0.318</v>
      </c>
      <c r="D51" s="33">
        <v>0.55100000000000005</v>
      </c>
      <c r="E51" s="33">
        <v>0.65600000000000003</v>
      </c>
      <c r="F51" s="33">
        <v>0.53600000000000003</v>
      </c>
      <c r="G51" s="50"/>
      <c r="H51" s="33">
        <v>0.50900000000000001</v>
      </c>
      <c r="I51" s="33">
        <v>0.57799999999999996</v>
      </c>
      <c r="J51" s="33">
        <v>0.65500000000000003</v>
      </c>
      <c r="K51" s="33">
        <v>0.54200000000000004</v>
      </c>
      <c r="L51" s="50"/>
      <c r="M51" s="33">
        <v>0.48799999999999999</v>
      </c>
      <c r="N51" s="33">
        <v>0.58199999999999996</v>
      </c>
      <c r="O51" s="33">
        <v>0.64700000000000002</v>
      </c>
      <c r="P51" s="33">
        <v>0.56599999999999995</v>
      </c>
      <c r="Q51" s="50"/>
      <c r="R51" s="33">
        <v>0.53100000000000003</v>
      </c>
      <c r="S51" s="33"/>
      <c r="T51" s="33"/>
      <c r="U51" s="33"/>
      <c r="V51" s="50"/>
      <c r="W51" s="33"/>
    </row>
    <row r="52" spans="2:23" x14ac:dyDescent="0.25">
      <c r="G52" s="46"/>
      <c r="L52" s="46"/>
      <c r="Q52" s="46"/>
      <c r="V52" s="46"/>
    </row>
    <row r="53" spans="2:23" ht="24" x14ac:dyDescent="0.3">
      <c r="B53" s="42" t="s">
        <v>110</v>
      </c>
      <c r="G53" s="46"/>
      <c r="L53" s="46"/>
      <c r="Q53" s="46"/>
      <c r="V53" s="46"/>
    </row>
    <row r="54" spans="2:23" x14ac:dyDescent="0.25">
      <c r="B54" s="1" t="s">
        <v>41</v>
      </c>
      <c r="C54" s="13">
        <v>383</v>
      </c>
      <c r="D54" s="13">
        <v>817</v>
      </c>
      <c r="E54" s="13">
        <v>979</v>
      </c>
      <c r="F54" s="13">
        <v>871</v>
      </c>
      <c r="G54" s="36">
        <f>SUM(C54:F54)</f>
        <v>3050</v>
      </c>
      <c r="H54" s="13">
        <v>771</v>
      </c>
      <c r="I54" s="13">
        <v>1130</v>
      </c>
      <c r="J54" s="13">
        <v>1196</v>
      </c>
      <c r="K54" s="13">
        <v>1017</v>
      </c>
      <c r="L54" s="36">
        <f>SUM(H54:K54)</f>
        <v>4114</v>
      </c>
      <c r="M54" s="13">
        <v>785</v>
      </c>
      <c r="N54" s="13">
        <v>1234</v>
      </c>
      <c r="O54" s="13">
        <v>1215</v>
      </c>
      <c r="P54" s="13">
        <v>1107</v>
      </c>
      <c r="Q54" s="36">
        <f>SUM(M54:P54)</f>
        <v>4341</v>
      </c>
      <c r="R54" s="13">
        <v>826</v>
      </c>
      <c r="S54" s="1"/>
      <c r="T54" s="1"/>
      <c r="U54" s="1"/>
      <c r="V54" s="36">
        <f>SUM(R54:U54)</f>
        <v>826</v>
      </c>
      <c r="W54" s="1"/>
    </row>
    <row r="55" spans="2:23" x14ac:dyDescent="0.25">
      <c r="B55" s="2" t="s">
        <v>102</v>
      </c>
      <c r="C55" s="2">
        <v>13</v>
      </c>
      <c r="D55" s="2">
        <v>26</v>
      </c>
      <c r="E55" s="2">
        <v>38</v>
      </c>
      <c r="F55" s="2">
        <v>60</v>
      </c>
      <c r="G55" s="46"/>
      <c r="H55" s="2">
        <v>49</v>
      </c>
      <c r="I55" s="2">
        <v>92</v>
      </c>
      <c r="J55" s="2">
        <v>116</v>
      </c>
      <c r="K55" s="2">
        <v>51</v>
      </c>
      <c r="L55" s="46"/>
      <c r="M55" s="2">
        <v>6</v>
      </c>
      <c r="N55" s="2">
        <v>6</v>
      </c>
      <c r="O55" s="2">
        <v>-29</v>
      </c>
      <c r="P55" s="2">
        <v>2</v>
      </c>
      <c r="Q55" s="46"/>
      <c r="R55" s="2">
        <v>-3</v>
      </c>
      <c r="V55" s="46"/>
    </row>
    <row r="56" spans="2:23" x14ac:dyDescent="0.25">
      <c r="B56" s="2" t="s">
        <v>97</v>
      </c>
      <c r="C56" s="2">
        <v>287</v>
      </c>
      <c r="D56" s="2">
        <v>569</v>
      </c>
      <c r="E56" s="2">
        <v>426</v>
      </c>
      <c r="F56" s="2">
        <v>234</v>
      </c>
      <c r="G56" s="46"/>
      <c r="H56" s="2">
        <v>340</v>
      </c>
      <c r="I56" s="2">
        <v>220</v>
      </c>
      <c r="J56" s="2">
        <v>101</v>
      </c>
      <c r="K56" s="2">
        <v>95</v>
      </c>
      <c r="L56" s="46"/>
      <c r="M56" s="2">
        <v>7</v>
      </c>
      <c r="N56" s="2">
        <v>98</v>
      </c>
      <c r="O56" s="2">
        <v>48</v>
      </c>
      <c r="P56" s="2">
        <v>88</v>
      </c>
      <c r="Q56" s="46"/>
      <c r="R56" s="2">
        <v>44</v>
      </c>
      <c r="V56" s="46"/>
    </row>
    <row r="57" spans="2:23" x14ac:dyDescent="0.25">
      <c r="B57" s="30" t="s">
        <v>107</v>
      </c>
      <c r="C57" s="34">
        <v>15</v>
      </c>
      <c r="D57" s="34">
        <v>42</v>
      </c>
      <c r="E57" s="34">
        <v>123</v>
      </c>
      <c r="F57" s="34">
        <v>91</v>
      </c>
      <c r="G57" s="47"/>
      <c r="H57" s="34">
        <v>105</v>
      </c>
      <c r="I57" s="34">
        <v>159</v>
      </c>
      <c r="J57" s="34">
        <v>83</v>
      </c>
      <c r="K57" s="34">
        <v>58</v>
      </c>
      <c r="L57" s="47"/>
      <c r="M57" s="34">
        <v>30</v>
      </c>
      <c r="N57" s="34">
        <v>40</v>
      </c>
      <c r="O57" s="34">
        <v>35</v>
      </c>
      <c r="P57" s="34">
        <v>54</v>
      </c>
      <c r="Q57" s="47"/>
      <c r="R57" s="34">
        <v>32</v>
      </c>
      <c r="S57" s="34"/>
      <c r="T57" s="34"/>
      <c r="U57" s="34"/>
      <c r="V57" s="47"/>
      <c r="W57" s="34"/>
    </row>
    <row r="58" spans="2:23" x14ac:dyDescent="0.25">
      <c r="B58" s="30" t="s">
        <v>108</v>
      </c>
      <c r="C58" s="34">
        <v>0</v>
      </c>
      <c r="D58" s="34">
        <v>0</v>
      </c>
      <c r="E58" s="34">
        <v>0</v>
      </c>
      <c r="F58" s="34">
        <v>0</v>
      </c>
      <c r="G58" s="47"/>
      <c r="H58" s="34">
        <v>0</v>
      </c>
      <c r="I58" s="34">
        <v>0</v>
      </c>
      <c r="J58" s="34">
        <v>0</v>
      </c>
      <c r="K58" s="34">
        <v>0</v>
      </c>
      <c r="L58" s="47"/>
      <c r="M58" s="34">
        <v>0</v>
      </c>
      <c r="N58" s="34">
        <v>0</v>
      </c>
      <c r="O58" s="34">
        <v>0</v>
      </c>
      <c r="P58" s="34">
        <v>0</v>
      </c>
      <c r="Q58" s="47"/>
      <c r="R58" s="34">
        <v>12</v>
      </c>
      <c r="S58" s="34"/>
      <c r="T58" s="34"/>
      <c r="U58" s="34"/>
      <c r="V58" s="47"/>
      <c r="W58" s="34"/>
    </row>
    <row r="59" spans="2:23" x14ac:dyDescent="0.25">
      <c r="B59" s="30" t="s">
        <v>98</v>
      </c>
      <c r="C59" s="34">
        <v>0</v>
      </c>
      <c r="D59" s="34">
        <v>0</v>
      </c>
      <c r="E59" s="34">
        <v>0</v>
      </c>
      <c r="F59" s="34">
        <v>0</v>
      </c>
      <c r="G59" s="47"/>
      <c r="H59" s="34">
        <v>-11</v>
      </c>
      <c r="I59" s="34">
        <v>-21</v>
      </c>
      <c r="J59" s="34">
        <v>-18</v>
      </c>
      <c r="K59" s="34">
        <v>-18</v>
      </c>
      <c r="L59" s="47"/>
      <c r="M59" s="34">
        <v>-16</v>
      </c>
      <c r="N59" s="34">
        <v>-41</v>
      </c>
      <c r="O59" s="34">
        <v>-59</v>
      </c>
      <c r="P59" s="34">
        <v>-49</v>
      </c>
      <c r="Q59" s="47"/>
      <c r="R59" s="34">
        <v>-9</v>
      </c>
      <c r="S59" s="34"/>
      <c r="T59" s="34"/>
      <c r="U59" s="34"/>
      <c r="V59" s="47"/>
      <c r="W59" s="34"/>
    </row>
    <row r="60" spans="2:23" x14ac:dyDescent="0.25">
      <c r="B60" s="31" t="s">
        <v>99</v>
      </c>
      <c r="C60" s="35">
        <v>272</v>
      </c>
      <c r="D60" s="35">
        <v>527</v>
      </c>
      <c r="E60" s="35">
        <v>303</v>
      </c>
      <c r="F60" s="35">
        <v>143</v>
      </c>
      <c r="G60" s="48"/>
      <c r="H60" s="35">
        <v>246</v>
      </c>
      <c r="I60" s="35">
        <v>82</v>
      </c>
      <c r="J60" s="35">
        <v>36</v>
      </c>
      <c r="K60" s="35">
        <v>54</v>
      </c>
      <c r="L60" s="48"/>
      <c r="M60" s="35">
        <v>-7</v>
      </c>
      <c r="N60" s="35">
        <v>99</v>
      </c>
      <c r="O60" s="35">
        <v>72</v>
      </c>
      <c r="P60" s="35">
        <v>83</v>
      </c>
      <c r="Q60" s="48"/>
      <c r="R60" s="35">
        <v>9</v>
      </c>
      <c r="S60" s="35"/>
      <c r="T60" s="35"/>
      <c r="U60" s="35"/>
      <c r="V60" s="48"/>
      <c r="W60" s="35"/>
    </row>
    <row r="61" spans="2:23" x14ac:dyDescent="0.25">
      <c r="B61" s="1" t="s">
        <v>100</v>
      </c>
      <c r="C61" s="1">
        <v>-64</v>
      </c>
      <c r="D61" s="1">
        <v>215</v>
      </c>
      <c r="E61" s="1">
        <v>236</v>
      </c>
      <c r="F61" s="1">
        <v>55</v>
      </c>
      <c r="G61" s="49">
        <f>SUM(C61:F61)</f>
        <v>442</v>
      </c>
      <c r="H61" s="1">
        <v>8</v>
      </c>
      <c r="I61" s="1">
        <v>186</v>
      </c>
      <c r="J61" s="1">
        <v>229</v>
      </c>
      <c r="K61" s="1">
        <v>72</v>
      </c>
      <c r="L61" s="49">
        <f>SUM(H61:K61)</f>
        <v>495</v>
      </c>
      <c r="M61" s="1">
        <v>-26</v>
      </c>
      <c r="N61" s="1">
        <v>239</v>
      </c>
      <c r="O61" s="1">
        <v>215</v>
      </c>
      <c r="P61" s="1">
        <v>138</v>
      </c>
      <c r="Q61" s="49">
        <f>SUM(M61:P61)</f>
        <v>566</v>
      </c>
      <c r="R61" s="1">
        <v>21</v>
      </c>
      <c r="S61" s="1"/>
      <c r="T61" s="1"/>
      <c r="U61" s="1"/>
      <c r="V61" s="49">
        <f>SUM(R61:U61)</f>
        <v>21</v>
      </c>
      <c r="W61" s="1"/>
    </row>
    <row r="62" spans="2:23" x14ac:dyDescent="0.25">
      <c r="B62" s="32" t="s">
        <v>109</v>
      </c>
      <c r="C62" s="33">
        <v>-0.16700000000000001</v>
      </c>
      <c r="D62" s="33">
        <v>0.26300000000000001</v>
      </c>
      <c r="E62" s="33">
        <v>0.24099999999999999</v>
      </c>
      <c r="F62" s="33">
        <v>6.3E-2</v>
      </c>
      <c r="G62" s="50"/>
      <c r="H62" s="33">
        <v>0.01</v>
      </c>
      <c r="I62" s="33">
        <v>0.16400000000000001</v>
      </c>
      <c r="J62" s="33">
        <v>0.192</v>
      </c>
      <c r="K62" s="33">
        <v>7.0999999999999994E-2</v>
      </c>
      <c r="L62" s="50"/>
      <c r="M62" s="33">
        <v>-3.4000000000000002E-2</v>
      </c>
      <c r="N62" s="33">
        <v>0.193</v>
      </c>
      <c r="O62" s="33">
        <v>0.17699999999999999</v>
      </c>
      <c r="P62" s="33">
        <v>0.125</v>
      </c>
      <c r="Q62" s="50"/>
      <c r="R62" s="33">
        <v>2.5000000000000001E-2</v>
      </c>
      <c r="S62" s="33"/>
      <c r="T62" s="33"/>
      <c r="U62" s="33"/>
      <c r="V62" s="50"/>
      <c r="W62" s="33"/>
    </row>
    <row r="63" spans="2:23" x14ac:dyDescent="0.25">
      <c r="B63" s="1" t="s">
        <v>101</v>
      </c>
      <c r="C63" s="1">
        <v>388</v>
      </c>
      <c r="D63" s="1">
        <v>881</v>
      </c>
      <c r="E63" s="1">
        <v>1003</v>
      </c>
      <c r="F63" s="1">
        <v>777</v>
      </c>
      <c r="G63" s="49"/>
      <c r="H63" s="1">
        <v>672</v>
      </c>
      <c r="I63" s="1">
        <v>1046</v>
      </c>
      <c r="J63" s="1">
        <v>1137</v>
      </c>
      <c r="K63" s="1">
        <v>868</v>
      </c>
      <c r="L63" s="49"/>
      <c r="M63" s="1">
        <v>666</v>
      </c>
      <c r="N63" s="1">
        <v>1120</v>
      </c>
      <c r="O63" s="1">
        <v>1167</v>
      </c>
      <c r="P63" s="1">
        <v>905</v>
      </c>
      <c r="Q63" s="49"/>
      <c r="R63" s="1">
        <v>724</v>
      </c>
      <c r="S63" s="1"/>
      <c r="T63" s="1"/>
      <c r="U63" s="1"/>
      <c r="V63" s="49"/>
      <c r="W63" s="1"/>
    </row>
    <row r="64" spans="2:23" x14ac:dyDescent="0.25">
      <c r="B64" s="2" t="s">
        <v>102</v>
      </c>
      <c r="C64" s="2">
        <v>13</v>
      </c>
      <c r="D64" s="2">
        <v>28</v>
      </c>
      <c r="E64" s="2">
        <v>39</v>
      </c>
      <c r="F64" s="2">
        <v>55</v>
      </c>
      <c r="G64" s="46"/>
      <c r="H64" s="2">
        <v>42</v>
      </c>
      <c r="I64" s="2">
        <v>85</v>
      </c>
      <c r="J64" s="2">
        <v>109</v>
      </c>
      <c r="K64" s="2">
        <v>43</v>
      </c>
      <c r="L64" s="46"/>
      <c r="M64" s="2">
        <v>5</v>
      </c>
      <c r="N64" s="2">
        <v>7</v>
      </c>
      <c r="O64" s="2">
        <v>-24</v>
      </c>
      <c r="P64" s="2">
        <v>3</v>
      </c>
      <c r="Q64" s="46"/>
      <c r="R64" s="2">
        <v>-1</v>
      </c>
      <c r="V64" s="46"/>
    </row>
    <row r="65" spans="2:23" x14ac:dyDescent="0.25">
      <c r="B65" s="2" t="s">
        <v>103</v>
      </c>
      <c r="C65" s="2">
        <v>-9</v>
      </c>
      <c r="D65" s="2">
        <v>-7</v>
      </c>
      <c r="E65" s="2">
        <v>11</v>
      </c>
      <c r="F65" s="2">
        <v>-9</v>
      </c>
      <c r="G65" s="46"/>
      <c r="H65" s="2">
        <v>-16</v>
      </c>
      <c r="I65" s="2">
        <v>-16</v>
      </c>
      <c r="J65" s="2">
        <v>-5</v>
      </c>
      <c r="K65" s="2">
        <v>-13</v>
      </c>
      <c r="L65" s="46"/>
      <c r="M65" s="2">
        <v>-9</v>
      </c>
      <c r="N65" s="2">
        <v>1</v>
      </c>
      <c r="O65" s="2">
        <v>-5</v>
      </c>
      <c r="P65" s="2">
        <v>21</v>
      </c>
      <c r="Q65" s="46"/>
      <c r="R65" s="2">
        <v>27</v>
      </c>
      <c r="V65" s="46"/>
    </row>
    <row r="66" spans="2:23" x14ac:dyDescent="0.25">
      <c r="B66" s="32" t="s">
        <v>99</v>
      </c>
      <c r="C66" s="32">
        <v>291</v>
      </c>
      <c r="D66" s="32">
        <v>636</v>
      </c>
      <c r="E66" s="32">
        <v>411</v>
      </c>
      <c r="F66" s="32">
        <v>179</v>
      </c>
      <c r="G66" s="51"/>
      <c r="H66" s="32">
        <v>257</v>
      </c>
      <c r="I66" s="32">
        <v>97</v>
      </c>
      <c r="J66" s="32">
        <v>29</v>
      </c>
      <c r="K66" s="32">
        <v>60</v>
      </c>
      <c r="L66" s="51"/>
      <c r="M66" s="32">
        <v>-2</v>
      </c>
      <c r="N66" s="32">
        <v>65</v>
      </c>
      <c r="O66" s="32">
        <v>60</v>
      </c>
      <c r="P66" s="32">
        <v>13</v>
      </c>
      <c r="Q66" s="51"/>
      <c r="R66" s="32">
        <v>28</v>
      </c>
      <c r="S66" s="32"/>
      <c r="T66" s="32"/>
      <c r="U66" s="32"/>
      <c r="V66" s="51"/>
      <c r="W66" s="32"/>
    </row>
    <row r="67" spans="2:23" x14ac:dyDescent="0.25">
      <c r="B67" s="2" t="s">
        <v>105</v>
      </c>
      <c r="C67" s="2">
        <v>973</v>
      </c>
      <c r="D67" s="2">
        <v>1214</v>
      </c>
      <c r="E67" s="2">
        <v>1293</v>
      </c>
      <c r="F67" s="2">
        <v>1243</v>
      </c>
      <c r="G67" s="46"/>
      <c r="H67" s="2">
        <v>1210</v>
      </c>
      <c r="I67" s="2">
        <v>1458</v>
      </c>
      <c r="J67" s="2">
        <v>1458</v>
      </c>
      <c r="K67" s="2">
        <v>1356</v>
      </c>
      <c r="L67" s="46"/>
      <c r="M67" s="2">
        <v>1233</v>
      </c>
      <c r="N67" s="2">
        <v>1535</v>
      </c>
      <c r="O67" s="2">
        <v>1478</v>
      </c>
      <c r="P67" s="2">
        <v>1343</v>
      </c>
      <c r="Q67" s="46"/>
      <c r="R67" s="2">
        <v>1251</v>
      </c>
      <c r="V67" s="46"/>
    </row>
    <row r="68" spans="2:23" x14ac:dyDescent="0.25">
      <c r="B68" s="32" t="s">
        <v>104</v>
      </c>
      <c r="C68" s="33">
        <v>0.39900000000000002</v>
      </c>
      <c r="D68" s="33">
        <v>0.72499999999999998</v>
      </c>
      <c r="E68" s="33">
        <v>0.77600000000000002</v>
      </c>
      <c r="F68" s="33">
        <v>0.625</v>
      </c>
      <c r="G68" s="50"/>
      <c r="H68" s="33">
        <v>0.55500000000000005</v>
      </c>
      <c r="I68" s="33">
        <v>0.71799999999999997</v>
      </c>
      <c r="J68" s="33">
        <v>0.77900000000000003</v>
      </c>
      <c r="K68" s="33">
        <v>0.64</v>
      </c>
      <c r="L68" s="50"/>
      <c r="M68" s="33">
        <v>0.54</v>
      </c>
      <c r="N68" s="33">
        <v>0.73</v>
      </c>
      <c r="O68" s="33">
        <v>0.79</v>
      </c>
      <c r="P68" s="33">
        <v>0.67400000000000004</v>
      </c>
      <c r="Q68" s="50"/>
      <c r="R68" s="33">
        <v>0.57899999999999996</v>
      </c>
      <c r="S68" s="33"/>
      <c r="T68" s="33"/>
      <c r="U68" s="33"/>
      <c r="V68" s="50"/>
      <c r="W68" s="3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8E745-DC06-8448-81B5-DC40131426CF}">
  <dimension ref="C4:F6"/>
  <sheetViews>
    <sheetView showGridLines="0" workbookViewId="0">
      <selection activeCell="F21" sqref="F21"/>
    </sheetView>
  </sheetViews>
  <sheetFormatPr baseColWidth="10" defaultRowHeight="16" x14ac:dyDescent="0.2"/>
  <cols>
    <col min="3" max="3" width="29.5" bestFit="1" customWidth="1"/>
    <col min="4" max="6" width="18.6640625" bestFit="1" customWidth="1"/>
  </cols>
  <sheetData>
    <row r="4" spans="3:6" ht="62" x14ac:dyDescent="0.7">
      <c r="C4" s="40"/>
      <c r="D4" s="40">
        <v>2025</v>
      </c>
      <c r="E4" s="40">
        <v>2026</v>
      </c>
      <c r="F4" s="40">
        <v>2027</v>
      </c>
    </row>
    <row r="5" spans="3:6" ht="62" x14ac:dyDescent="0.7">
      <c r="C5" s="40" t="s">
        <v>34</v>
      </c>
      <c r="D5" s="41">
        <f>Modell!$B$9/Modell!AA14</f>
        <v>7.2880466417347742</v>
      </c>
      <c r="E5" s="41">
        <f>Modell!$B$9/Modell!AB14</f>
        <v>6.8112585436773525</v>
      </c>
      <c r="F5" s="41">
        <f>Modell!$B$9/Modell!AC14</f>
        <v>6.0469511811539505</v>
      </c>
    </row>
    <row r="6" spans="3:6" ht="62" x14ac:dyDescent="0.7">
      <c r="C6" s="40" t="s">
        <v>35</v>
      </c>
      <c r="D6" s="41">
        <f>Modell!$B$4/Modell!AA20</f>
        <v>13.485674321127838</v>
      </c>
      <c r="E6" s="41">
        <f>Modell!$B$4/Modell!AB20</f>
        <v>12.11202314410124</v>
      </c>
      <c r="F6" s="41">
        <f>Modell!$B$4/Modell!AC20</f>
        <v>10.120355446244819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Info</vt:lpstr>
      <vt:lpstr>Modell</vt:lpstr>
      <vt:lpstr>Segementer</vt:lpstr>
      <vt:lpstr>Nøkkeltall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2025-02-09T20:32:11Z</dcterms:created>
  <dcterms:modified xsi:type="dcterms:W3CDTF">2025-07-07T07:28:01Z</dcterms:modified>
</cp:coreProperties>
</file>