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E92BBE32-928F-4D45-98DF-69480C0D05A1}" xr6:coauthVersionLast="47" xr6:coauthVersionMax="47" xr10:uidLastSave="{00000000-0000-0000-0000-000000000000}"/>
  <bookViews>
    <workbookView xWindow="0" yWindow="740" windowWidth="29400" windowHeight="17040" activeTab="3" xr2:uid="{5AE0DF26-B7DD-1242-A60E-253C73A930AF}"/>
  </bookViews>
  <sheets>
    <sheet name="Info" sheetId="1" r:id="rId1"/>
    <sheet name="Modell" sheetId="2" r:id="rId2"/>
    <sheet name="Nøkkeltall" sheetId="3" r:id="rId3"/>
    <sheet name="Nedsideberegn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7" i="4" l="1"/>
  <c r="O28" i="4"/>
  <c r="O29" i="4"/>
  <c r="O30" i="4"/>
  <c r="O31" i="4"/>
  <c r="O27" i="4"/>
  <c r="P30" i="4"/>
  <c r="Q30" i="4" s="1"/>
  <c r="R30" i="4" s="1"/>
  <c r="S30" i="4" s="1"/>
  <c r="T30" i="4" s="1"/>
  <c r="U30" i="4" s="1"/>
  <c r="V30" i="4" s="1"/>
  <c r="W30" i="4" s="1"/>
  <c r="X30" i="4" s="1"/>
  <c r="AA23" i="4"/>
  <c r="M42" i="4"/>
  <c r="L42" i="4"/>
  <c r="N41" i="4"/>
  <c r="M41" i="4"/>
  <c r="L41" i="4"/>
  <c r="K41" i="4"/>
  <c r="J41" i="4"/>
  <c r="I41" i="4"/>
  <c r="H41" i="4"/>
  <c r="G41" i="4"/>
  <c r="F41" i="4"/>
  <c r="E41" i="4"/>
  <c r="M34" i="4"/>
  <c r="L34" i="4"/>
  <c r="K34" i="4"/>
  <c r="J34" i="4"/>
  <c r="I34" i="4"/>
  <c r="H34" i="4"/>
  <c r="G34" i="4"/>
  <c r="F34" i="4"/>
  <c r="E34" i="4"/>
  <c r="L33" i="4"/>
  <c r="L43" i="4" s="1"/>
  <c r="K33" i="4"/>
  <c r="K43" i="4" s="1"/>
  <c r="H33" i="4"/>
  <c r="M32" i="4"/>
  <c r="M33" i="4" s="1"/>
  <c r="L32" i="4"/>
  <c r="K32" i="4"/>
  <c r="J32" i="4"/>
  <c r="J33" i="4" s="1"/>
  <c r="I32" i="4"/>
  <c r="I42" i="4" s="1"/>
  <c r="H32" i="4"/>
  <c r="G32" i="4"/>
  <c r="F32" i="4"/>
  <c r="N31" i="4"/>
  <c r="P31" i="4" s="1"/>
  <c r="Q31" i="4" s="1"/>
  <c r="R31" i="4" s="1"/>
  <c r="S31" i="4" s="1"/>
  <c r="T31" i="4" s="1"/>
  <c r="U31" i="4" s="1"/>
  <c r="V31" i="4" s="1"/>
  <c r="W31" i="4" s="1"/>
  <c r="X31" i="4" s="1"/>
  <c r="E31" i="4"/>
  <c r="E32" i="4" s="1"/>
  <c r="D31" i="4"/>
  <c r="D32" i="4" s="1"/>
  <c r="D33" i="4" s="1"/>
  <c r="N30" i="4"/>
  <c r="N29" i="4"/>
  <c r="P29" i="4" s="1"/>
  <c r="Q29" i="4" s="1"/>
  <c r="R29" i="4" s="1"/>
  <c r="S29" i="4" s="1"/>
  <c r="T29" i="4" s="1"/>
  <c r="U29" i="4" s="1"/>
  <c r="V29" i="4" s="1"/>
  <c r="W29" i="4" s="1"/>
  <c r="X29" i="4" s="1"/>
  <c r="N28" i="4"/>
  <c r="P28" i="4" s="1"/>
  <c r="Q28" i="4" s="1"/>
  <c r="R28" i="4" s="1"/>
  <c r="S28" i="4" s="1"/>
  <c r="T28" i="4" s="1"/>
  <c r="U28" i="4" s="1"/>
  <c r="V28" i="4" s="1"/>
  <c r="W28" i="4" s="1"/>
  <c r="X28" i="4" s="1"/>
  <c r="N27" i="4"/>
  <c r="P27" i="4" s="1"/>
  <c r="N26" i="4"/>
  <c r="O5" i="4"/>
  <c r="O6" i="4"/>
  <c r="O7" i="4"/>
  <c r="O8" i="4"/>
  <c r="O9" i="4"/>
  <c r="P32" i="4" l="1"/>
  <c r="J43" i="4"/>
  <c r="J35" i="4"/>
  <c r="J37" i="4" s="1"/>
  <c r="J39" i="4" s="1"/>
  <c r="E33" i="4"/>
  <c r="E42" i="4"/>
  <c r="D35" i="4"/>
  <c r="D37" i="4" s="1"/>
  <c r="D39" i="4" s="1"/>
  <c r="D43" i="4"/>
  <c r="M35" i="4"/>
  <c r="M37" i="4" s="1"/>
  <c r="M39" i="4" s="1"/>
  <c r="M43" i="4"/>
  <c r="H35" i="4"/>
  <c r="H37" i="4" s="1"/>
  <c r="H39" i="4" s="1"/>
  <c r="H43" i="4"/>
  <c r="J42" i="4"/>
  <c r="Q27" i="4"/>
  <c r="I33" i="4"/>
  <c r="K42" i="4"/>
  <c r="K35" i="4"/>
  <c r="K37" i="4" s="1"/>
  <c r="K39" i="4" s="1"/>
  <c r="L35" i="4"/>
  <c r="L37" i="4" s="1"/>
  <c r="L39" i="4" s="1"/>
  <c r="F33" i="4"/>
  <c r="F42" i="4"/>
  <c r="N32" i="4"/>
  <c r="N42" i="4" s="1"/>
  <c r="N33" i="4"/>
  <c r="G33" i="4"/>
  <c r="G42" i="4"/>
  <c r="O32" i="4"/>
  <c r="O42" i="4" s="1"/>
  <c r="O26" i="4"/>
  <c r="H42" i="4"/>
  <c r="P9" i="4"/>
  <c r="Q9" i="4" s="1"/>
  <c r="R9" i="4" s="1"/>
  <c r="S9" i="4" s="1"/>
  <c r="T9" i="4" s="1"/>
  <c r="U9" i="4" s="1"/>
  <c r="V9" i="4" s="1"/>
  <c r="W9" i="4" s="1"/>
  <c r="X9" i="4" s="1"/>
  <c r="P5" i="4"/>
  <c r="Q5" i="4" s="1"/>
  <c r="R5" i="4" s="1"/>
  <c r="S5" i="4" s="1"/>
  <c r="T5" i="4" s="1"/>
  <c r="U5" i="4" s="1"/>
  <c r="V5" i="4" s="1"/>
  <c r="W5" i="4" s="1"/>
  <c r="X5" i="4" s="1"/>
  <c r="P6" i="4"/>
  <c r="Q6" i="4" s="1"/>
  <c r="R6" i="4" s="1"/>
  <c r="S6" i="4" s="1"/>
  <c r="T6" i="4" s="1"/>
  <c r="U6" i="4" s="1"/>
  <c r="V6" i="4" s="1"/>
  <c r="W6" i="4" s="1"/>
  <c r="X6" i="4" s="1"/>
  <c r="P7" i="4"/>
  <c r="Q7" i="4"/>
  <c r="R7" i="4"/>
  <c r="S7" i="4" s="1"/>
  <c r="T7" i="4" s="1"/>
  <c r="U7" i="4" s="1"/>
  <c r="V7" i="4" s="1"/>
  <c r="W7" i="4" s="1"/>
  <c r="X7" i="4" s="1"/>
  <c r="P8" i="4"/>
  <c r="Q8" i="4" s="1"/>
  <c r="R8" i="4" s="1"/>
  <c r="S8" i="4" s="1"/>
  <c r="T8" i="4" s="1"/>
  <c r="U8" i="4" s="1"/>
  <c r="V8" i="4" s="1"/>
  <c r="W8" i="4" s="1"/>
  <c r="X8" i="4" s="1"/>
  <c r="M19" i="4"/>
  <c r="L19" i="4"/>
  <c r="K19" i="4"/>
  <c r="J19" i="4"/>
  <c r="I19" i="4"/>
  <c r="H19" i="4"/>
  <c r="G19" i="4"/>
  <c r="F19" i="4"/>
  <c r="E19" i="4"/>
  <c r="M12" i="4"/>
  <c r="L12" i="4"/>
  <c r="K12" i="4"/>
  <c r="J12" i="4"/>
  <c r="I12" i="4"/>
  <c r="H12" i="4"/>
  <c r="G12" i="4"/>
  <c r="F12" i="4"/>
  <c r="E12" i="4"/>
  <c r="J11" i="4"/>
  <c r="J21" i="4" s="1"/>
  <c r="M10" i="4"/>
  <c r="L10" i="4"/>
  <c r="L11" i="4" s="1"/>
  <c r="K10" i="4"/>
  <c r="K11" i="4" s="1"/>
  <c r="J10" i="4"/>
  <c r="I10" i="4"/>
  <c r="I11" i="4" s="1"/>
  <c r="H10" i="4"/>
  <c r="H11" i="4" s="1"/>
  <c r="G10" i="4"/>
  <c r="F10" i="4"/>
  <c r="N9" i="4"/>
  <c r="E9" i="4"/>
  <c r="E10" i="4" s="1"/>
  <c r="D9" i="4"/>
  <c r="D10" i="4" s="1"/>
  <c r="D11" i="4" s="1"/>
  <c r="N8" i="4"/>
  <c r="N7" i="4"/>
  <c r="N6" i="4"/>
  <c r="N5" i="4"/>
  <c r="N4" i="4"/>
  <c r="N19" i="4" s="1"/>
  <c r="Q23" i="2"/>
  <c r="AG6" i="2"/>
  <c r="AG7" i="2"/>
  <c r="AG8" i="2"/>
  <c r="AG9" i="2"/>
  <c r="AG5" i="2"/>
  <c r="AG4" i="2"/>
  <c r="N35" i="4" l="1"/>
  <c r="N43" i="4"/>
  <c r="G43" i="4"/>
  <c r="G35" i="4"/>
  <c r="G37" i="4" s="1"/>
  <c r="G39" i="4" s="1"/>
  <c r="I35" i="4"/>
  <c r="I37" i="4" s="1"/>
  <c r="I39" i="4" s="1"/>
  <c r="I43" i="4"/>
  <c r="R27" i="4"/>
  <c r="Q32" i="4"/>
  <c r="Q42" i="4" s="1"/>
  <c r="F43" i="4"/>
  <c r="F35" i="4"/>
  <c r="F37" i="4" s="1"/>
  <c r="F39" i="4" s="1"/>
  <c r="E35" i="4"/>
  <c r="E37" i="4" s="1"/>
  <c r="E39" i="4" s="1"/>
  <c r="E43" i="4"/>
  <c r="O33" i="4"/>
  <c r="O41" i="4"/>
  <c r="P26" i="4"/>
  <c r="P42" i="4"/>
  <c r="K21" i="4"/>
  <c r="K13" i="4"/>
  <c r="K15" i="4" s="1"/>
  <c r="K17" i="4" s="1"/>
  <c r="L21" i="4"/>
  <c r="L13" i="4"/>
  <c r="L15" i="4" s="1"/>
  <c r="L17" i="4" s="1"/>
  <c r="L20" i="4"/>
  <c r="O4" i="4"/>
  <c r="P4" i="4" s="1"/>
  <c r="Q4" i="4" s="1"/>
  <c r="R4" i="4" s="1"/>
  <c r="S4" i="4" s="1"/>
  <c r="T4" i="4" s="1"/>
  <c r="U4" i="4" s="1"/>
  <c r="V4" i="4" s="1"/>
  <c r="W4" i="4" s="1"/>
  <c r="X4" i="4" s="1"/>
  <c r="K20" i="4"/>
  <c r="J13" i="4"/>
  <c r="J15" i="4" s="1"/>
  <c r="J17" i="4" s="1"/>
  <c r="E20" i="4"/>
  <c r="E11" i="4"/>
  <c r="D21" i="4"/>
  <c r="D13" i="4"/>
  <c r="D15" i="4" s="1"/>
  <c r="D17" i="4" s="1"/>
  <c r="H13" i="4"/>
  <c r="H15" i="4" s="1"/>
  <c r="H17" i="4" s="1"/>
  <c r="H21" i="4"/>
  <c r="I13" i="4"/>
  <c r="I15" i="4" s="1"/>
  <c r="I17" i="4" s="1"/>
  <c r="I21" i="4"/>
  <c r="N10" i="4"/>
  <c r="N20" i="4" s="1"/>
  <c r="O10" i="4"/>
  <c r="O20" i="4" s="1"/>
  <c r="M20" i="4"/>
  <c r="M11" i="4"/>
  <c r="F11" i="4"/>
  <c r="F20" i="4"/>
  <c r="I20" i="4"/>
  <c r="J20" i="4"/>
  <c r="G11" i="4"/>
  <c r="G20" i="4"/>
  <c r="H20" i="4"/>
  <c r="AH7" i="2"/>
  <c r="AI7" i="2" s="1"/>
  <c r="AJ7" i="2" s="1"/>
  <c r="AK7" i="2" s="1"/>
  <c r="AL7" i="2" s="1"/>
  <c r="AM7" i="2" s="1"/>
  <c r="AN7" i="2" s="1"/>
  <c r="AO7" i="2" s="1"/>
  <c r="AP7" i="2" s="1"/>
  <c r="AQ7" i="2" s="1"/>
  <c r="AH6" i="2"/>
  <c r="AI6" i="2" s="1"/>
  <c r="AJ6" i="2" s="1"/>
  <c r="AK6" i="2" s="1"/>
  <c r="AL6" i="2" s="1"/>
  <c r="AM6" i="2" s="1"/>
  <c r="AN6" i="2" s="1"/>
  <c r="AO6" i="2" s="1"/>
  <c r="AP6" i="2" s="1"/>
  <c r="AQ6" i="2" s="1"/>
  <c r="AH8" i="2"/>
  <c r="AI8" i="2" s="1"/>
  <c r="AJ8" i="2" s="1"/>
  <c r="AK8" i="2" s="1"/>
  <c r="AL8" i="2" s="1"/>
  <c r="AM8" i="2" s="1"/>
  <c r="AN8" i="2" s="1"/>
  <c r="AO8" i="2" s="1"/>
  <c r="AP8" i="2" s="1"/>
  <c r="AQ8" i="2" s="1"/>
  <c r="AH9" i="2"/>
  <c r="AI9" i="2" s="1"/>
  <c r="AJ9" i="2" s="1"/>
  <c r="AK9" i="2" s="1"/>
  <c r="AL9" i="2" s="1"/>
  <c r="AM9" i="2" s="1"/>
  <c r="AN9" i="2" s="1"/>
  <c r="AO9" i="2" s="1"/>
  <c r="AP9" i="2" s="1"/>
  <c r="AQ9" i="2" s="1"/>
  <c r="AH5" i="2"/>
  <c r="AI5" i="2" s="1"/>
  <c r="AJ5" i="2" s="1"/>
  <c r="AK5" i="2" s="1"/>
  <c r="AL5" i="2" s="1"/>
  <c r="AM5" i="2" s="1"/>
  <c r="AN5" i="2" s="1"/>
  <c r="AO5" i="2" s="1"/>
  <c r="AP5" i="2" s="1"/>
  <c r="AQ5" i="2" s="1"/>
  <c r="AH4" i="2"/>
  <c r="AI4" i="2" s="1"/>
  <c r="AJ4" i="2" s="1"/>
  <c r="AK4" i="2" s="1"/>
  <c r="AL4" i="2" s="1"/>
  <c r="AM4" i="2" s="1"/>
  <c r="AN4" i="2" s="1"/>
  <c r="AO4" i="2" s="1"/>
  <c r="AP4" i="2" s="1"/>
  <c r="AQ4" i="2" s="1"/>
  <c r="S27" i="4" l="1"/>
  <c r="R32" i="4"/>
  <c r="R42" i="4" s="1"/>
  <c r="O35" i="4"/>
  <c r="O43" i="4"/>
  <c r="P41" i="4"/>
  <c r="P33" i="4"/>
  <c r="Q26" i="4"/>
  <c r="N36" i="4"/>
  <c r="N37" i="4" s="1"/>
  <c r="N39" i="4" s="1"/>
  <c r="O11" i="4"/>
  <c r="O19" i="4"/>
  <c r="R10" i="4"/>
  <c r="E21" i="4"/>
  <c r="E13" i="4"/>
  <c r="E15" i="4" s="1"/>
  <c r="E17" i="4" s="1"/>
  <c r="G21" i="4"/>
  <c r="G13" i="4"/>
  <c r="G15" i="4" s="1"/>
  <c r="G17" i="4" s="1"/>
  <c r="Q10" i="4"/>
  <c r="F13" i="4"/>
  <c r="F15" i="4" s="1"/>
  <c r="F17" i="4" s="1"/>
  <c r="F21" i="4"/>
  <c r="N11" i="4"/>
  <c r="M21" i="4"/>
  <c r="M13" i="4"/>
  <c r="M15" i="4" s="1"/>
  <c r="M17" i="4" s="1"/>
  <c r="P10" i="4"/>
  <c r="P20" i="4" s="1"/>
  <c r="AG10" i="2"/>
  <c r="AG20" i="2" s="1"/>
  <c r="AH10" i="2"/>
  <c r="AI10" i="2"/>
  <c r="AI11" i="2" s="1"/>
  <c r="AJ10" i="2"/>
  <c r="AJ11" i="2" s="1"/>
  <c r="AK10" i="2"/>
  <c r="AK11" i="2" s="1"/>
  <c r="AK13" i="2" s="1"/>
  <c r="AK14" i="2" s="1"/>
  <c r="AK15" i="2" s="1"/>
  <c r="AK17" i="2" s="1"/>
  <c r="AL10" i="2"/>
  <c r="AL11" i="2" s="1"/>
  <c r="AL21" i="2" s="1"/>
  <c r="AM10" i="2"/>
  <c r="AN10" i="2"/>
  <c r="AN11" i="2" s="1"/>
  <c r="AN21" i="2" s="1"/>
  <c r="AO10" i="2"/>
  <c r="AO11" i="2" s="1"/>
  <c r="AO13" i="2" s="1"/>
  <c r="AP10" i="2"/>
  <c r="AQ10" i="2"/>
  <c r="AQ11" i="2" s="1"/>
  <c r="AG19" i="2"/>
  <c r="AH19" i="2"/>
  <c r="AI19" i="2"/>
  <c r="AJ19" i="2"/>
  <c r="AK19" i="2"/>
  <c r="AL19" i="2"/>
  <c r="AM19" i="2"/>
  <c r="AN19" i="2"/>
  <c r="AO19" i="2"/>
  <c r="AP19" i="2"/>
  <c r="AQ19" i="2"/>
  <c r="Q33" i="4" l="1"/>
  <c r="R26" i="4"/>
  <c r="Q41" i="4"/>
  <c r="P35" i="4"/>
  <c r="P43" i="4"/>
  <c r="O36" i="4"/>
  <c r="O37" i="4" s="1"/>
  <c r="S32" i="4"/>
  <c r="S42" i="4" s="1"/>
  <c r="T27" i="4"/>
  <c r="R20" i="4"/>
  <c r="S10" i="4"/>
  <c r="S20" i="4" s="1"/>
  <c r="N13" i="4"/>
  <c r="N21" i="4"/>
  <c r="Q20" i="4"/>
  <c r="P11" i="4"/>
  <c r="P19" i="4"/>
  <c r="O21" i="4"/>
  <c r="O13" i="4"/>
  <c r="AJ20" i="2"/>
  <c r="AJ21" i="2"/>
  <c r="AJ13" i="2"/>
  <c r="AJ14" i="2" s="1"/>
  <c r="AP20" i="2"/>
  <c r="AP11" i="2"/>
  <c r="AP13" i="2" s="1"/>
  <c r="AP14" i="2" s="1"/>
  <c r="AP15" i="2" s="1"/>
  <c r="AP17" i="2" s="1"/>
  <c r="AL20" i="2"/>
  <c r="AQ20" i="2"/>
  <c r="AQ21" i="2"/>
  <c r="AQ13" i="2"/>
  <c r="AQ14" i="2" s="1"/>
  <c r="AI21" i="2"/>
  <c r="AI13" i="2"/>
  <c r="AI14" i="2" s="1"/>
  <c r="AO20" i="2"/>
  <c r="AN20" i="2"/>
  <c r="AK20" i="2"/>
  <c r="AI20" i="2"/>
  <c r="AH11" i="2"/>
  <c r="AH21" i="2" s="1"/>
  <c r="AO14" i="2"/>
  <c r="AO15" i="2" s="1"/>
  <c r="AO17" i="2" s="1"/>
  <c r="AO21" i="2"/>
  <c r="AL13" i="2"/>
  <c r="AL14" i="2" s="1"/>
  <c r="AK21" i="2"/>
  <c r="AN13" i="2"/>
  <c r="AN14" i="2" s="1"/>
  <c r="AG11" i="2"/>
  <c r="AH20" i="2"/>
  <c r="AM20" i="2"/>
  <c r="AM11" i="2"/>
  <c r="O39" i="4" l="1"/>
  <c r="S26" i="4"/>
  <c r="R33" i="4"/>
  <c r="R41" i="4"/>
  <c r="P36" i="4"/>
  <c r="P37" i="4" s="1"/>
  <c r="T32" i="4"/>
  <c r="T42" i="4" s="1"/>
  <c r="U27" i="4"/>
  <c r="Q35" i="4"/>
  <c r="Q43" i="4"/>
  <c r="P13" i="4"/>
  <c r="P21" i="4"/>
  <c r="Q19" i="4"/>
  <c r="Q11" i="4"/>
  <c r="N14" i="4"/>
  <c r="N15" i="4"/>
  <c r="N17" i="4" s="1"/>
  <c r="O14" i="4"/>
  <c r="O15" i="4" s="1"/>
  <c r="T10" i="4"/>
  <c r="T20" i="4" s="1"/>
  <c r="AJ15" i="2"/>
  <c r="AJ17" i="2" s="1"/>
  <c r="AP21" i="2"/>
  <c r="AN15" i="2"/>
  <c r="AN17" i="2" s="1"/>
  <c r="AH13" i="2"/>
  <c r="AH14" i="2" s="1"/>
  <c r="AH15" i="2" s="1"/>
  <c r="AH17" i="2" s="1"/>
  <c r="E6" i="3" s="1"/>
  <c r="AI15" i="2"/>
  <c r="AI17" i="2" s="1"/>
  <c r="F6" i="3" s="1"/>
  <c r="AQ15" i="2"/>
  <c r="AQ17" i="2" s="1"/>
  <c r="AL15" i="2"/>
  <c r="AL17" i="2" s="1"/>
  <c r="AM21" i="2"/>
  <c r="AM13" i="2"/>
  <c r="AG21" i="2"/>
  <c r="AG13" i="2"/>
  <c r="P39" i="4" l="1"/>
  <c r="R43" i="4"/>
  <c r="R35" i="4"/>
  <c r="T26" i="4"/>
  <c r="S41" i="4"/>
  <c r="S33" i="4"/>
  <c r="Q36" i="4"/>
  <c r="Q37" i="4" s="1"/>
  <c r="Q39" i="4" s="1"/>
  <c r="V27" i="4"/>
  <c r="U32" i="4"/>
  <c r="U42" i="4" s="1"/>
  <c r="O17" i="4"/>
  <c r="Q13" i="4"/>
  <c r="Q21" i="4"/>
  <c r="U10" i="4"/>
  <c r="U20" i="4" s="1"/>
  <c r="R19" i="4"/>
  <c r="R11" i="4"/>
  <c r="P14" i="4"/>
  <c r="P15" i="4" s="1"/>
  <c r="AR15" i="2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AM14" i="2"/>
  <c r="AM15" i="2" s="1"/>
  <c r="AG14" i="2"/>
  <c r="AG15" i="2" s="1"/>
  <c r="AG17" i="2" s="1"/>
  <c r="D6" i="3" s="1"/>
  <c r="S43" i="4" l="1"/>
  <c r="S35" i="4"/>
  <c r="T41" i="4"/>
  <c r="T33" i="4"/>
  <c r="U26" i="4"/>
  <c r="R36" i="4"/>
  <c r="R37" i="4"/>
  <c r="R39" i="4" s="1"/>
  <c r="W27" i="4"/>
  <c r="V32" i="4"/>
  <c r="V42" i="4" s="1"/>
  <c r="P17" i="4"/>
  <c r="V10" i="4"/>
  <c r="V20" i="4" s="1"/>
  <c r="R21" i="4"/>
  <c r="R13" i="4"/>
  <c r="Q14" i="4"/>
  <c r="Q15" i="4" s="1"/>
  <c r="S19" i="4"/>
  <c r="S11" i="4"/>
  <c r="AM17" i="2"/>
  <c r="AT20" i="2"/>
  <c r="AT22" i="2" s="1"/>
  <c r="AT23" i="2" s="1"/>
  <c r="X27" i="4" l="1"/>
  <c r="X32" i="4" s="1"/>
  <c r="W32" i="4"/>
  <c r="W42" i="4" s="1"/>
  <c r="V26" i="4"/>
  <c r="U33" i="4"/>
  <c r="U41" i="4"/>
  <c r="T43" i="4"/>
  <c r="T35" i="4"/>
  <c r="S36" i="4"/>
  <c r="S37" i="4" s="1"/>
  <c r="S39" i="4" s="1"/>
  <c r="Q17" i="4"/>
  <c r="T19" i="4"/>
  <c r="T11" i="4"/>
  <c r="R14" i="4"/>
  <c r="R15" i="4"/>
  <c r="R17" i="4" s="1"/>
  <c r="X10" i="4"/>
  <c r="W10" i="4"/>
  <c r="W20" i="4" s="1"/>
  <c r="S13" i="4"/>
  <c r="S21" i="4"/>
  <c r="F57" i="2"/>
  <c r="F12" i="2"/>
  <c r="G67" i="2"/>
  <c r="G12" i="2"/>
  <c r="D67" i="2"/>
  <c r="H67" i="2"/>
  <c r="H46" i="2"/>
  <c r="D12" i="2"/>
  <c r="H12" i="2"/>
  <c r="E67" i="2"/>
  <c r="I70" i="2"/>
  <c r="I67" i="2"/>
  <c r="I68" i="2"/>
  <c r="E12" i="2"/>
  <c r="I12" i="2"/>
  <c r="N70" i="2"/>
  <c r="N67" i="2"/>
  <c r="J12" i="2"/>
  <c r="J10" i="2"/>
  <c r="J11" i="2" s="1"/>
  <c r="J13" i="2" s="1"/>
  <c r="J15" i="2" s="1"/>
  <c r="N12" i="2"/>
  <c r="N10" i="2"/>
  <c r="N11" i="2" s="1"/>
  <c r="K70" i="2"/>
  <c r="K67" i="2"/>
  <c r="O67" i="2"/>
  <c r="K12" i="2"/>
  <c r="K10" i="2"/>
  <c r="K11" i="2" s="1"/>
  <c r="O12" i="2"/>
  <c r="W9" i="2"/>
  <c r="W10" i="2"/>
  <c r="W11" i="2" s="1"/>
  <c r="W13" i="2" s="1"/>
  <c r="W15" i="2" s="1"/>
  <c r="X12" i="2"/>
  <c r="X9" i="2"/>
  <c r="X10" i="2" s="1"/>
  <c r="X11" i="2" s="1"/>
  <c r="Y12" i="2"/>
  <c r="Y10" i="2"/>
  <c r="Y11" i="2" s="1"/>
  <c r="Y13" i="2" s="1"/>
  <c r="Y15" i="2" s="1"/>
  <c r="Z12" i="2"/>
  <c r="Z10" i="2"/>
  <c r="Z11" i="2" s="1"/>
  <c r="Z13" i="2" s="1"/>
  <c r="Z15" i="2" s="1"/>
  <c r="T36" i="4" l="1"/>
  <c r="T37" i="4" s="1"/>
  <c r="U35" i="4"/>
  <c r="U43" i="4"/>
  <c r="V33" i="4"/>
  <c r="W26" i="4"/>
  <c r="V41" i="4"/>
  <c r="X42" i="4"/>
  <c r="X20" i="4"/>
  <c r="U11" i="4"/>
  <c r="U19" i="4"/>
  <c r="T21" i="4"/>
  <c r="T13" i="4"/>
  <c r="S14" i="4"/>
  <c r="S15" i="4" s="1"/>
  <c r="K13" i="2"/>
  <c r="K15" i="2" s="1"/>
  <c r="X13" i="2"/>
  <c r="X15" i="2" s="1"/>
  <c r="AA70" i="2"/>
  <c r="AA77" i="2" s="1"/>
  <c r="AA67" i="2"/>
  <c r="AB70" i="2"/>
  <c r="AB77" i="2" s="1"/>
  <c r="AB67" i="2"/>
  <c r="AB68" i="2" s="1"/>
  <c r="AA12" i="2"/>
  <c r="AA10" i="2"/>
  <c r="AA11" i="2" s="1"/>
  <c r="AB12" i="2"/>
  <c r="AB10" i="2"/>
  <c r="AB11" i="2" s="1"/>
  <c r="AC70" i="2"/>
  <c r="AC77" i="2" s="1"/>
  <c r="AC67" i="2"/>
  <c r="AD82" i="2"/>
  <c r="AD85" i="2"/>
  <c r="AD70" i="2"/>
  <c r="AD77" i="2" s="1"/>
  <c r="AD67" i="2"/>
  <c r="AD68" i="2" s="1"/>
  <c r="AD96" i="2" s="1"/>
  <c r="AC12" i="2"/>
  <c r="AC10" i="2"/>
  <c r="AC11" i="2" s="1"/>
  <c r="AD12" i="2"/>
  <c r="Z17" i="2"/>
  <c r="Y17" i="2"/>
  <c r="X17" i="2"/>
  <c r="W17" i="2"/>
  <c r="AD10" i="2"/>
  <c r="AD11" i="2" s="1"/>
  <c r="AE85" i="2"/>
  <c r="AE70" i="2"/>
  <c r="AE77" i="2" s="1"/>
  <c r="AE67" i="2"/>
  <c r="AA90" i="2"/>
  <c r="AB90" i="2"/>
  <c r="AC90" i="2"/>
  <c r="AD90" i="2"/>
  <c r="AE90" i="2"/>
  <c r="AA68" i="2"/>
  <c r="AA96" i="2" s="1"/>
  <c r="AC68" i="2"/>
  <c r="AE68" i="2"/>
  <c r="AF85" i="2"/>
  <c r="AF90" i="2"/>
  <c r="AF70" i="2"/>
  <c r="AF77" i="2" s="1"/>
  <c r="AF67" i="2"/>
  <c r="AF68" i="2" s="1"/>
  <c r="AE12" i="2"/>
  <c r="AE10" i="2"/>
  <c r="AE11" i="2" s="1"/>
  <c r="AE13" i="2" s="1"/>
  <c r="AE15" i="2" s="1"/>
  <c r="AE17" i="2" s="1"/>
  <c r="AF12" i="2"/>
  <c r="AF10" i="2"/>
  <c r="AF11" i="2" s="1"/>
  <c r="AF13" i="2" s="1"/>
  <c r="AF15" i="2" s="1"/>
  <c r="AF17" i="2" s="1"/>
  <c r="T39" i="4" l="1"/>
  <c r="V35" i="4"/>
  <c r="V43" i="4"/>
  <c r="W33" i="4"/>
  <c r="X26" i="4"/>
  <c r="W41" i="4"/>
  <c r="U36" i="4"/>
  <c r="U37" i="4" s="1"/>
  <c r="U39" i="4" s="1"/>
  <c r="S17" i="4"/>
  <c r="U21" i="4"/>
  <c r="U13" i="4"/>
  <c r="V11" i="4"/>
  <c r="V19" i="4"/>
  <c r="T14" i="4"/>
  <c r="T15" i="4" s="1"/>
  <c r="T17" i="4" s="1"/>
  <c r="AF96" i="2"/>
  <c r="AF94" i="2"/>
  <c r="AF61" i="2"/>
  <c r="AE61" i="2"/>
  <c r="AA94" i="2"/>
  <c r="AB94" i="2"/>
  <c r="AB96" i="2"/>
  <c r="AA13" i="2"/>
  <c r="AA15" i="2" s="1"/>
  <c r="AA17" i="2" s="1"/>
  <c r="AA61" i="2"/>
  <c r="AB61" i="2"/>
  <c r="AB13" i="2"/>
  <c r="AB15" i="2" s="1"/>
  <c r="AB17" i="2" s="1"/>
  <c r="AC96" i="2"/>
  <c r="AC61" i="2"/>
  <c r="AC13" i="2"/>
  <c r="AC15" i="2" s="1"/>
  <c r="AC17" i="2" s="1"/>
  <c r="AD13" i="2"/>
  <c r="AD15" i="2" s="1"/>
  <c r="AD17" i="2" s="1"/>
  <c r="AD61" i="2"/>
  <c r="AE94" i="2"/>
  <c r="AD94" i="2"/>
  <c r="AC94" i="2"/>
  <c r="AE96" i="2"/>
  <c r="X20" i="2"/>
  <c r="Y20" i="2"/>
  <c r="Z20" i="2"/>
  <c r="AA20" i="2"/>
  <c r="AB20" i="2"/>
  <c r="AC20" i="2"/>
  <c r="AD20" i="2"/>
  <c r="AE20" i="2"/>
  <c r="W21" i="2"/>
  <c r="X21" i="2"/>
  <c r="Y21" i="2"/>
  <c r="Z21" i="2"/>
  <c r="AA21" i="2"/>
  <c r="AB21" i="2"/>
  <c r="AC21" i="2"/>
  <c r="AD21" i="2"/>
  <c r="AE21" i="2"/>
  <c r="AF21" i="2"/>
  <c r="AF20" i="2"/>
  <c r="X19" i="2"/>
  <c r="Y19" i="2"/>
  <c r="Z19" i="2"/>
  <c r="AA19" i="2"/>
  <c r="AB19" i="2"/>
  <c r="AC19" i="2"/>
  <c r="AD19" i="2"/>
  <c r="AE19" i="2"/>
  <c r="AF19" i="2"/>
  <c r="L79" i="2"/>
  <c r="L67" i="2"/>
  <c r="L68" i="2" s="1"/>
  <c r="P67" i="2"/>
  <c r="P40" i="2"/>
  <c r="L12" i="2"/>
  <c r="P12" i="2"/>
  <c r="B8" i="2"/>
  <c r="B7" i="2"/>
  <c r="M70" i="2"/>
  <c r="M77" i="2" s="1"/>
  <c r="M67" i="2"/>
  <c r="M68" i="2" s="1"/>
  <c r="D68" i="2"/>
  <c r="D96" i="2" s="1"/>
  <c r="E68" i="2"/>
  <c r="E96" i="2" s="1"/>
  <c r="F68" i="2"/>
  <c r="G68" i="2"/>
  <c r="G96" i="2" s="1"/>
  <c r="H68" i="2"/>
  <c r="H96" i="2" s="1"/>
  <c r="I96" i="2"/>
  <c r="J68" i="2"/>
  <c r="J96" i="2" s="1"/>
  <c r="K68" i="2"/>
  <c r="K96" i="2" s="1"/>
  <c r="N68" i="2"/>
  <c r="N96" i="2" s="1"/>
  <c r="O68" i="2"/>
  <c r="O96" i="2" s="1"/>
  <c r="P68" i="2"/>
  <c r="P96" i="2" s="1"/>
  <c r="R68" i="2"/>
  <c r="S68" i="2"/>
  <c r="R77" i="2"/>
  <c r="S77" i="2"/>
  <c r="D77" i="2"/>
  <c r="E77" i="2"/>
  <c r="F77" i="2"/>
  <c r="G77" i="2"/>
  <c r="H77" i="2"/>
  <c r="I77" i="2"/>
  <c r="J77" i="2"/>
  <c r="K77" i="2"/>
  <c r="L77" i="2"/>
  <c r="N77" i="2"/>
  <c r="O77" i="2"/>
  <c r="P77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R90" i="2"/>
  <c r="S90" i="2"/>
  <c r="F96" i="2"/>
  <c r="Q90" i="2"/>
  <c r="Q77" i="2"/>
  <c r="Q67" i="2"/>
  <c r="Q68" i="2" s="1"/>
  <c r="Q96" i="2" s="1"/>
  <c r="D57" i="2"/>
  <c r="E57" i="2"/>
  <c r="G57" i="2"/>
  <c r="H57" i="2"/>
  <c r="I57" i="2"/>
  <c r="J57" i="2"/>
  <c r="K57" i="2"/>
  <c r="L57" i="2"/>
  <c r="M57" i="2"/>
  <c r="N57" i="2"/>
  <c r="O57" i="2"/>
  <c r="P57" i="2"/>
  <c r="R57" i="2"/>
  <c r="S57" i="2"/>
  <c r="D40" i="2"/>
  <c r="E40" i="2"/>
  <c r="F40" i="2"/>
  <c r="G40" i="2"/>
  <c r="H40" i="2"/>
  <c r="I40" i="2"/>
  <c r="J40" i="2"/>
  <c r="K40" i="2"/>
  <c r="L40" i="2"/>
  <c r="M40" i="2"/>
  <c r="N40" i="2"/>
  <c r="O40" i="2"/>
  <c r="R40" i="2"/>
  <c r="S40" i="2"/>
  <c r="Q57" i="2"/>
  <c r="D46" i="2"/>
  <c r="E46" i="2"/>
  <c r="F46" i="2"/>
  <c r="G46" i="2"/>
  <c r="I46" i="2"/>
  <c r="J46" i="2"/>
  <c r="K46" i="2"/>
  <c r="L46" i="2"/>
  <c r="M46" i="2"/>
  <c r="N46" i="2"/>
  <c r="O46" i="2"/>
  <c r="P46" i="2"/>
  <c r="R46" i="2"/>
  <c r="S46" i="2"/>
  <c r="Q46" i="2"/>
  <c r="Q40" i="2"/>
  <c r="H23" i="2"/>
  <c r="I23" i="2"/>
  <c r="J23" i="2"/>
  <c r="K23" i="2"/>
  <c r="L23" i="2"/>
  <c r="M23" i="2"/>
  <c r="N23" i="2"/>
  <c r="O23" i="2"/>
  <c r="P23" i="2"/>
  <c r="R23" i="2"/>
  <c r="S23" i="2"/>
  <c r="H19" i="2"/>
  <c r="I19" i="2"/>
  <c r="J19" i="2"/>
  <c r="K19" i="2"/>
  <c r="L19" i="2"/>
  <c r="M19" i="2"/>
  <c r="N19" i="2"/>
  <c r="O19" i="2"/>
  <c r="P19" i="2"/>
  <c r="R19" i="2"/>
  <c r="S19" i="2"/>
  <c r="Q19" i="2"/>
  <c r="M12" i="2"/>
  <c r="D10" i="2"/>
  <c r="D11" i="2" s="1"/>
  <c r="D61" i="2" s="1"/>
  <c r="E10" i="2"/>
  <c r="E11" i="2" s="1"/>
  <c r="E61" i="2" s="1"/>
  <c r="F10" i="2"/>
  <c r="F11" i="2" s="1"/>
  <c r="F61" i="2" s="1"/>
  <c r="G10" i="2"/>
  <c r="G11" i="2" s="1"/>
  <c r="G21" i="2" s="1"/>
  <c r="H10" i="2"/>
  <c r="H11" i="2" s="1"/>
  <c r="H13" i="2" s="1"/>
  <c r="H15" i="2" s="1"/>
  <c r="H17" i="2" s="1"/>
  <c r="I10" i="2"/>
  <c r="I11" i="2" s="1"/>
  <c r="I21" i="2" s="1"/>
  <c r="J17" i="2"/>
  <c r="K21" i="2"/>
  <c r="L10" i="2"/>
  <c r="M10" i="2"/>
  <c r="M11" i="2" s="1"/>
  <c r="O10" i="2"/>
  <c r="P10" i="2"/>
  <c r="P11" i="2" s="1"/>
  <c r="R10" i="2"/>
  <c r="R11" i="2" s="1"/>
  <c r="R21" i="2" s="1"/>
  <c r="S10" i="2"/>
  <c r="S11" i="2" s="1"/>
  <c r="S21" i="2" s="1"/>
  <c r="Q10" i="2"/>
  <c r="Q11" i="2" s="1"/>
  <c r="Q61" i="2" s="1"/>
  <c r="V36" i="4" l="1"/>
  <c r="V37" i="4"/>
  <c r="V39" i="4" s="1"/>
  <c r="W43" i="4"/>
  <c r="W35" i="4"/>
  <c r="X41" i="4"/>
  <c r="X33" i="4"/>
  <c r="W11" i="4"/>
  <c r="W19" i="4"/>
  <c r="V21" i="4"/>
  <c r="V13" i="4"/>
  <c r="U14" i="4"/>
  <c r="U15" i="4"/>
  <c r="U17" i="4" s="1"/>
  <c r="Q58" i="2"/>
  <c r="K58" i="2"/>
  <c r="L58" i="2"/>
  <c r="D58" i="2"/>
  <c r="S58" i="2"/>
  <c r="R58" i="2"/>
  <c r="O58" i="2"/>
  <c r="N58" i="2"/>
  <c r="M58" i="2"/>
  <c r="E58" i="2"/>
  <c r="S20" i="2"/>
  <c r="R94" i="2"/>
  <c r="R20" i="2"/>
  <c r="I58" i="2"/>
  <c r="Q94" i="2"/>
  <c r="H58" i="2"/>
  <c r="G58" i="2"/>
  <c r="O20" i="2"/>
  <c r="I61" i="2"/>
  <c r="J94" i="2"/>
  <c r="N20" i="2"/>
  <c r="M20" i="2"/>
  <c r="J58" i="2"/>
  <c r="S94" i="2"/>
  <c r="M21" i="2"/>
  <c r="M61" i="2"/>
  <c r="H61" i="2"/>
  <c r="G61" i="2"/>
  <c r="I20" i="2"/>
  <c r="D94" i="2"/>
  <c r="S96" i="2"/>
  <c r="O11" i="2"/>
  <c r="F58" i="2"/>
  <c r="R96" i="2"/>
  <c r="K20" i="2"/>
  <c r="S61" i="2"/>
  <c r="J20" i="2"/>
  <c r="R61" i="2"/>
  <c r="Q20" i="2"/>
  <c r="E94" i="2"/>
  <c r="L20" i="2"/>
  <c r="H20" i="2"/>
  <c r="K61" i="2"/>
  <c r="N13" i="2"/>
  <c r="N15" i="2" s="1"/>
  <c r="N17" i="2" s="1"/>
  <c r="H21" i="2"/>
  <c r="J61" i="2"/>
  <c r="O94" i="2"/>
  <c r="N94" i="2"/>
  <c r="L94" i="2"/>
  <c r="L96" i="2"/>
  <c r="P58" i="2"/>
  <c r="P20" i="2"/>
  <c r="L11" i="2"/>
  <c r="L21" i="2" s="1"/>
  <c r="P13" i="2"/>
  <c r="P15" i="2" s="1"/>
  <c r="P17" i="2" s="1"/>
  <c r="P21" i="2"/>
  <c r="P61" i="2"/>
  <c r="M96" i="2"/>
  <c r="M94" i="2"/>
  <c r="F94" i="2"/>
  <c r="K94" i="2"/>
  <c r="I94" i="2"/>
  <c r="P94" i="2"/>
  <c r="H94" i="2"/>
  <c r="G94" i="2"/>
  <c r="D21" i="2"/>
  <c r="D13" i="2"/>
  <c r="D15" i="2" s="1"/>
  <c r="D17" i="2" s="1"/>
  <c r="Q21" i="2"/>
  <c r="Q13" i="2"/>
  <c r="Q15" i="2" s="1"/>
  <c r="Q17" i="2" s="1"/>
  <c r="F21" i="2"/>
  <c r="F13" i="2"/>
  <c r="F15" i="2" s="1"/>
  <c r="F17" i="2" s="1"/>
  <c r="E13" i="2"/>
  <c r="E15" i="2" s="1"/>
  <c r="E17" i="2" s="1"/>
  <c r="E21" i="2"/>
  <c r="G13" i="2"/>
  <c r="G15" i="2" s="1"/>
  <c r="G17" i="2" s="1"/>
  <c r="J21" i="2"/>
  <c r="M13" i="2"/>
  <c r="M15" i="2" s="1"/>
  <c r="M17" i="2" s="1"/>
  <c r="K17" i="2"/>
  <c r="S13" i="2"/>
  <c r="S15" i="2" s="1"/>
  <c r="S17" i="2" s="1"/>
  <c r="R13" i="2"/>
  <c r="R15" i="2" s="1"/>
  <c r="R17" i="2" s="1"/>
  <c r="I13" i="2"/>
  <c r="I15" i="2" s="1"/>
  <c r="I17" i="2" s="1"/>
  <c r="X35" i="4" l="1"/>
  <c r="X43" i="4"/>
  <c r="W36" i="4"/>
  <c r="W37" i="4" s="1"/>
  <c r="W39" i="4" s="1"/>
  <c r="V14" i="4"/>
  <c r="V15" i="4" s="1"/>
  <c r="V17" i="4" s="1"/>
  <c r="X19" i="4"/>
  <c r="X11" i="4"/>
  <c r="W21" i="4"/>
  <c r="W13" i="4"/>
  <c r="N21" i="2"/>
  <c r="N61" i="2"/>
  <c r="O21" i="2"/>
  <c r="O61" i="2"/>
  <c r="O13" i="2"/>
  <c r="O15" i="2" s="1"/>
  <c r="O17" i="2" s="1"/>
  <c r="L61" i="2"/>
  <c r="L13" i="2"/>
  <c r="L15" i="2" s="1"/>
  <c r="L17" i="2" s="1"/>
  <c r="X36" i="4" l="1"/>
  <c r="X37" i="4" s="1"/>
  <c r="W14" i="4"/>
  <c r="W15" i="4" s="1"/>
  <c r="W17" i="4" s="1"/>
  <c r="X13" i="4"/>
  <c r="X21" i="4"/>
  <c r="B6" i="2"/>
  <c r="B9" i="2" s="1"/>
  <c r="X39" i="4" l="1"/>
  <c r="Z37" i="4"/>
  <c r="AA37" i="4" s="1"/>
  <c r="AB37" i="4" s="1"/>
  <c r="AC37" i="4" s="1"/>
  <c r="AD37" i="4" s="1"/>
  <c r="AE37" i="4" s="1"/>
  <c r="AF37" i="4" s="1"/>
  <c r="AG37" i="4" s="1"/>
  <c r="AH37" i="4" s="1"/>
  <c r="AI37" i="4" s="1"/>
  <c r="AJ37" i="4" s="1"/>
  <c r="AK37" i="4" s="1"/>
  <c r="AL37" i="4" s="1"/>
  <c r="AM37" i="4" s="1"/>
  <c r="AN37" i="4" s="1"/>
  <c r="AO37" i="4" s="1"/>
  <c r="AP37" i="4" s="1"/>
  <c r="AQ37" i="4" s="1"/>
  <c r="AR37" i="4" s="1"/>
  <c r="AS37" i="4" s="1"/>
  <c r="AT37" i="4" s="1"/>
  <c r="AU37" i="4" s="1"/>
  <c r="AV37" i="4" s="1"/>
  <c r="AW37" i="4" s="1"/>
  <c r="AX37" i="4" s="1"/>
  <c r="AY37" i="4" s="1"/>
  <c r="AZ37" i="4" s="1"/>
  <c r="BA37" i="4" s="1"/>
  <c r="BB37" i="4" s="1"/>
  <c r="BC37" i="4" s="1"/>
  <c r="BD37" i="4" s="1"/>
  <c r="BE37" i="4" s="1"/>
  <c r="BF37" i="4" s="1"/>
  <c r="BG37" i="4" s="1"/>
  <c r="BH37" i="4" s="1"/>
  <c r="BI37" i="4" s="1"/>
  <c r="BJ37" i="4" s="1"/>
  <c r="BK37" i="4" s="1"/>
  <c r="BL37" i="4" s="1"/>
  <c r="BM37" i="4" s="1"/>
  <c r="BN37" i="4" s="1"/>
  <c r="BO37" i="4" s="1"/>
  <c r="BP37" i="4" s="1"/>
  <c r="BQ37" i="4" s="1"/>
  <c r="BR37" i="4" s="1"/>
  <c r="BS37" i="4" s="1"/>
  <c r="BT37" i="4" s="1"/>
  <c r="BU37" i="4" s="1"/>
  <c r="BV37" i="4" s="1"/>
  <c r="BW37" i="4" s="1"/>
  <c r="BX37" i="4" s="1"/>
  <c r="BY37" i="4" s="1"/>
  <c r="BZ37" i="4" s="1"/>
  <c r="CA37" i="4" s="1"/>
  <c r="CB37" i="4" s="1"/>
  <c r="CC37" i="4" s="1"/>
  <c r="CD37" i="4" s="1"/>
  <c r="CE37" i="4" s="1"/>
  <c r="CF37" i="4" s="1"/>
  <c r="CG37" i="4" s="1"/>
  <c r="CH37" i="4" s="1"/>
  <c r="CI37" i="4" s="1"/>
  <c r="CJ37" i="4" s="1"/>
  <c r="CK37" i="4" s="1"/>
  <c r="CL37" i="4" s="1"/>
  <c r="CM37" i="4" s="1"/>
  <c r="CN37" i="4" s="1"/>
  <c r="CO37" i="4" s="1"/>
  <c r="CP37" i="4" s="1"/>
  <c r="CQ37" i="4" s="1"/>
  <c r="CR37" i="4" s="1"/>
  <c r="CS37" i="4" s="1"/>
  <c r="CT37" i="4" s="1"/>
  <c r="CU37" i="4" s="1"/>
  <c r="CV37" i="4" s="1"/>
  <c r="CW37" i="4" s="1"/>
  <c r="CX37" i="4" s="1"/>
  <c r="CY37" i="4" s="1"/>
  <c r="CZ37" i="4" s="1"/>
  <c r="DA37" i="4" s="1"/>
  <c r="DB37" i="4" s="1"/>
  <c r="DC37" i="4" s="1"/>
  <c r="DD37" i="4" s="1"/>
  <c r="AA42" i="4" s="1"/>
  <c r="AA44" i="4" s="1"/>
  <c r="AA45" i="4" s="1"/>
  <c r="X14" i="4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O15" i="4" s="1"/>
  <c r="CP15" i="4" s="1"/>
  <c r="CQ15" i="4" s="1"/>
  <c r="CR15" i="4" s="1"/>
  <c r="CS15" i="4" s="1"/>
  <c r="CT15" i="4" s="1"/>
  <c r="CU15" i="4" s="1"/>
  <c r="CV15" i="4" s="1"/>
  <c r="CW15" i="4" s="1"/>
  <c r="CX15" i="4" s="1"/>
  <c r="CY15" i="4" s="1"/>
  <c r="CZ15" i="4" s="1"/>
  <c r="DA15" i="4" s="1"/>
  <c r="DB15" i="4" s="1"/>
  <c r="DC15" i="4" s="1"/>
  <c r="DD15" i="4" s="1"/>
  <c r="F5" i="3"/>
  <c r="E5" i="3"/>
  <c r="D5" i="3"/>
  <c r="A28" i="4" l="1"/>
  <c r="A27" i="4"/>
  <c r="X17" i="4"/>
  <c r="AA20" i="4"/>
  <c r="AA22" i="4" s="1"/>
  <c r="A6" i="4" l="1"/>
  <c r="A5" i="4"/>
</calcChain>
</file>

<file path=xl/sharedStrings.xml><?xml version="1.0" encoding="utf-8"?>
<sst xmlns="http://schemas.openxmlformats.org/spreadsheetml/2006/main" count="233" uniqueCount="142">
  <si>
    <t>Kapitalstruktur</t>
  </si>
  <si>
    <t>Price</t>
  </si>
  <si>
    <t>S/O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</si>
  <si>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</si>
  <si>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</si>
  <si>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</si>
  <si>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</si>
  <si>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</si>
  <si>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</si>
  <si>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</si>
  <si>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</si>
  <si>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</si>
  <si>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</si>
  <si>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</si>
  <si>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</si>
  <si>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</si>
  <si>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</si>
  <si>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</si>
  <si>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</si>
  <si>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</si>
  <si>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</si>
  <si>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</si>
  <si>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</si>
  <si>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>FY 2030</t>
  </si>
  <si>
    <t>FY 2031</t>
  </si>
  <si>
    <t>FY 2032</t>
  </si>
  <si>
    <t>FY 2033</t>
  </si>
  <si>
    <t>FY 2034</t>
  </si>
  <si>
    <t>FY 2035</t>
  </si>
  <si>
    <t>EV/EBIT</t>
  </si>
  <si>
    <t>P/E</t>
  </si>
  <si>
    <t>Q225</t>
  </si>
  <si>
    <t>FY 2019</t>
  </si>
  <si>
    <t>FY 2020</t>
  </si>
  <si>
    <t>FY 2021</t>
  </si>
  <si>
    <t>Q325</t>
  </si>
  <si>
    <t>Q425</t>
  </si>
  <si>
    <t>Q125</t>
  </si>
  <si>
    <t>SEK million</t>
  </si>
  <si>
    <t>MC SEKm</t>
  </si>
  <si>
    <t>Cash SEKm</t>
  </si>
  <si>
    <t>Debt SEKm</t>
  </si>
  <si>
    <t>EV SEKm</t>
  </si>
  <si>
    <t>Revenue y/y</t>
  </si>
  <si>
    <t>EBIT margin</t>
  </si>
  <si>
    <t>Balanse NOKm</t>
  </si>
  <si>
    <t xml:space="preserve">Cash flow NOKm </t>
  </si>
  <si>
    <t>ROE</t>
  </si>
  <si>
    <t>EPS</t>
  </si>
  <si>
    <t>Share</t>
  </si>
  <si>
    <t>Oppdragsspesfikke kostnader</t>
  </si>
  <si>
    <t>Inntekter</t>
  </si>
  <si>
    <t>Øvrige eksterne kostnader</t>
  </si>
  <si>
    <t>Personalkostnad</t>
  </si>
  <si>
    <t>Av- og nedskrivninger</t>
  </si>
  <si>
    <t>Øvrige kostnader</t>
  </si>
  <si>
    <t>Totale driftskostnader</t>
  </si>
  <si>
    <t>Driftsresultat (EBIT)</t>
  </si>
  <si>
    <t>Finansielle kostnader</t>
  </si>
  <si>
    <t>PTP</t>
  </si>
  <si>
    <t>Skatt</t>
  </si>
  <si>
    <t>Net income</t>
  </si>
  <si>
    <t>Opex y/y</t>
  </si>
  <si>
    <t>Immatrielle anleggsmidler</t>
  </si>
  <si>
    <t>Nyanskaffet anleggsmidler</t>
  </si>
  <si>
    <t>Materielle anleggsmidler</t>
  </si>
  <si>
    <t>Andre interesser i selskaper</t>
  </si>
  <si>
    <t>Utsatt skattefordring</t>
  </si>
  <si>
    <t>Andre fordringer</t>
  </si>
  <si>
    <t>Kundefordringer</t>
  </si>
  <si>
    <t>Fordringer hos tilknyttede selskaper</t>
  </si>
  <si>
    <t>Aktuelle skattefordringer</t>
  </si>
  <si>
    <t>Øvrige fordringer</t>
  </si>
  <si>
    <t>Forhåndsbetalte kostnader og påløpte inntekter</t>
  </si>
  <si>
    <t>Cash</t>
  </si>
  <si>
    <t>Totale eiendeler</t>
  </si>
  <si>
    <t>Aksjekapital</t>
  </si>
  <si>
    <t>Innskutt EK</t>
  </si>
  <si>
    <t>Reserver</t>
  </si>
  <si>
    <t>Tilskudd fra periodens resultat</t>
  </si>
  <si>
    <t>Innehav uten bestemste intersser</t>
  </si>
  <si>
    <t>Total EK</t>
  </si>
  <si>
    <t>Øvrige avsetninger</t>
  </si>
  <si>
    <t>Langsiktig RB gjeld</t>
  </si>
  <si>
    <t>Avsatt skatt</t>
  </si>
  <si>
    <t>Øvrige langsiktig gjeld</t>
  </si>
  <si>
    <t>Kortsiktig RB gjeld</t>
  </si>
  <si>
    <t>Leverandørgjeld</t>
  </si>
  <si>
    <t>Gjeld til interesseselskap</t>
  </si>
  <si>
    <t>Øvrige kortsiktige gjeld</t>
  </si>
  <si>
    <t>Kortsiktig gjeld aksjeeiere</t>
  </si>
  <si>
    <t>Påløpte kostnader og forhåndsbetalte inntekter</t>
  </si>
  <si>
    <t>Sum E/G</t>
  </si>
  <si>
    <t>Sum gjeld</t>
  </si>
  <si>
    <t>Model EBIT</t>
  </si>
  <si>
    <t>Reported EBIT</t>
  </si>
  <si>
    <t>Non-cash items</t>
  </si>
  <si>
    <t>motatt rente</t>
  </si>
  <si>
    <t>Betalt rente</t>
  </si>
  <si>
    <t>Betalt skatt</t>
  </si>
  <si>
    <t>WC</t>
  </si>
  <si>
    <t>CFFO</t>
  </si>
  <si>
    <t>Capex</t>
  </si>
  <si>
    <t>Utbytte fra interesseselskap</t>
  </si>
  <si>
    <t>Inskudd til interesseselskap</t>
  </si>
  <si>
    <t>Nedskrivning av datter</t>
  </si>
  <si>
    <t>Salg av interesseselskap</t>
  </si>
  <si>
    <t>Nyetablering av interesseselskap</t>
  </si>
  <si>
    <t>Betaling til datterselskap</t>
  </si>
  <si>
    <t>CFFI</t>
  </si>
  <si>
    <t>Nedbetaling av lån</t>
  </si>
  <si>
    <t>Nedbetaling av leasning</t>
  </si>
  <si>
    <t>Nytt lån</t>
  </si>
  <si>
    <t>Transaksjonskostnader lån</t>
  </si>
  <si>
    <t>Innskudd</t>
  </si>
  <si>
    <t>Buyback</t>
  </si>
  <si>
    <t>Utbytte til ikke-kontrollerende interesser</t>
  </si>
  <si>
    <t>Innbetalinger fra premiums</t>
  </si>
  <si>
    <t>Ettermarked innbetalinger</t>
  </si>
  <si>
    <t>Transaksjoner med ikke-kontrollerende interesser</t>
  </si>
  <si>
    <t>CFFF</t>
  </si>
  <si>
    <t>FX</t>
  </si>
  <si>
    <t>CIC</t>
  </si>
  <si>
    <t>FCF</t>
  </si>
  <si>
    <t>Ansatte ved kvartalslutt</t>
  </si>
  <si>
    <t>FY 2015</t>
  </si>
  <si>
    <t>FY 2016</t>
  </si>
  <si>
    <t>FY 2017</t>
  </si>
  <si>
    <t>FY 2018</t>
  </si>
  <si>
    <t>Utbetaling til morselskap</t>
  </si>
  <si>
    <t xml:space="preserve">Press release: </t>
  </si>
  <si>
    <t>Discount</t>
  </si>
  <si>
    <t>TV</t>
  </si>
  <si>
    <t>NPV</t>
  </si>
  <si>
    <t>NPV/Share</t>
  </si>
  <si>
    <t>Opp/nedside</t>
  </si>
  <si>
    <t>10.07.25: Lanserer B3 Zenith som styrjer tilbudet innen finans og tranformasjon. Starter opp 1. september 2025</t>
  </si>
  <si>
    <t>24.04.25: B3 etablerer seg i Norge gjennom B3 Norge</t>
  </si>
  <si>
    <t>Nedside</t>
  </si>
  <si>
    <t>02.06.25: Rune Føyslie blir en del av Habberstad og styrker satsningen på rekruttering i Norge</t>
  </si>
  <si>
    <t>Ansatte y/y</t>
  </si>
  <si>
    <t>Null vekst og konstante marginer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</si>
</sst>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kr&quot;\ #,##0.00_);[Red]\(&quot;kr&quot;\ #,##0.00\)"/>
    <numFmt numFmtId="164" formatCode="#,##0.0"/>
    <numFmt numFmtId="165" formatCode="0.0"/>
    <numFmt numFmtId="166" formatCode="0.0\ %"/>
    <numFmt numFmtId="167" formatCode="&quot;kr&quot;\ #,##0.0"/>
  </numFmts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2" fillId="0" borderId="0" xfId="0" applyFont="1" applyAlignment="1">
      <alignment horizontal="right"/>
    </xf>
    <xf numFmtId="165" fontId="2" fillId="0" borderId="1" xfId="0" applyNumberFormat="1" applyFont="1" applyBorder="1"/>
    <xf numFmtId="165" fontId="2" fillId="0" borderId="0" xfId="0" applyNumberFormat="1" applyFont="1"/>
    <xf numFmtId="166" fontId="2" fillId="0" borderId="0" xfId="0" applyNumberFormat="1" applyFont="1"/>
    <xf numFmtId="0" fontId="4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" fontId="2" fillId="0" borderId="0" xfId="0" applyNumberFormat="1" applyFont="1"/>
    <xf numFmtId="3" fontId="2" fillId="0" borderId="1" xfId="0" applyNumberFormat="1" applyFont="1" applyBorder="1"/>
    <xf numFmtId="3" fontId="4" fillId="0" borderId="0" xfId="0" applyNumberFormat="1" applyFont="1"/>
    <xf numFmtId="0" fontId="2" fillId="0" borderId="1" xfId="0" applyFont="1" applyBorder="1" applyAlignment="1">
      <alignment horizontal="right"/>
    </xf>
    <xf numFmtId="10" fontId="1" fillId="0" borderId="0" xfId="0" applyNumberFormat="1" applyFont="1"/>
    <xf numFmtId="2" fontId="2" fillId="0" borderId="0" xfId="0" applyNumberFormat="1" applyFont="1"/>
    <xf numFmtId="10" fontId="2" fillId="0" borderId="0" xfId="0" applyNumberFormat="1" applyFont="1"/>
    <xf numFmtId="10" fontId="2" fillId="0" borderId="1" xfId="0" applyNumberFormat="1" applyFont="1" applyBorder="1"/>
    <xf numFmtId="2" fontId="2" fillId="0" borderId="1" xfId="0" applyNumberFormat="1" applyFont="1" applyBorder="1"/>
    <xf numFmtId="10" fontId="1" fillId="0" borderId="1" xfId="0" applyNumberFormat="1" applyFont="1" applyBorder="1"/>
    <xf numFmtId="0" fontId="1" fillId="0" borderId="1" xfId="0" applyFont="1" applyBorder="1"/>
    <xf numFmtId="3" fontId="4" fillId="0" borderId="1" xfId="0" applyNumberFormat="1" applyFont="1" applyBorder="1"/>
    <xf numFmtId="0" fontId="5" fillId="0" borderId="2" xfId="0" applyFont="1" applyBorder="1"/>
    <xf numFmtId="165" fontId="6" fillId="0" borderId="2" xfId="0" applyNumberFormat="1" applyFont="1" applyBorder="1"/>
    <xf numFmtId="0" fontId="2" fillId="0" borderId="3" xfId="0" applyFont="1" applyBorder="1"/>
    <xf numFmtId="9" fontId="2" fillId="0" borderId="0" xfId="0" applyNumberFormat="1" applyFont="1"/>
    <xf numFmtId="8" fontId="2" fillId="0" borderId="3" xfId="0" applyNumberFormat="1" applyFont="1" applyBorder="1"/>
    <xf numFmtId="167" fontId="2" fillId="0" borderId="0" xfId="0" applyNumberFormat="1" applyFont="1"/>
    <xf numFmtId="165" fontId="1" fillId="0" borderId="0" xfId="0" applyNumberFormat="1" applyFont="1"/>
    <xf numFmtId="0" fontId="2" fillId="0" borderId="4" xfId="0" applyFont="1" applyBorder="1"/>
    <xf numFmtId="166" fontId="2" fillId="0" borderId="3" xfId="0" applyNumberFormat="1" applyFont="1" applyBorder="1"/>
    <xf numFmtId="0" fontId="1" fillId="0" borderId="3" xfId="0" applyFont="1" applyBorder="1"/>
    <xf numFmtId="10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317500</xdr:colOff>
      <xdr:row>15</xdr:row>
      <xdr:rowOff>99112</xdr:rowOff>
    </xdr:from>
    <xdr:to>
      <xdr:col>7</xdr:col>
      <xdr:colOff>317500</xdr:colOff>
      <xdr:row>22</xdr:row>
      <xdr:rowOff>127944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60CF25A-F7C7-1DAE-54D7-7295DB16E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4000" y="3718612"/>
          <a:ext cx="3302000" cy="17179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12700</xdr:colOff>
      <xdr:row>14</xdr:row>
      <xdr:rowOff>127000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B876B9E3-003F-4294-C2C1-93DE71834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616700" cy="35052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0</xdr:row>
      <xdr:rowOff>0</xdr:rowOff>
    </xdr:from>
    <xdr:to>
      <xdr:col>16</xdr:col>
      <xdr:colOff>736600</xdr:colOff>
      <xdr:row>23</xdr:row>
      <xdr:rowOff>25400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C84C1A58-C092-E747-45B7-45D9EFBB9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80200" y="0"/>
          <a:ext cx="7264400" cy="5575300"/>
        </a:xfrm>
        <a:prstGeom prst="rect">
          <a:avLst/>
        </a:prstGeom>
      </xdr:spPr>
    </xdr:pic>
    <xdr:clientData/>
  </xdr:twoCellAnchor>
  <xdr:twoCellAnchor editAs="oneCell">
    <xdr:from>
      <xdr:col>16</xdr:col>
      <xdr:colOff>660400</xdr:colOff>
      <xdr:row>0</xdr:row>
      <xdr:rowOff>0</xdr:rowOff>
    </xdr:from>
    <xdr:to>
      <xdr:col>25</xdr:col>
      <xdr:colOff>393700</xdr:colOff>
      <xdr:row>8</xdr:row>
      <xdr:rowOff>139700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97664690-2648-B0DD-4712-753099F7C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68400" y="0"/>
          <a:ext cx="7162800" cy="2070100"/>
        </a:xfrm>
        <a:prstGeom prst="rect">
          <a:avLst/>
        </a:prstGeom>
      </xdr:spPr>
    </xdr:pic>
    <xdr:clientData/>
  </xdr:twoCellAnchor>
  <xdr:twoCellAnchor editAs="oneCell">
    <xdr:from>
      <xdr:col>16</xdr:col>
      <xdr:colOff>596900</xdr:colOff>
      <xdr:row>8</xdr:row>
      <xdr:rowOff>38100</xdr:rowOff>
    </xdr:from>
    <xdr:to>
      <xdr:col>25</xdr:col>
      <xdr:colOff>495300</xdr:colOff>
      <xdr:row>13</xdr:row>
      <xdr:rowOff>228600</xdr:rowOff>
    </xdr:to>
    <xdr:pic>
      <xdr:nvPicPr>
        <xdr:cNvPr id="7" name="Bilde 6">
          <a:extLst>
            <a:ext uri="{FF2B5EF4-FFF2-40B4-BE49-F238E27FC236}">
              <a16:creationId xmlns:a16="http://schemas.microsoft.com/office/drawing/2014/main" id="{FD038DA8-909A-DDA7-B5EB-F99FA3C56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04900" y="1968500"/>
          <a:ext cx="7327900" cy="1397000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13</xdr:row>
      <xdr:rowOff>177800</xdr:rowOff>
    </xdr:from>
    <xdr:to>
      <xdr:col>25</xdr:col>
      <xdr:colOff>381000</xdr:colOff>
      <xdr:row>23</xdr:row>
      <xdr:rowOff>12700</xdr:rowOff>
    </xdr:to>
    <xdr:pic>
      <xdr:nvPicPr>
        <xdr:cNvPr id="8" name="Bilde 7">
          <a:extLst>
            <a:ext uri="{FF2B5EF4-FFF2-40B4-BE49-F238E27FC236}">
              <a16:creationId xmlns:a16="http://schemas.microsoft.com/office/drawing/2014/main" id="{78812E27-3075-5BCC-DFF9-8F78C1A31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79500" y="3314700"/>
          <a:ext cx="7239000" cy="224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ABC2-1253-924E-8CB2-F0C03750A097}">
  <dimension ref="A5:A27"/>
  <sheetViews>
    <sheetView showGridLines="0" workbookViewId="0">
      <selection activeCell="N25" sqref="N25"/>
    </sheetView>
  </sheetViews>
  <sheetFormatPr baseColWidth="10" defaultRowHeight="19" x14ac:dyDescent="0.25"/>
  <cols>
    <col min="1" max="16384" width="10.83203125" style="2"/>
  </cols>
  <sheetData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24" spans="1:1" x14ac:dyDescent="0.25">
      <c r="A24" s="1" t="s">
        <v>130</v>
      </c>
    </row>
    <row r="25" spans="1:1" x14ac:dyDescent="0.25">
      <c r="A25" s="2" t="s">
        <v>136</v>
      </c>
    </row>
    <row r="26" spans="1:1" x14ac:dyDescent="0.25">
      <c r="A26" s="2" t="s">
        <v>139</v>
      </c>
    </row>
    <row r="27" spans="1:1" x14ac:dyDescent="0.25">
      <c r="A27" s="2" t="s">
        <v>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41D6-FA1C-5144-915F-9569A5873643}">
  <dimension ref="A1:DW96"/>
  <sheetViews>
    <sheetView showGridLines="0" workbookViewId="0">
      <pane xSplit="3" ySplit="3" topLeftCell="W4" activePane="bottomRight" state="frozen"/>
      <selection pane="topRight" activeCell="D1" sqref="D1"/>
      <selection pane="bottomLeft" activeCell="A4" sqref="A4"/>
      <selection pane="bottomRight" activeCell="AS24" sqref="AS24"/>
    </sheetView>
  </sheetViews>
  <sheetFormatPr baseColWidth="10" defaultRowHeight="19" x14ac:dyDescent="0.25"/>
  <cols>
    <col min="1" max="1" width="16.33203125" style="2" bestFit="1" customWidth="1"/>
    <col min="2" max="2" width="10.83203125" style="4"/>
    <col min="3" max="3" width="48" style="2" bestFit="1" customWidth="1"/>
    <col min="4" max="4" width="10.83203125" style="2"/>
    <col min="5" max="5" width="10.33203125" style="2" customWidth="1"/>
    <col min="6" max="6" width="12.5" style="2" customWidth="1"/>
    <col min="7" max="7" width="10.5" style="2" customWidth="1"/>
    <col min="8" max="8" width="12.83203125" style="2" customWidth="1"/>
    <col min="9" max="9" width="9" style="2" customWidth="1"/>
    <col min="10" max="10" width="11" style="2" customWidth="1"/>
    <col min="11" max="12" width="10" style="2" customWidth="1"/>
    <col min="13" max="13" width="11.1640625" style="2" customWidth="1"/>
    <col min="14" max="14" width="11.33203125" style="2" customWidth="1"/>
    <col min="15" max="15" width="10.33203125" style="2" customWidth="1"/>
    <col min="16" max="16" width="10.83203125" style="2"/>
    <col min="17" max="17" width="10.83203125" style="4"/>
    <col min="18" max="32" width="10.83203125" style="2"/>
    <col min="33" max="33" width="10.83203125" style="4"/>
    <col min="34" max="44" width="10.83203125" style="2"/>
    <col min="45" max="45" width="14.1640625" style="2" bestFit="1" customWidth="1"/>
    <col min="46" max="46" width="12.1640625" style="2" bestFit="1" customWidth="1"/>
    <col min="47" max="16384" width="10.83203125" style="2"/>
  </cols>
  <sheetData>
    <row r="1" spans="1:127" x14ac:dyDescent="0.25"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AC1" s="1"/>
    </row>
    <row r="3" spans="1:127" x14ac:dyDescent="0.25">
      <c r="A3" s="1" t="s">
        <v>0</v>
      </c>
      <c r="C3" s="2" t="s">
        <v>38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37</v>
      </c>
      <c r="Q3" s="17" t="s">
        <v>31</v>
      </c>
      <c r="R3" s="7" t="s">
        <v>35</v>
      </c>
      <c r="S3" s="7" t="s">
        <v>36</v>
      </c>
      <c r="T3" s="7"/>
      <c r="W3" s="7" t="s">
        <v>125</v>
      </c>
      <c r="X3" s="7" t="s">
        <v>126</v>
      </c>
      <c r="Y3" s="7" t="s">
        <v>127</v>
      </c>
      <c r="Z3" s="7" t="s">
        <v>128</v>
      </c>
      <c r="AA3" s="7" t="s">
        <v>32</v>
      </c>
      <c r="AB3" s="7" t="s">
        <v>33</v>
      </c>
      <c r="AC3" s="7" t="s">
        <v>34</v>
      </c>
      <c r="AD3" s="7" t="s">
        <v>15</v>
      </c>
      <c r="AE3" s="7" t="s">
        <v>16</v>
      </c>
      <c r="AF3" s="7" t="s">
        <v>17</v>
      </c>
      <c r="AG3" s="17" t="s">
        <v>18</v>
      </c>
      <c r="AH3" s="7" t="s">
        <v>19</v>
      </c>
      <c r="AI3" s="7" t="s">
        <v>20</v>
      </c>
      <c r="AJ3" s="7" t="s">
        <v>21</v>
      </c>
      <c r="AK3" s="7" t="s">
        <v>22</v>
      </c>
      <c r="AL3" s="7" t="s">
        <v>23</v>
      </c>
      <c r="AM3" s="7" t="s">
        <v>24</v>
      </c>
      <c r="AN3" s="7" t="s">
        <v>25</v>
      </c>
      <c r="AO3" s="7" t="s">
        <v>26</v>
      </c>
      <c r="AP3" s="7" t="s">
        <v>27</v>
      </c>
      <c r="AQ3" s="7" t="s">
        <v>28</v>
      </c>
    </row>
    <row r="4" spans="1:127" x14ac:dyDescent="0.25">
      <c r="A4" s="2" t="s">
        <v>1</v>
      </c>
      <c r="B4" s="4">
        <v>53.5</v>
      </c>
      <c r="C4" s="1" t="s">
        <v>51</v>
      </c>
      <c r="D4" s="12">
        <v>292.39999999999998</v>
      </c>
      <c r="E4" s="12">
        <v>289.7</v>
      </c>
      <c r="F4" s="12">
        <v>235.9</v>
      </c>
      <c r="G4" s="12">
        <v>333.2</v>
      </c>
      <c r="H4" s="12">
        <v>325.2</v>
      </c>
      <c r="I4" s="12">
        <v>300</v>
      </c>
      <c r="J4" s="12">
        <v>223.7</v>
      </c>
      <c r="K4" s="12">
        <v>293.60000000000002</v>
      </c>
      <c r="L4" s="12">
        <v>281.89999999999998</v>
      </c>
      <c r="M4" s="12">
        <v>266.39999999999998</v>
      </c>
      <c r="N4" s="12">
        <v>245.3</v>
      </c>
      <c r="O4" s="12">
        <v>336.2</v>
      </c>
      <c r="P4" s="12">
        <v>324</v>
      </c>
      <c r="Q4" s="13">
        <v>315.60000000000002</v>
      </c>
      <c r="R4" s="12"/>
      <c r="S4" s="12"/>
      <c r="T4" s="12"/>
      <c r="W4" s="12">
        <v>382.59199999999998</v>
      </c>
      <c r="X4" s="12">
        <v>488.548</v>
      </c>
      <c r="Y4" s="12">
        <v>620.22299999999996</v>
      </c>
      <c r="Z4" s="12">
        <v>727.94399999999996</v>
      </c>
      <c r="AA4" s="12">
        <v>840.476</v>
      </c>
      <c r="AB4" s="12">
        <v>856.55499999999995</v>
      </c>
      <c r="AC4" s="12">
        <v>923.40599999999995</v>
      </c>
      <c r="AD4" s="12">
        <v>1151.2619999999999</v>
      </c>
      <c r="AE4" s="12">
        <v>1142.3</v>
      </c>
      <c r="AF4" s="12">
        <v>1129.8</v>
      </c>
      <c r="AG4" s="13">
        <f>AF4*1.15</f>
        <v>1299.2699999999998</v>
      </c>
      <c r="AH4" s="12">
        <f>AG4*1.1</f>
        <v>1429.1969999999999</v>
      </c>
      <c r="AI4" s="12">
        <f t="shared" ref="AI4:AQ4" si="0">AH4*1.1</f>
        <v>1572.1167</v>
      </c>
      <c r="AJ4" s="12">
        <f t="shared" si="0"/>
        <v>1729.3283700000002</v>
      </c>
      <c r="AK4" s="12">
        <f t="shared" si="0"/>
        <v>1902.2612070000002</v>
      </c>
      <c r="AL4" s="12">
        <f t="shared" si="0"/>
        <v>2092.4873277000006</v>
      </c>
      <c r="AM4" s="12">
        <f t="shared" si="0"/>
        <v>2301.7360604700007</v>
      </c>
      <c r="AN4" s="12">
        <f t="shared" si="0"/>
        <v>2531.9096665170009</v>
      </c>
      <c r="AO4" s="12">
        <f t="shared" si="0"/>
        <v>2785.1006331687013</v>
      </c>
      <c r="AP4" s="12">
        <f t="shared" si="0"/>
        <v>3063.6106964855717</v>
      </c>
      <c r="AQ4" s="12">
        <f t="shared" si="0"/>
        <v>3369.9717661341292</v>
      </c>
    </row>
    <row r="5" spans="1:127" x14ac:dyDescent="0.25">
      <c r="A5" s="2" t="s">
        <v>2</v>
      </c>
      <c r="B5" s="5">
        <v>9.1116480000000006</v>
      </c>
      <c r="C5" s="2" t="s">
        <v>50</v>
      </c>
      <c r="D5" s="14">
        <v>-34.1</v>
      </c>
      <c r="E5" s="14">
        <v>-35</v>
      </c>
      <c r="F5" s="14">
        <v>-31.4</v>
      </c>
      <c r="G5" s="14">
        <v>-38.6</v>
      </c>
      <c r="H5" s="14">
        <v>-36.299999999999997</v>
      </c>
      <c r="I5" s="14">
        <v>-32.9</v>
      </c>
      <c r="J5" s="14">
        <v>-25.7</v>
      </c>
      <c r="K5" s="14">
        <v>-28.6</v>
      </c>
      <c r="L5" s="14">
        <v>-32.1</v>
      </c>
      <c r="M5" s="14">
        <v>-34.700000000000003</v>
      </c>
      <c r="N5" s="14">
        <v>-35.9</v>
      </c>
      <c r="O5" s="14">
        <v>-39.9</v>
      </c>
      <c r="P5" s="14">
        <v>-32.200000000000003</v>
      </c>
      <c r="Q5" s="15">
        <v>-34.5</v>
      </c>
      <c r="R5" s="14"/>
      <c r="S5" s="14"/>
      <c r="T5" s="14"/>
      <c r="W5" s="14">
        <v>-61.2</v>
      </c>
      <c r="X5" s="14">
        <v>-72.963999999999999</v>
      </c>
      <c r="Y5" s="14">
        <v>-93.355000000000004</v>
      </c>
      <c r="Z5" s="14">
        <v>-102.637</v>
      </c>
      <c r="AA5" s="14">
        <v>-102.637</v>
      </c>
      <c r="AB5" s="14">
        <v>-110.807</v>
      </c>
      <c r="AC5" s="14">
        <v>-135.715</v>
      </c>
      <c r="AD5" s="14">
        <v>-139.14400000000001</v>
      </c>
      <c r="AE5" s="14">
        <v>-123.5</v>
      </c>
      <c r="AF5" s="14">
        <v>-142.6</v>
      </c>
      <c r="AG5" s="15">
        <f>AF5*1.13</f>
        <v>-161.13799999999998</v>
      </c>
      <c r="AH5" s="14">
        <f>AG5*1.09</f>
        <v>-175.64041999999998</v>
      </c>
      <c r="AI5" s="14">
        <f t="shared" ref="AI5:AQ5" si="1">AH5*1.09</f>
        <v>-191.44805779999999</v>
      </c>
      <c r="AJ5" s="14">
        <f t="shared" si="1"/>
        <v>-208.678383002</v>
      </c>
      <c r="AK5" s="14">
        <f t="shared" si="1"/>
        <v>-227.45943747218001</v>
      </c>
      <c r="AL5" s="14">
        <f t="shared" si="1"/>
        <v>-247.93078684467622</v>
      </c>
      <c r="AM5" s="14">
        <f t="shared" si="1"/>
        <v>-270.24455766069713</v>
      </c>
      <c r="AN5" s="14">
        <f t="shared" si="1"/>
        <v>-294.56656785015991</v>
      </c>
      <c r="AO5" s="14">
        <f t="shared" si="1"/>
        <v>-321.07755895667435</v>
      </c>
      <c r="AP5" s="14">
        <f t="shared" si="1"/>
        <v>-349.97453926277507</v>
      </c>
      <c r="AQ5" s="14">
        <f t="shared" si="1"/>
        <v>-381.47224779642482</v>
      </c>
    </row>
    <row r="6" spans="1:127" x14ac:dyDescent="0.25">
      <c r="A6" s="2" t="s">
        <v>39</v>
      </c>
      <c r="B6" s="5">
        <f>B4*B5</f>
        <v>487.47316800000004</v>
      </c>
      <c r="C6" s="2" t="s">
        <v>52</v>
      </c>
      <c r="D6" s="14">
        <v>-14.6</v>
      </c>
      <c r="E6" s="14">
        <v>-14.2</v>
      </c>
      <c r="F6" s="14">
        <v>-14.4</v>
      </c>
      <c r="G6" s="14">
        <v>-20.7</v>
      </c>
      <c r="H6" s="14">
        <v>-18.399999999999999</v>
      </c>
      <c r="I6" s="14">
        <v>-20</v>
      </c>
      <c r="J6" s="14">
        <v>-15</v>
      </c>
      <c r="K6" s="14">
        <v>-21.4</v>
      </c>
      <c r="L6" s="14">
        <v>-18.5</v>
      </c>
      <c r="M6" s="14">
        <v>-12.4</v>
      </c>
      <c r="N6" s="14">
        <v>-26</v>
      </c>
      <c r="O6" s="14">
        <v>-29.2</v>
      </c>
      <c r="P6" s="14">
        <v>-24.2</v>
      </c>
      <c r="Q6" s="15">
        <v>-22.6</v>
      </c>
      <c r="R6" s="14"/>
      <c r="S6" s="14"/>
      <c r="T6" s="14"/>
      <c r="W6" s="14">
        <v>-31.6</v>
      </c>
      <c r="X6" s="14">
        <v>-42.488999999999997</v>
      </c>
      <c r="Y6" s="14">
        <v>-60.866999999999997</v>
      </c>
      <c r="Z6" s="14">
        <v>-75.299000000000007</v>
      </c>
      <c r="AA6" s="14">
        <v>-82.275000000000006</v>
      </c>
      <c r="AB6" s="14">
        <v>-50.695</v>
      </c>
      <c r="AC6" s="14">
        <v>-56.94</v>
      </c>
      <c r="AD6" s="14">
        <v>-63.914999999999999</v>
      </c>
      <c r="AE6" s="14">
        <v>-74.8</v>
      </c>
      <c r="AF6" s="14">
        <v>-86.4</v>
      </c>
      <c r="AG6" s="15">
        <f t="shared" ref="AG6:AG9" si="2">AF6*1.13</f>
        <v>-97.631999999999991</v>
      </c>
      <c r="AH6" s="14">
        <f t="shared" ref="AH6:AQ9" si="3">AG6*1.09</f>
        <v>-106.41888</v>
      </c>
      <c r="AI6" s="14">
        <f t="shared" si="3"/>
        <v>-115.99657920000001</v>
      </c>
      <c r="AJ6" s="14">
        <f t="shared" si="3"/>
        <v>-126.43627132800002</v>
      </c>
      <c r="AK6" s="14">
        <f t="shared" si="3"/>
        <v>-137.81553574752002</v>
      </c>
      <c r="AL6" s="14">
        <f t="shared" si="3"/>
        <v>-150.21893396479683</v>
      </c>
      <c r="AM6" s="14">
        <f t="shared" si="3"/>
        <v>-163.73863802162856</v>
      </c>
      <c r="AN6" s="14">
        <f t="shared" si="3"/>
        <v>-178.47511544357513</v>
      </c>
      <c r="AO6" s="14">
        <f t="shared" si="3"/>
        <v>-194.53787583349691</v>
      </c>
      <c r="AP6" s="14">
        <f t="shared" si="3"/>
        <v>-212.04628465851164</v>
      </c>
      <c r="AQ6" s="14">
        <f t="shared" si="3"/>
        <v>-231.1304502777777</v>
      </c>
    </row>
    <row r="7" spans="1:127" x14ac:dyDescent="0.25">
      <c r="A7" s="2" t="s">
        <v>40</v>
      </c>
      <c r="B7" s="5">
        <f>Q39</f>
        <v>79.2</v>
      </c>
      <c r="C7" s="2" t="s">
        <v>53</v>
      </c>
      <c r="D7" s="14">
        <v>-199.6</v>
      </c>
      <c r="E7" s="14">
        <v>-200.4</v>
      </c>
      <c r="F7" s="14">
        <v>-160.69999999999999</v>
      </c>
      <c r="G7" s="14">
        <v>-229.2</v>
      </c>
      <c r="H7" s="14">
        <v>-224.5</v>
      </c>
      <c r="I7" s="14">
        <v>-219.7</v>
      </c>
      <c r="J7" s="14">
        <v>-167.5</v>
      </c>
      <c r="K7" s="14">
        <v>-225</v>
      </c>
      <c r="L7" s="14">
        <v>-217.2</v>
      </c>
      <c r="M7" s="14">
        <v>-204.1</v>
      </c>
      <c r="N7" s="14">
        <v>-172.7</v>
      </c>
      <c r="O7" s="14">
        <v>-249.3</v>
      </c>
      <c r="P7" s="14">
        <v>-243.6</v>
      </c>
      <c r="Q7" s="15">
        <v>-239.2</v>
      </c>
      <c r="R7" s="14"/>
      <c r="S7" s="14"/>
      <c r="T7" s="14"/>
      <c r="W7" s="14">
        <v>-251.22</v>
      </c>
      <c r="X7" s="14">
        <v>-323.726</v>
      </c>
      <c r="Y7" s="14">
        <v>-422.51799999999997</v>
      </c>
      <c r="Z7" s="14">
        <v>-495.512</v>
      </c>
      <c r="AA7" s="14">
        <v>-599.60400000000004</v>
      </c>
      <c r="AB7" s="14">
        <v>-625.12699999999995</v>
      </c>
      <c r="AC7" s="14">
        <v>-639.89099999999996</v>
      </c>
      <c r="AD7" s="14">
        <v>-789.89200000000005</v>
      </c>
      <c r="AE7" s="14">
        <v>-836.7</v>
      </c>
      <c r="AF7" s="14">
        <v>-843.3</v>
      </c>
      <c r="AG7" s="15">
        <f t="shared" si="2"/>
        <v>-952.92899999999986</v>
      </c>
      <c r="AH7" s="14">
        <f>AG7*1.1</f>
        <v>-1048.2219</v>
      </c>
      <c r="AI7" s="14">
        <f t="shared" ref="AI7:AQ7" si="4">AH7*1.1</f>
        <v>-1153.0440900000001</v>
      </c>
      <c r="AJ7" s="14">
        <f t="shared" si="4"/>
        <v>-1268.3484990000002</v>
      </c>
      <c r="AK7" s="14">
        <f t="shared" si="4"/>
        <v>-1395.1833489000003</v>
      </c>
      <c r="AL7" s="14">
        <f t="shared" si="4"/>
        <v>-1534.7016837900005</v>
      </c>
      <c r="AM7" s="14">
        <f t="shared" si="4"/>
        <v>-1688.1718521690007</v>
      </c>
      <c r="AN7" s="14">
        <f t="shared" si="4"/>
        <v>-1856.9890373859009</v>
      </c>
      <c r="AO7" s="14">
        <f t="shared" si="4"/>
        <v>-2042.6879411244911</v>
      </c>
      <c r="AP7" s="14">
        <f t="shared" si="4"/>
        <v>-2246.9567352369404</v>
      </c>
      <c r="AQ7" s="14">
        <f t="shared" si="4"/>
        <v>-2471.6524087606344</v>
      </c>
    </row>
    <row r="8" spans="1:127" x14ac:dyDescent="0.25">
      <c r="A8" s="2" t="s">
        <v>41</v>
      </c>
      <c r="B8" s="5">
        <f>Q48+Q50+Q51+Q54</f>
        <v>503.29999999999995</v>
      </c>
      <c r="C8" s="2" t="s">
        <v>54</v>
      </c>
      <c r="D8" s="14">
        <v>-5</v>
      </c>
      <c r="E8" s="14">
        <v>-5.6</v>
      </c>
      <c r="F8" s="14">
        <v>-5</v>
      </c>
      <c r="G8" s="14">
        <v>-5</v>
      </c>
      <c r="H8" s="14">
        <v>-5.0999999999999996</v>
      </c>
      <c r="I8" s="14">
        <v>-5.2</v>
      </c>
      <c r="J8" s="14">
        <v>-5.5</v>
      </c>
      <c r="K8" s="14">
        <v>-5.4</v>
      </c>
      <c r="L8" s="14">
        <v>-6.2</v>
      </c>
      <c r="M8" s="14">
        <v>-6.4</v>
      </c>
      <c r="N8" s="14">
        <v>-9.6</v>
      </c>
      <c r="O8" s="14">
        <v>-9</v>
      </c>
      <c r="P8" s="14">
        <v>-8.1</v>
      </c>
      <c r="Q8" s="15">
        <v>-9</v>
      </c>
      <c r="R8" s="14"/>
      <c r="S8" s="14"/>
      <c r="T8" s="14"/>
      <c r="W8" s="14">
        <v>-4.5</v>
      </c>
      <c r="X8" s="14">
        <v>-5.3</v>
      </c>
      <c r="Y8" s="14">
        <v>-6.7</v>
      </c>
      <c r="Z8" s="14">
        <v>-6.9</v>
      </c>
      <c r="AA8" s="14">
        <v>-24.776</v>
      </c>
      <c r="AB8" s="14">
        <v>-27.497</v>
      </c>
      <c r="AC8" s="14">
        <v>-20.295999999999999</v>
      </c>
      <c r="AD8" s="14">
        <v>-20.640999999999998</v>
      </c>
      <c r="AE8" s="14">
        <v>-21.2</v>
      </c>
      <c r="AF8" s="14">
        <v>-31.2</v>
      </c>
      <c r="AG8" s="15">
        <f t="shared" si="2"/>
        <v>-35.255999999999993</v>
      </c>
      <c r="AH8" s="14">
        <f t="shared" si="3"/>
        <v>-38.429039999999993</v>
      </c>
      <c r="AI8" s="14">
        <f t="shared" si="3"/>
        <v>-41.887653599999993</v>
      </c>
      <c r="AJ8" s="14">
        <f t="shared" si="3"/>
        <v>-45.657542423999999</v>
      </c>
      <c r="AK8" s="14">
        <f t="shared" si="3"/>
        <v>-49.766721242160003</v>
      </c>
      <c r="AL8" s="14">
        <f t="shared" si="3"/>
        <v>-54.245726153954408</v>
      </c>
      <c r="AM8" s="14">
        <f t="shared" si="3"/>
        <v>-59.127841507810309</v>
      </c>
      <c r="AN8" s="14">
        <f t="shared" si="3"/>
        <v>-64.449347243513245</v>
      </c>
      <c r="AO8" s="14">
        <f t="shared" si="3"/>
        <v>-70.249788495429442</v>
      </c>
      <c r="AP8" s="14">
        <f t="shared" si="3"/>
        <v>-76.572269460018092</v>
      </c>
      <c r="AQ8" s="14">
        <f t="shared" si="3"/>
        <v>-83.463773711419719</v>
      </c>
    </row>
    <row r="9" spans="1:127" x14ac:dyDescent="0.25">
      <c r="A9" s="3" t="s">
        <v>42</v>
      </c>
      <c r="B9" s="6">
        <f>B6-B7+B8</f>
        <v>911.57316800000001</v>
      </c>
      <c r="C9" s="2" t="s">
        <v>55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-0.2</v>
      </c>
      <c r="N9" s="14">
        <v>0</v>
      </c>
      <c r="O9" s="14">
        <v>0</v>
      </c>
      <c r="P9" s="14">
        <v>0</v>
      </c>
      <c r="Q9" s="15">
        <v>0</v>
      </c>
      <c r="R9" s="14"/>
      <c r="S9" s="14"/>
      <c r="T9" s="14"/>
      <c r="W9" s="14">
        <f>0.128</f>
        <v>0.128</v>
      </c>
      <c r="X9" s="14">
        <f>-5.4+0.169</f>
        <v>-5.2310000000000008</v>
      </c>
      <c r="Y9" s="14">
        <v>0.33300000000000002</v>
      </c>
      <c r="Z9" s="14">
        <v>0.33300000000000002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5">
        <f t="shared" si="2"/>
        <v>0</v>
      </c>
      <c r="AH9" s="14">
        <f t="shared" si="3"/>
        <v>0</v>
      </c>
      <c r="AI9" s="14">
        <f t="shared" si="3"/>
        <v>0</v>
      </c>
      <c r="AJ9" s="14">
        <f t="shared" si="3"/>
        <v>0</v>
      </c>
      <c r="AK9" s="14">
        <f t="shared" si="3"/>
        <v>0</v>
      </c>
      <c r="AL9" s="14">
        <f t="shared" si="3"/>
        <v>0</v>
      </c>
      <c r="AM9" s="14">
        <f t="shared" si="3"/>
        <v>0</v>
      </c>
      <c r="AN9" s="14">
        <f t="shared" si="3"/>
        <v>0</v>
      </c>
      <c r="AO9" s="14">
        <f t="shared" si="3"/>
        <v>0</v>
      </c>
      <c r="AP9" s="14">
        <f t="shared" si="3"/>
        <v>0</v>
      </c>
      <c r="AQ9" s="14">
        <f t="shared" si="3"/>
        <v>0</v>
      </c>
    </row>
    <row r="10" spans="1:127" x14ac:dyDescent="0.25">
      <c r="C10" s="2" t="s">
        <v>56</v>
      </c>
      <c r="D10" s="14">
        <f t="shared" ref="D10:P10" si="5">SUM(D5:D9)</f>
        <v>-253.3</v>
      </c>
      <c r="E10" s="14">
        <f t="shared" si="5"/>
        <v>-255.20000000000002</v>
      </c>
      <c r="F10" s="14">
        <f t="shared" si="5"/>
        <v>-211.5</v>
      </c>
      <c r="G10" s="14">
        <f t="shared" si="5"/>
        <v>-293.5</v>
      </c>
      <c r="H10" s="14">
        <f t="shared" si="5"/>
        <v>-284.3</v>
      </c>
      <c r="I10" s="14">
        <f t="shared" si="5"/>
        <v>-277.79999999999995</v>
      </c>
      <c r="J10" s="14">
        <f t="shared" si="5"/>
        <v>-213.7</v>
      </c>
      <c r="K10" s="14">
        <f t="shared" si="5"/>
        <v>-280.39999999999998</v>
      </c>
      <c r="L10" s="14">
        <f t="shared" si="5"/>
        <v>-274</v>
      </c>
      <c r="M10" s="14">
        <f t="shared" si="5"/>
        <v>-257.79999999999995</v>
      </c>
      <c r="N10" s="14">
        <f>SUM(N5:N9)</f>
        <v>-244.2</v>
      </c>
      <c r="O10" s="14">
        <f t="shared" si="5"/>
        <v>-327.39999999999998</v>
      </c>
      <c r="P10" s="14">
        <f t="shared" si="5"/>
        <v>-308.10000000000002</v>
      </c>
      <c r="Q10" s="15">
        <f>SUM(Q5:Q9)</f>
        <v>-305.3</v>
      </c>
      <c r="R10" s="14">
        <f t="shared" ref="R10:S10" si="6">SUM(R5:R9)</f>
        <v>0</v>
      </c>
      <c r="S10" s="14">
        <f t="shared" si="6"/>
        <v>0</v>
      </c>
      <c r="T10" s="14"/>
      <c r="W10" s="14">
        <f t="shared" ref="W10:AF10" si="7">SUM(W5:W9)</f>
        <v>-348.392</v>
      </c>
      <c r="X10" s="14">
        <f t="shared" si="7"/>
        <v>-449.71</v>
      </c>
      <c r="Y10" s="14">
        <f t="shared" si="7"/>
        <v>-583.10700000000008</v>
      </c>
      <c r="Z10" s="14">
        <f t="shared" si="7"/>
        <v>-680.01499999999999</v>
      </c>
      <c r="AA10" s="14">
        <f t="shared" si="7"/>
        <v>-809.29200000000003</v>
      </c>
      <c r="AB10" s="14">
        <f t="shared" si="7"/>
        <v>-814.12599999999986</v>
      </c>
      <c r="AC10" s="14">
        <f t="shared" si="7"/>
        <v>-852.84199999999998</v>
      </c>
      <c r="AD10" s="14">
        <f t="shared" si="7"/>
        <v>-1013.592</v>
      </c>
      <c r="AE10" s="14">
        <f t="shared" si="7"/>
        <v>-1056.2</v>
      </c>
      <c r="AF10" s="14">
        <f t="shared" si="7"/>
        <v>-1103.5</v>
      </c>
      <c r="AG10" s="15">
        <f t="shared" ref="AG10" si="8">SUM(AG5:AG9)</f>
        <v>-1246.9549999999999</v>
      </c>
      <c r="AH10" s="14">
        <f t="shared" ref="AH10" si="9">SUM(AH5:AH9)</f>
        <v>-1368.7102399999999</v>
      </c>
      <c r="AI10" s="14">
        <f t="shared" ref="AI10" si="10">SUM(AI5:AI9)</f>
        <v>-1502.3763806000002</v>
      </c>
      <c r="AJ10" s="14">
        <f t="shared" ref="AJ10" si="11">SUM(AJ5:AJ9)</f>
        <v>-1649.1206957540003</v>
      </c>
      <c r="AK10" s="14">
        <f t="shared" ref="AK10" si="12">SUM(AK5:AK9)</f>
        <v>-1810.2250433618603</v>
      </c>
      <c r="AL10" s="14">
        <f t="shared" ref="AL10" si="13">SUM(AL5:AL9)</f>
        <v>-1987.0971307534278</v>
      </c>
      <c r="AM10" s="14">
        <f t="shared" ref="AM10" si="14">SUM(AM5:AM9)</f>
        <v>-2181.2828893591368</v>
      </c>
      <c r="AN10" s="14">
        <f t="shared" ref="AN10" si="15">SUM(AN5:AN9)</f>
        <v>-2394.4800679231494</v>
      </c>
      <c r="AO10" s="14">
        <f t="shared" ref="AO10" si="16">SUM(AO5:AO9)</f>
        <v>-2628.553164410092</v>
      </c>
      <c r="AP10" s="14">
        <f t="shared" ref="AP10" si="17">SUM(AP5:AP9)</f>
        <v>-2885.5498286182451</v>
      </c>
      <c r="AQ10" s="14">
        <f t="shared" ref="AQ10" si="18">SUM(AQ5:AQ9)</f>
        <v>-3167.718880546257</v>
      </c>
    </row>
    <row r="11" spans="1:127" x14ac:dyDescent="0.25">
      <c r="C11" s="1" t="s">
        <v>57</v>
      </c>
      <c r="D11" s="12">
        <f t="shared" ref="D11:P11" si="19">D4+D10</f>
        <v>39.099999999999966</v>
      </c>
      <c r="E11" s="12">
        <f t="shared" si="19"/>
        <v>34.499999999999972</v>
      </c>
      <c r="F11" s="12">
        <f t="shared" si="19"/>
        <v>24.400000000000006</v>
      </c>
      <c r="G11" s="12">
        <f t="shared" si="19"/>
        <v>39.699999999999989</v>
      </c>
      <c r="H11" s="12">
        <f t="shared" si="19"/>
        <v>40.899999999999977</v>
      </c>
      <c r="I11" s="12">
        <f t="shared" si="19"/>
        <v>22.200000000000045</v>
      </c>
      <c r="J11" s="12">
        <f t="shared" si="19"/>
        <v>10</v>
      </c>
      <c r="K11" s="12">
        <f t="shared" si="19"/>
        <v>13.200000000000045</v>
      </c>
      <c r="L11" s="12">
        <f t="shared" si="19"/>
        <v>7.8999999999999773</v>
      </c>
      <c r="M11" s="12">
        <f t="shared" si="19"/>
        <v>8.6000000000000227</v>
      </c>
      <c r="N11" s="12">
        <f>N4+N10</f>
        <v>1.1000000000000227</v>
      </c>
      <c r="O11" s="12">
        <f t="shared" si="19"/>
        <v>8.8000000000000114</v>
      </c>
      <c r="P11" s="12">
        <f t="shared" si="19"/>
        <v>15.899999999999977</v>
      </c>
      <c r="Q11" s="13">
        <f>Q4+Q10</f>
        <v>10.300000000000011</v>
      </c>
      <c r="R11" s="12">
        <f t="shared" ref="R11:S11" si="20">R4+R10</f>
        <v>0</v>
      </c>
      <c r="S11" s="12">
        <f t="shared" si="20"/>
        <v>0</v>
      </c>
      <c r="T11" s="12"/>
      <c r="W11" s="12">
        <f t="shared" ref="W11:AF11" si="21">W4+W10</f>
        <v>34.199999999999989</v>
      </c>
      <c r="X11" s="12">
        <f t="shared" si="21"/>
        <v>38.838000000000022</v>
      </c>
      <c r="Y11" s="12">
        <f t="shared" si="21"/>
        <v>37.115999999999872</v>
      </c>
      <c r="Z11" s="12">
        <f t="shared" si="21"/>
        <v>47.928999999999974</v>
      </c>
      <c r="AA11" s="12">
        <f t="shared" si="21"/>
        <v>31.183999999999969</v>
      </c>
      <c r="AB11" s="12">
        <f t="shared" si="21"/>
        <v>42.429000000000087</v>
      </c>
      <c r="AC11" s="12">
        <f t="shared" si="21"/>
        <v>70.563999999999965</v>
      </c>
      <c r="AD11" s="12">
        <f t="shared" si="21"/>
        <v>137.66999999999996</v>
      </c>
      <c r="AE11" s="12">
        <f t="shared" si="21"/>
        <v>86.099999999999909</v>
      </c>
      <c r="AF11" s="12">
        <f t="shared" si="21"/>
        <v>26.299999999999955</v>
      </c>
      <c r="AG11" s="13">
        <f t="shared" ref="AG11" si="22">AG4+AG10</f>
        <v>52.314999999999827</v>
      </c>
      <c r="AH11" s="12">
        <f t="shared" ref="AH11" si="23">AH4+AH10</f>
        <v>60.486760000000004</v>
      </c>
      <c r="AI11" s="12">
        <f t="shared" ref="AI11" si="24">AI4+AI10</f>
        <v>69.740319399999862</v>
      </c>
      <c r="AJ11" s="12">
        <f t="shared" ref="AJ11" si="25">AJ4+AJ10</f>
        <v>80.207674245999897</v>
      </c>
      <c r="AK11" s="12">
        <f t="shared" ref="AK11" si="26">AK4+AK10</f>
        <v>92.036163638139897</v>
      </c>
      <c r="AL11" s="12">
        <f t="shared" ref="AL11" si="27">AL4+AL10</f>
        <v>105.39019694657281</v>
      </c>
      <c r="AM11" s="12">
        <f t="shared" ref="AM11" si="28">AM4+AM10</f>
        <v>120.45317111086388</v>
      </c>
      <c r="AN11" s="12">
        <f t="shared" ref="AN11" si="29">AN4+AN10</f>
        <v>137.42959859385155</v>
      </c>
      <c r="AO11" s="12">
        <f t="shared" ref="AO11" si="30">AO4+AO10</f>
        <v>156.54746875860928</v>
      </c>
      <c r="AP11" s="12">
        <f t="shared" ref="AP11" si="31">AP4+AP10</f>
        <v>178.06086786732658</v>
      </c>
      <c r="AQ11" s="12">
        <f t="shared" ref="AQ11" si="32">AQ4+AQ10</f>
        <v>202.25288558787224</v>
      </c>
    </row>
    <row r="12" spans="1:127" x14ac:dyDescent="0.25">
      <c r="C12" s="2" t="s">
        <v>58</v>
      </c>
      <c r="D12" s="12">
        <f>1.6-0.1-0.7</f>
        <v>0.8</v>
      </c>
      <c r="E12" s="12">
        <f>0.1+2-0.7</f>
        <v>1.4000000000000001</v>
      </c>
      <c r="F12" s="14">
        <f>0.2+2.4-0.7</f>
        <v>1.9000000000000001</v>
      </c>
      <c r="G12" s="14">
        <f>0.2+2.7-0.8</f>
        <v>2.1000000000000005</v>
      </c>
      <c r="H12" s="14">
        <f>2.1-0.8</f>
        <v>1.3</v>
      </c>
      <c r="I12" s="14">
        <f>0.1+1.4-1</f>
        <v>0.5</v>
      </c>
      <c r="J12" s="14">
        <f>3.1-1</f>
        <v>2.1</v>
      </c>
      <c r="K12" s="14">
        <f>1.3-1.9-1.1</f>
        <v>-1.7</v>
      </c>
      <c r="L12" s="14">
        <f>2.1-2.2</f>
        <v>-0.10000000000000009</v>
      </c>
      <c r="M12" s="14">
        <f>0.5+1.9-3.6</f>
        <v>-1.2000000000000002</v>
      </c>
      <c r="N12" s="14">
        <f>1+1.4+77.8-5.8</f>
        <v>74.400000000000006</v>
      </c>
      <c r="O12" s="14">
        <f>0.8-1.1-6.1</f>
        <v>-6.3999999999999995</v>
      </c>
      <c r="P12" s="14">
        <f>0.6-0.4-5.3</f>
        <v>-5.0999999999999996</v>
      </c>
      <c r="Q12" s="15">
        <v>-6.7</v>
      </c>
      <c r="R12" s="14"/>
      <c r="S12" s="14"/>
      <c r="T12" s="14"/>
      <c r="W12" s="14">
        <v>-1</v>
      </c>
      <c r="X12" s="14">
        <f>0.116-0.985</f>
        <v>-0.86899999999999999</v>
      </c>
      <c r="Y12" s="14">
        <f>-1.7-1.7</f>
        <v>-3.4</v>
      </c>
      <c r="Z12" s="14">
        <f>-4-2.6</f>
        <v>-6.6</v>
      </c>
      <c r="AA12" s="14">
        <f>-1.2-4.3</f>
        <v>-5.5</v>
      </c>
      <c r="AB12" s="14">
        <f>0.179-1.8-5</f>
        <v>-6.6210000000000004</v>
      </c>
      <c r="AC12" s="14">
        <f>0.113-2.9-3.2</f>
        <v>-5.9870000000000001</v>
      </c>
      <c r="AD12" s="14">
        <f>2.1+7-3</f>
        <v>6.1</v>
      </c>
      <c r="AE12" s="14">
        <f>1.4-3.9+4.7</f>
        <v>2.2000000000000002</v>
      </c>
      <c r="AF12" s="14">
        <f>2.3-17.7+4.3+77.8</f>
        <v>66.7</v>
      </c>
      <c r="AG12" s="15">
        <v>-23.6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</row>
    <row r="13" spans="1:127" x14ac:dyDescent="0.25">
      <c r="C13" s="2" t="s">
        <v>59</v>
      </c>
      <c r="D13" s="14">
        <f t="shared" ref="D13:P13" si="33">SUM(D11:D12)</f>
        <v>39.899999999999963</v>
      </c>
      <c r="E13" s="14">
        <f t="shared" si="33"/>
        <v>35.89999999999997</v>
      </c>
      <c r="F13" s="14">
        <f t="shared" si="33"/>
        <v>26.300000000000004</v>
      </c>
      <c r="G13" s="14">
        <f t="shared" si="33"/>
        <v>41.79999999999999</v>
      </c>
      <c r="H13" s="14">
        <f t="shared" si="33"/>
        <v>42.199999999999974</v>
      </c>
      <c r="I13" s="14">
        <f t="shared" si="33"/>
        <v>22.700000000000045</v>
      </c>
      <c r="J13" s="14">
        <f t="shared" si="33"/>
        <v>12.1</v>
      </c>
      <c r="K13" s="14">
        <f t="shared" si="33"/>
        <v>11.500000000000046</v>
      </c>
      <c r="L13" s="14">
        <f t="shared" si="33"/>
        <v>7.7999999999999776</v>
      </c>
      <c r="M13" s="14">
        <f t="shared" si="33"/>
        <v>7.4000000000000226</v>
      </c>
      <c r="N13" s="14">
        <f t="shared" si="33"/>
        <v>75.500000000000028</v>
      </c>
      <c r="O13" s="14">
        <f t="shared" si="33"/>
        <v>2.4000000000000119</v>
      </c>
      <c r="P13" s="14">
        <f t="shared" si="33"/>
        <v>10.799999999999978</v>
      </c>
      <c r="Q13" s="15">
        <f>SUM(Q11:Q12)</f>
        <v>3.6000000000000112</v>
      </c>
      <c r="R13" s="14">
        <f t="shared" ref="R13:S13" si="34">SUM(R11:R12)</f>
        <v>0</v>
      </c>
      <c r="S13" s="14">
        <f t="shared" si="34"/>
        <v>0</v>
      </c>
      <c r="T13" s="14"/>
      <c r="W13" s="14">
        <f t="shared" ref="W13:AF13" si="35">SUM(W11:W12)</f>
        <v>33.199999999999989</v>
      </c>
      <c r="X13" s="14">
        <f t="shared" si="35"/>
        <v>37.969000000000023</v>
      </c>
      <c r="Y13" s="14">
        <f t="shared" si="35"/>
        <v>33.715999999999873</v>
      </c>
      <c r="Z13" s="14">
        <f t="shared" si="35"/>
        <v>41.328999999999972</v>
      </c>
      <c r="AA13" s="14">
        <f t="shared" si="35"/>
        <v>25.683999999999969</v>
      </c>
      <c r="AB13" s="14">
        <f t="shared" si="35"/>
        <v>35.808000000000085</v>
      </c>
      <c r="AC13" s="14">
        <f t="shared" si="35"/>
        <v>64.57699999999997</v>
      </c>
      <c r="AD13" s="14">
        <f t="shared" si="35"/>
        <v>143.76999999999995</v>
      </c>
      <c r="AE13" s="14">
        <f t="shared" si="35"/>
        <v>88.299999999999912</v>
      </c>
      <c r="AF13" s="14">
        <f t="shared" si="35"/>
        <v>92.999999999999957</v>
      </c>
      <c r="AG13" s="15">
        <f t="shared" ref="AG13" si="36">SUM(AG11:AG12)</f>
        <v>28.714999999999826</v>
      </c>
      <c r="AH13" s="14">
        <f t="shared" ref="AH13" si="37">SUM(AH11:AH12)</f>
        <v>60.486760000000004</v>
      </c>
      <c r="AI13" s="14">
        <f t="shared" ref="AI13" si="38">SUM(AI11:AI12)</f>
        <v>69.740319399999862</v>
      </c>
      <c r="AJ13" s="14">
        <f t="shared" ref="AJ13" si="39">SUM(AJ11:AJ12)</f>
        <v>80.207674245999897</v>
      </c>
      <c r="AK13" s="14">
        <f t="shared" ref="AK13" si="40">SUM(AK11:AK12)</f>
        <v>92.036163638139897</v>
      </c>
      <c r="AL13" s="14">
        <f t="shared" ref="AL13" si="41">SUM(AL11:AL12)</f>
        <v>105.39019694657281</v>
      </c>
      <c r="AM13" s="14">
        <f t="shared" ref="AM13" si="42">SUM(AM11:AM12)</f>
        <v>120.45317111086388</v>
      </c>
      <c r="AN13" s="14">
        <f t="shared" ref="AN13" si="43">SUM(AN11:AN12)</f>
        <v>137.42959859385155</v>
      </c>
      <c r="AO13" s="14">
        <f t="shared" ref="AO13" si="44">SUM(AO11:AO12)</f>
        <v>156.54746875860928</v>
      </c>
      <c r="AP13" s="14">
        <f t="shared" ref="AP13" si="45">SUM(AP11:AP12)</f>
        <v>178.06086786732658</v>
      </c>
      <c r="AQ13" s="14">
        <f t="shared" ref="AQ13" si="46">SUM(AQ11:AQ12)</f>
        <v>202.25288558787224</v>
      </c>
    </row>
    <row r="14" spans="1:127" x14ac:dyDescent="0.25">
      <c r="C14" s="2" t="s">
        <v>60</v>
      </c>
      <c r="D14" s="14">
        <v>-8</v>
      </c>
      <c r="E14" s="14">
        <v>-7.7</v>
      </c>
      <c r="F14" s="14">
        <v>-5.5</v>
      </c>
      <c r="G14" s="14">
        <v>-8</v>
      </c>
      <c r="H14" s="14">
        <v>-8.6</v>
      </c>
      <c r="I14" s="14">
        <v>-5.8</v>
      </c>
      <c r="J14" s="14">
        <v>-2.4</v>
      </c>
      <c r="K14" s="14">
        <v>-3.1</v>
      </c>
      <c r="L14" s="14">
        <v>-1.6</v>
      </c>
      <c r="M14" s="14">
        <v>-1.9</v>
      </c>
      <c r="N14" s="14">
        <v>-0.9</v>
      </c>
      <c r="O14" s="14">
        <v>-3.4</v>
      </c>
      <c r="P14" s="14">
        <v>-3.3</v>
      </c>
      <c r="Q14" s="15">
        <v>-1</v>
      </c>
      <c r="R14" s="14"/>
      <c r="S14" s="14"/>
      <c r="T14" s="14"/>
      <c r="W14" s="14">
        <v>-8.5</v>
      </c>
      <c r="X14" s="14">
        <v>-10.5</v>
      </c>
      <c r="Y14" s="14">
        <v>-7.2</v>
      </c>
      <c r="Z14" s="14">
        <v>-12.1</v>
      </c>
      <c r="AA14" s="14">
        <v>-8.1999999999999993</v>
      </c>
      <c r="AB14" s="14">
        <v>-8</v>
      </c>
      <c r="AC14" s="14">
        <v>-14.711</v>
      </c>
      <c r="AD14" s="14">
        <v>-29.195</v>
      </c>
      <c r="AE14" s="14">
        <v>-19.899999999999999</v>
      </c>
      <c r="AF14" s="14">
        <v>-7.3</v>
      </c>
      <c r="AG14" s="15">
        <f>AG13*-0.21</f>
        <v>-6.0301499999999635</v>
      </c>
      <c r="AH14" s="14">
        <f t="shared" ref="AH14:AQ14" si="47">AH13*-0.21</f>
        <v>-12.702219600000001</v>
      </c>
      <c r="AI14" s="14">
        <f t="shared" si="47"/>
        <v>-14.645467073999971</v>
      </c>
      <c r="AJ14" s="14">
        <f t="shared" si="47"/>
        <v>-16.843611591659979</v>
      </c>
      <c r="AK14" s="14">
        <f t="shared" si="47"/>
        <v>-19.327594364009379</v>
      </c>
      <c r="AL14" s="14">
        <f t="shared" si="47"/>
        <v>-22.131941358780288</v>
      </c>
      <c r="AM14" s="14">
        <f t="shared" si="47"/>
        <v>-25.295165933281414</v>
      </c>
      <c r="AN14" s="14">
        <f t="shared" si="47"/>
        <v>-28.860215704708825</v>
      </c>
      <c r="AO14" s="14">
        <f t="shared" si="47"/>
        <v>-32.874968439307949</v>
      </c>
      <c r="AP14" s="14">
        <f t="shared" si="47"/>
        <v>-37.392782252138581</v>
      </c>
      <c r="AQ14" s="14">
        <f t="shared" si="47"/>
        <v>-42.473105973453173</v>
      </c>
    </row>
    <row r="15" spans="1:127" x14ac:dyDescent="0.25">
      <c r="C15" s="1" t="s">
        <v>61</v>
      </c>
      <c r="D15" s="12">
        <f t="shared" ref="D15:P15" si="48">SUM(D13:D14)</f>
        <v>31.899999999999963</v>
      </c>
      <c r="E15" s="12">
        <f t="shared" si="48"/>
        <v>28.199999999999971</v>
      </c>
      <c r="F15" s="12">
        <f t="shared" si="48"/>
        <v>20.800000000000004</v>
      </c>
      <c r="G15" s="12">
        <f t="shared" si="48"/>
        <v>33.79999999999999</v>
      </c>
      <c r="H15" s="12">
        <f t="shared" si="48"/>
        <v>33.599999999999973</v>
      </c>
      <c r="I15" s="12">
        <f t="shared" si="48"/>
        <v>16.900000000000045</v>
      </c>
      <c r="J15" s="12">
        <f t="shared" si="48"/>
        <v>9.6999999999999993</v>
      </c>
      <c r="K15" s="12">
        <f t="shared" si="48"/>
        <v>8.4000000000000465</v>
      </c>
      <c r="L15" s="12">
        <f t="shared" si="48"/>
        <v>6.199999999999978</v>
      </c>
      <c r="M15" s="12">
        <f t="shared" si="48"/>
        <v>5.5000000000000231</v>
      </c>
      <c r="N15" s="12">
        <f t="shared" si="48"/>
        <v>74.600000000000023</v>
      </c>
      <c r="O15" s="12">
        <f t="shared" si="48"/>
        <v>-0.99999999999998801</v>
      </c>
      <c r="P15" s="12">
        <f t="shared" si="48"/>
        <v>7.4999999999999778</v>
      </c>
      <c r="Q15" s="13">
        <f>SUM(Q13:Q14)</f>
        <v>2.6000000000000112</v>
      </c>
      <c r="R15" s="12">
        <f t="shared" ref="R15:S15" si="49">SUM(R13:R14)</f>
        <v>0</v>
      </c>
      <c r="S15" s="12">
        <f t="shared" si="49"/>
        <v>0</v>
      </c>
      <c r="T15" s="12"/>
      <c r="W15" s="12">
        <f t="shared" ref="W15:AF15" si="50">SUM(W13:W14)</f>
        <v>24.699999999999989</v>
      </c>
      <c r="X15" s="12">
        <f t="shared" si="50"/>
        <v>27.469000000000023</v>
      </c>
      <c r="Y15" s="12">
        <f t="shared" si="50"/>
        <v>26.515999999999874</v>
      </c>
      <c r="Z15" s="12">
        <f t="shared" si="50"/>
        <v>29.228999999999971</v>
      </c>
      <c r="AA15" s="12">
        <f t="shared" si="50"/>
        <v>17.48399999999997</v>
      </c>
      <c r="AB15" s="12">
        <f t="shared" si="50"/>
        <v>27.808000000000085</v>
      </c>
      <c r="AC15" s="12">
        <f t="shared" si="50"/>
        <v>49.865999999999971</v>
      </c>
      <c r="AD15" s="12">
        <f t="shared" si="50"/>
        <v>114.57499999999996</v>
      </c>
      <c r="AE15" s="12">
        <f t="shared" si="50"/>
        <v>68.39999999999992</v>
      </c>
      <c r="AF15" s="12">
        <f t="shared" si="50"/>
        <v>85.69999999999996</v>
      </c>
      <c r="AG15" s="13">
        <f t="shared" ref="AG15" si="51">SUM(AG13:AG14)</f>
        <v>22.684849999999862</v>
      </c>
      <c r="AH15" s="12">
        <f t="shared" ref="AH15" si="52">SUM(AH13:AH14)</f>
        <v>47.784540400000004</v>
      </c>
      <c r="AI15" s="12">
        <f t="shared" ref="AI15" si="53">SUM(AI13:AI14)</f>
        <v>55.094852325999895</v>
      </c>
      <c r="AJ15" s="12">
        <f t="shared" ref="AJ15" si="54">SUM(AJ13:AJ14)</f>
        <v>63.364062654339918</v>
      </c>
      <c r="AK15" s="12">
        <f t="shared" ref="AK15" si="55">SUM(AK13:AK14)</f>
        <v>72.708569274130525</v>
      </c>
      <c r="AL15" s="12">
        <f t="shared" ref="AL15" si="56">SUM(AL13:AL14)</f>
        <v>83.258255587792519</v>
      </c>
      <c r="AM15" s="12">
        <f t="shared" ref="AM15" si="57">SUM(AM13:AM14)</f>
        <v>95.158005177582467</v>
      </c>
      <c r="AN15" s="12">
        <f t="shared" ref="AN15" si="58">SUM(AN13:AN14)</f>
        <v>108.56938288914273</v>
      </c>
      <c r="AO15" s="12">
        <f t="shared" ref="AO15" si="59">SUM(AO13:AO14)</f>
        <v>123.67250031930134</v>
      </c>
      <c r="AP15" s="12">
        <f t="shared" ref="AP15" si="60">SUM(AP13:AP14)</f>
        <v>140.66808561518801</v>
      </c>
      <c r="AQ15" s="12">
        <f t="shared" ref="AQ15" si="61">SUM(AQ13:AQ14)</f>
        <v>159.77977961441906</v>
      </c>
      <c r="AR15" s="12">
        <f>AQ15*(1+AT19)</f>
        <v>158.18198181827486</v>
      </c>
      <c r="AS15" s="12">
        <f t="shared" ref="AS15:DD15" si="62">AR15*(1+AU19)</f>
        <v>158.18198181827486</v>
      </c>
      <c r="AT15" s="12">
        <f t="shared" si="62"/>
        <v>158.18198181827486</v>
      </c>
      <c r="AU15" s="12">
        <f t="shared" si="62"/>
        <v>158.18198181827486</v>
      </c>
      <c r="AV15" s="12">
        <f t="shared" si="62"/>
        <v>158.18198181827486</v>
      </c>
      <c r="AW15" s="12">
        <f t="shared" si="62"/>
        <v>158.18198181827486</v>
      </c>
      <c r="AX15" s="12">
        <f t="shared" si="62"/>
        <v>158.18198181827486</v>
      </c>
      <c r="AY15" s="12">
        <f t="shared" si="62"/>
        <v>158.18198181827486</v>
      </c>
      <c r="AZ15" s="12">
        <f t="shared" si="62"/>
        <v>158.18198181827486</v>
      </c>
      <c r="BA15" s="12">
        <f t="shared" si="62"/>
        <v>158.18198181827486</v>
      </c>
      <c r="BB15" s="12">
        <f t="shared" si="62"/>
        <v>158.18198181827486</v>
      </c>
      <c r="BC15" s="12">
        <f t="shared" si="62"/>
        <v>158.18198181827486</v>
      </c>
      <c r="BD15" s="12">
        <f t="shared" si="62"/>
        <v>158.18198181827486</v>
      </c>
      <c r="BE15" s="12">
        <f t="shared" si="62"/>
        <v>158.18198181827486</v>
      </c>
      <c r="BF15" s="12">
        <f t="shared" si="62"/>
        <v>158.18198181827486</v>
      </c>
      <c r="BG15" s="12">
        <f t="shared" si="62"/>
        <v>158.18198181827486</v>
      </c>
      <c r="BH15" s="12">
        <f t="shared" si="62"/>
        <v>158.18198181827486</v>
      </c>
      <c r="BI15" s="12">
        <f t="shared" si="62"/>
        <v>158.18198181827486</v>
      </c>
      <c r="BJ15" s="12">
        <f t="shared" si="62"/>
        <v>158.18198181827486</v>
      </c>
      <c r="BK15" s="12">
        <f t="shared" si="62"/>
        <v>158.18198181827486</v>
      </c>
      <c r="BL15" s="12">
        <f t="shared" si="62"/>
        <v>158.18198181827486</v>
      </c>
      <c r="BM15" s="12">
        <f t="shared" si="62"/>
        <v>158.18198181827486</v>
      </c>
      <c r="BN15" s="12">
        <f t="shared" si="62"/>
        <v>158.18198181827486</v>
      </c>
      <c r="BO15" s="12">
        <f t="shared" si="62"/>
        <v>158.18198181827486</v>
      </c>
      <c r="BP15" s="12">
        <f t="shared" si="62"/>
        <v>158.18198181827486</v>
      </c>
      <c r="BQ15" s="12">
        <f t="shared" si="62"/>
        <v>158.18198181827486</v>
      </c>
      <c r="BR15" s="12">
        <f t="shared" si="62"/>
        <v>158.18198181827486</v>
      </c>
      <c r="BS15" s="12">
        <f t="shared" si="62"/>
        <v>158.18198181827486</v>
      </c>
      <c r="BT15" s="12">
        <f t="shared" si="62"/>
        <v>158.18198181827486</v>
      </c>
      <c r="BU15" s="12">
        <f t="shared" si="62"/>
        <v>158.18198181827486</v>
      </c>
      <c r="BV15" s="12">
        <f t="shared" si="62"/>
        <v>158.18198181827486</v>
      </c>
      <c r="BW15" s="12">
        <f t="shared" si="62"/>
        <v>158.18198181827486</v>
      </c>
      <c r="BX15" s="12">
        <f t="shared" si="62"/>
        <v>158.18198181827486</v>
      </c>
      <c r="BY15" s="12">
        <f t="shared" si="62"/>
        <v>158.18198181827486</v>
      </c>
      <c r="BZ15" s="12">
        <f t="shared" si="62"/>
        <v>158.18198181827486</v>
      </c>
      <c r="CA15" s="12">
        <f t="shared" si="62"/>
        <v>158.18198181827486</v>
      </c>
      <c r="CB15" s="12">
        <f t="shared" si="62"/>
        <v>158.18198181827486</v>
      </c>
      <c r="CC15" s="12">
        <f t="shared" si="62"/>
        <v>158.18198181827486</v>
      </c>
      <c r="CD15" s="12">
        <f t="shared" si="62"/>
        <v>158.18198181827486</v>
      </c>
      <c r="CE15" s="12">
        <f t="shared" si="62"/>
        <v>158.18198181827486</v>
      </c>
      <c r="CF15" s="12">
        <f t="shared" si="62"/>
        <v>158.18198181827486</v>
      </c>
      <c r="CG15" s="12">
        <f t="shared" si="62"/>
        <v>158.18198181827486</v>
      </c>
      <c r="CH15" s="12">
        <f t="shared" si="62"/>
        <v>158.18198181827486</v>
      </c>
      <c r="CI15" s="12">
        <f t="shared" si="62"/>
        <v>158.18198181827486</v>
      </c>
      <c r="CJ15" s="12">
        <f t="shared" si="62"/>
        <v>158.18198181827486</v>
      </c>
      <c r="CK15" s="12">
        <f t="shared" si="62"/>
        <v>158.18198181827486</v>
      </c>
      <c r="CL15" s="12">
        <f t="shared" si="62"/>
        <v>158.18198181827486</v>
      </c>
      <c r="CM15" s="12">
        <f t="shared" si="62"/>
        <v>158.18198181827486</v>
      </c>
      <c r="CN15" s="12">
        <f t="shared" si="62"/>
        <v>158.18198181827486</v>
      </c>
      <c r="CO15" s="12">
        <f t="shared" si="62"/>
        <v>158.18198181827486</v>
      </c>
      <c r="CP15" s="12">
        <f t="shared" si="62"/>
        <v>158.18198181827486</v>
      </c>
      <c r="CQ15" s="12">
        <f t="shared" si="62"/>
        <v>158.18198181827486</v>
      </c>
      <c r="CR15" s="12">
        <f t="shared" si="62"/>
        <v>158.18198181827486</v>
      </c>
      <c r="CS15" s="12">
        <f t="shared" si="62"/>
        <v>158.18198181827486</v>
      </c>
      <c r="CT15" s="12">
        <f t="shared" si="62"/>
        <v>158.18198181827486</v>
      </c>
      <c r="CU15" s="12">
        <f t="shared" si="62"/>
        <v>158.18198181827486</v>
      </c>
      <c r="CV15" s="12">
        <f t="shared" si="62"/>
        <v>158.18198181827486</v>
      </c>
      <c r="CW15" s="12">
        <f t="shared" si="62"/>
        <v>158.18198181827486</v>
      </c>
      <c r="CX15" s="12">
        <f t="shared" si="62"/>
        <v>158.18198181827486</v>
      </c>
      <c r="CY15" s="12">
        <f t="shared" si="62"/>
        <v>158.18198181827486</v>
      </c>
      <c r="CZ15" s="12">
        <f t="shared" si="62"/>
        <v>158.18198181827486</v>
      </c>
      <c r="DA15" s="12">
        <f t="shared" si="62"/>
        <v>158.18198181827486</v>
      </c>
      <c r="DB15" s="12">
        <f t="shared" si="62"/>
        <v>158.18198181827486</v>
      </c>
      <c r="DC15" s="12">
        <f t="shared" si="62"/>
        <v>158.18198181827486</v>
      </c>
      <c r="DD15" s="12">
        <f t="shared" si="62"/>
        <v>158.18198181827486</v>
      </c>
      <c r="DE15" s="12">
        <f t="shared" ref="DE15:DW15" si="63">DD15*(1+DG19)</f>
        <v>158.18198181827486</v>
      </c>
      <c r="DF15" s="12">
        <f t="shared" si="63"/>
        <v>158.18198181827486</v>
      </c>
      <c r="DG15" s="12">
        <f t="shared" si="63"/>
        <v>158.18198181827486</v>
      </c>
      <c r="DH15" s="12">
        <f t="shared" si="63"/>
        <v>158.18198181827486</v>
      </c>
      <c r="DI15" s="12">
        <f t="shared" si="63"/>
        <v>158.18198181827486</v>
      </c>
      <c r="DJ15" s="12">
        <f t="shared" si="63"/>
        <v>158.18198181827486</v>
      </c>
      <c r="DK15" s="12">
        <f t="shared" si="63"/>
        <v>158.18198181827486</v>
      </c>
      <c r="DL15" s="12">
        <f t="shared" si="63"/>
        <v>158.18198181827486</v>
      </c>
      <c r="DM15" s="12">
        <f t="shared" si="63"/>
        <v>158.18198181827486</v>
      </c>
      <c r="DN15" s="12">
        <f t="shared" si="63"/>
        <v>158.18198181827486</v>
      </c>
      <c r="DO15" s="12">
        <f t="shared" si="63"/>
        <v>158.18198181827486</v>
      </c>
      <c r="DP15" s="12">
        <f t="shared" si="63"/>
        <v>158.18198181827486</v>
      </c>
      <c r="DQ15" s="12">
        <f t="shared" si="63"/>
        <v>158.18198181827486</v>
      </c>
      <c r="DR15" s="12">
        <f t="shared" si="63"/>
        <v>158.18198181827486</v>
      </c>
      <c r="DS15" s="12">
        <f t="shared" si="63"/>
        <v>158.18198181827486</v>
      </c>
      <c r="DT15" s="12">
        <f t="shared" si="63"/>
        <v>158.18198181827486</v>
      </c>
      <c r="DU15" s="12">
        <f t="shared" si="63"/>
        <v>158.18198181827486</v>
      </c>
      <c r="DV15" s="12">
        <f t="shared" si="63"/>
        <v>158.18198181827486</v>
      </c>
      <c r="DW15" s="12">
        <f t="shared" si="63"/>
        <v>158.18198181827486</v>
      </c>
    </row>
    <row r="16" spans="1:127" x14ac:dyDescent="0.25">
      <c r="C16" s="2" t="s">
        <v>49</v>
      </c>
      <c r="D16" s="9">
        <v>9.5</v>
      </c>
      <c r="E16" s="9">
        <v>9.5</v>
      </c>
      <c r="F16" s="9">
        <v>9.5</v>
      </c>
      <c r="G16" s="9">
        <v>9.5</v>
      </c>
      <c r="H16" s="9">
        <v>9.5</v>
      </c>
      <c r="I16" s="9">
        <v>8.3189689999999992</v>
      </c>
      <c r="J16" s="9">
        <v>8.3189689999999992</v>
      </c>
      <c r="K16" s="9">
        <v>8.3189689999999992</v>
      </c>
      <c r="L16" s="9">
        <v>8.3189689999999992</v>
      </c>
      <c r="M16" s="9">
        <v>8.4824219999999997</v>
      </c>
      <c r="N16" s="9">
        <v>8.4824219999999997</v>
      </c>
      <c r="O16" s="9">
        <v>8.4824219999999997</v>
      </c>
      <c r="P16" s="9">
        <v>9.1117647999999996</v>
      </c>
      <c r="Q16" s="8">
        <v>9.1117647999999996</v>
      </c>
      <c r="W16" s="9">
        <v>5.25</v>
      </c>
      <c r="X16" s="9">
        <v>6.4953960000000004</v>
      </c>
      <c r="Y16" s="9">
        <v>7.3533759999999999</v>
      </c>
      <c r="Z16" s="9">
        <v>7.4128759999999998</v>
      </c>
      <c r="AA16" s="9">
        <v>7.4843409999999997</v>
      </c>
      <c r="AB16" s="9">
        <v>7.9431620000000001</v>
      </c>
      <c r="AC16" s="9">
        <v>8.5141860000000005</v>
      </c>
      <c r="AD16" s="9">
        <v>8.7339190000000002</v>
      </c>
      <c r="AE16" s="2">
        <v>8.5</v>
      </c>
      <c r="AF16" s="9">
        <v>8.7046100000000006</v>
      </c>
      <c r="AG16" s="8">
        <v>9.1117647999999996</v>
      </c>
      <c r="AH16" s="9">
        <v>9.1117647999999996</v>
      </c>
      <c r="AI16" s="9">
        <v>9.1117647999999996</v>
      </c>
      <c r="AJ16" s="9">
        <v>9.1117647999999996</v>
      </c>
      <c r="AK16" s="9">
        <v>9.1117647999999996</v>
      </c>
      <c r="AL16" s="9">
        <v>9.1117647999999996</v>
      </c>
      <c r="AM16" s="9">
        <v>9.1117647999999996</v>
      </c>
      <c r="AN16" s="9">
        <v>9.1117647999999996</v>
      </c>
      <c r="AO16" s="9">
        <v>9.1117647999999996</v>
      </c>
      <c r="AP16" s="9">
        <v>9.1117647999999996</v>
      </c>
      <c r="AQ16" s="9">
        <v>9.1117647999999996</v>
      </c>
    </row>
    <row r="17" spans="3:46" x14ac:dyDescent="0.25">
      <c r="C17" s="2" t="s">
        <v>48</v>
      </c>
      <c r="D17" s="19">
        <f t="shared" ref="D17:P17" si="64">D15/D16</f>
        <v>3.3578947368421015</v>
      </c>
      <c r="E17" s="19">
        <f t="shared" si="64"/>
        <v>2.9684210526315757</v>
      </c>
      <c r="F17" s="19">
        <f t="shared" si="64"/>
        <v>2.1894736842105269</v>
      </c>
      <c r="G17" s="19">
        <f t="shared" si="64"/>
        <v>3.5578947368421043</v>
      </c>
      <c r="H17" s="19">
        <f t="shared" si="64"/>
        <v>3.5368421052631551</v>
      </c>
      <c r="I17" s="19">
        <f t="shared" si="64"/>
        <v>2.0315017401795878</v>
      </c>
      <c r="J17" s="19">
        <f t="shared" si="64"/>
        <v>1.1660098745409437</v>
      </c>
      <c r="K17" s="19">
        <f t="shared" si="64"/>
        <v>1.0097405099117507</v>
      </c>
      <c r="L17" s="19">
        <f t="shared" si="64"/>
        <v>0.74528466207771404</v>
      </c>
      <c r="M17" s="19">
        <f t="shared" si="64"/>
        <v>0.64839971413825237</v>
      </c>
      <c r="N17" s="19">
        <f t="shared" si="64"/>
        <v>8.7946579408569896</v>
      </c>
      <c r="O17" s="19">
        <f t="shared" si="64"/>
        <v>-0.11789085711604398</v>
      </c>
      <c r="P17" s="19">
        <f t="shared" si="64"/>
        <v>0.8231116764559131</v>
      </c>
      <c r="Q17" s="22">
        <f>Q15/Q16</f>
        <v>0.2853453811713853</v>
      </c>
      <c r="R17" s="19" t="e">
        <f t="shared" ref="R17:S17" si="65">R15/R16</f>
        <v>#DIV/0!</v>
      </c>
      <c r="S17" s="19" t="e">
        <f t="shared" si="65"/>
        <v>#DIV/0!</v>
      </c>
      <c r="T17" s="19"/>
      <c r="W17" s="19">
        <f t="shared" ref="W17:AD17" si="66">W15/W16</f>
        <v>4.7047619047619023</v>
      </c>
      <c r="X17" s="19">
        <f t="shared" si="66"/>
        <v>4.2289954299938017</v>
      </c>
      <c r="Y17" s="19">
        <f t="shared" si="66"/>
        <v>3.6059627577863385</v>
      </c>
      <c r="Z17" s="19">
        <f t="shared" si="66"/>
        <v>3.943004037839021</v>
      </c>
      <c r="AA17" s="19">
        <f t="shared" si="66"/>
        <v>2.3360774181721506</v>
      </c>
      <c r="AB17" s="19">
        <f t="shared" si="66"/>
        <v>3.5008728262120408</v>
      </c>
      <c r="AC17" s="19">
        <f t="shared" si="66"/>
        <v>5.8568135579842826</v>
      </c>
      <c r="AD17" s="19">
        <f t="shared" si="66"/>
        <v>13.118395075566873</v>
      </c>
      <c r="AE17" s="19">
        <f>AE15/AE16</f>
        <v>8.0470588235294027</v>
      </c>
      <c r="AF17" s="19">
        <f>AF15/AF16</f>
        <v>9.8453578046575263</v>
      </c>
      <c r="AG17" s="22">
        <f t="shared" ref="AG17:AQ17" si="67">AG15/AG16</f>
        <v>2.4896219884867818</v>
      </c>
      <c r="AH17" s="19">
        <f t="shared" si="67"/>
        <v>5.2442684209759243</v>
      </c>
      <c r="AI17" s="19">
        <f t="shared" si="67"/>
        <v>6.0465621682859831</v>
      </c>
      <c r="AJ17" s="19">
        <f t="shared" si="67"/>
        <v>6.9540933117961874</v>
      </c>
      <c r="AK17" s="19">
        <f t="shared" si="67"/>
        <v>7.9796363130587533</v>
      </c>
      <c r="AL17" s="19">
        <f t="shared" si="67"/>
        <v>9.1374456447550667</v>
      </c>
      <c r="AM17" s="19">
        <f t="shared" si="67"/>
        <v>10.44342202265608</v>
      </c>
      <c r="AN17" s="19">
        <f t="shared" si="67"/>
        <v>11.915296901555529</v>
      </c>
      <c r="AO17" s="19">
        <f t="shared" si="67"/>
        <v>13.572837209241984</v>
      </c>
      <c r="AP17" s="19">
        <f t="shared" si="67"/>
        <v>15.438072503274888</v>
      </c>
      <c r="AQ17" s="19">
        <f t="shared" si="67"/>
        <v>17.535546968290827</v>
      </c>
    </row>
    <row r="18" spans="3:46" x14ac:dyDescent="0.25"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AA18" s="19"/>
      <c r="AB18" s="19"/>
      <c r="AC18" s="19"/>
      <c r="AD18" s="19"/>
      <c r="AE18" s="19"/>
      <c r="AF18" s="19"/>
      <c r="AG18" s="8"/>
      <c r="AH18" s="9"/>
      <c r="AI18" s="9"/>
      <c r="AJ18" s="9"/>
      <c r="AK18" s="9"/>
      <c r="AL18" s="9"/>
      <c r="AM18" s="9"/>
      <c r="AN18" s="9"/>
      <c r="AO18" s="9"/>
      <c r="AP18" s="9"/>
      <c r="AQ18" s="9"/>
      <c r="AS18" s="2" t="s">
        <v>131</v>
      </c>
      <c r="AT18" s="29">
        <v>0.08</v>
      </c>
    </row>
    <row r="19" spans="3:46" x14ac:dyDescent="0.25">
      <c r="C19" s="1" t="s">
        <v>43</v>
      </c>
      <c r="H19" s="18">
        <f t="shared" ref="H19:P19" si="68">(H4-D4)/D4</f>
        <v>0.11217510259917926</v>
      </c>
      <c r="I19" s="18">
        <f t="shared" si="68"/>
        <v>3.5554021401449816E-2</v>
      </c>
      <c r="J19" s="18">
        <f t="shared" si="68"/>
        <v>-5.1716829164900453E-2</v>
      </c>
      <c r="K19" s="18">
        <f t="shared" si="68"/>
        <v>-0.11884753901560614</v>
      </c>
      <c r="L19" s="18">
        <f t="shared" si="68"/>
        <v>-0.13314883148831491</v>
      </c>
      <c r="M19" s="18">
        <f t="shared" si="68"/>
        <v>-0.11200000000000007</v>
      </c>
      <c r="N19" s="18">
        <f t="shared" si="68"/>
        <v>9.6557890031292018E-2</v>
      </c>
      <c r="O19" s="18">
        <f t="shared" si="68"/>
        <v>0.14509536784741131</v>
      </c>
      <c r="P19" s="18">
        <f t="shared" si="68"/>
        <v>0.14934373891450878</v>
      </c>
      <c r="Q19" s="23">
        <f>(Q4-M4)/M4</f>
        <v>0.18468468468468488</v>
      </c>
      <c r="R19" s="18">
        <f t="shared" ref="R19:S19" si="69">(R4-N4)/N4</f>
        <v>-1</v>
      </c>
      <c r="S19" s="18">
        <f t="shared" si="69"/>
        <v>-1</v>
      </c>
      <c r="T19" s="18"/>
      <c r="X19" s="18">
        <f t="shared" ref="X19:AE19" si="70">(X4-W4)/W4</f>
        <v>0.27694253931080637</v>
      </c>
      <c r="Y19" s="18">
        <f t="shared" si="70"/>
        <v>0.26952315842046215</v>
      </c>
      <c r="Z19" s="18">
        <f t="shared" si="70"/>
        <v>0.17368107922473047</v>
      </c>
      <c r="AA19" s="18">
        <f t="shared" si="70"/>
        <v>0.15458881452419423</v>
      </c>
      <c r="AB19" s="18">
        <f t="shared" si="70"/>
        <v>1.9130825865342913E-2</v>
      </c>
      <c r="AC19" s="18">
        <f t="shared" si="70"/>
        <v>7.8046360128654901E-2</v>
      </c>
      <c r="AD19" s="18">
        <f t="shared" si="70"/>
        <v>0.24675603147477926</v>
      </c>
      <c r="AE19" s="18">
        <f t="shared" si="70"/>
        <v>-7.7845008347361324E-3</v>
      </c>
      <c r="AF19" s="18">
        <f>(AF4-AE4)/AE4</f>
        <v>-1.0942834631883043E-2</v>
      </c>
      <c r="AG19" s="23">
        <f t="shared" ref="AG19:AQ19" si="71">(AG4-AF4)/AF4</f>
        <v>0.14999999999999983</v>
      </c>
      <c r="AH19" s="18">
        <f t="shared" si="71"/>
        <v>0.10000000000000012</v>
      </c>
      <c r="AI19" s="18">
        <f t="shared" si="71"/>
        <v>0.10000000000000012</v>
      </c>
      <c r="AJ19" s="18">
        <f t="shared" si="71"/>
        <v>0.10000000000000009</v>
      </c>
      <c r="AK19" s="18">
        <f t="shared" si="71"/>
        <v>0.10000000000000002</v>
      </c>
      <c r="AL19" s="18">
        <f t="shared" si="71"/>
        <v>0.10000000000000019</v>
      </c>
      <c r="AM19" s="18">
        <f t="shared" si="71"/>
        <v>0.1</v>
      </c>
      <c r="AN19" s="18">
        <f t="shared" si="71"/>
        <v>0.10000000000000007</v>
      </c>
      <c r="AO19" s="18">
        <f t="shared" si="71"/>
        <v>0.1000000000000001</v>
      </c>
      <c r="AP19" s="18">
        <f t="shared" si="71"/>
        <v>0.1000000000000001</v>
      </c>
      <c r="AQ19" s="18">
        <f t="shared" si="71"/>
        <v>0.10000000000000012</v>
      </c>
      <c r="AS19" s="2" t="s">
        <v>132</v>
      </c>
      <c r="AT19" s="29">
        <v>-0.01</v>
      </c>
    </row>
    <row r="20" spans="3:46" x14ac:dyDescent="0.25">
      <c r="C20" s="1" t="s">
        <v>62</v>
      </c>
      <c r="H20" s="18">
        <f t="shared" ref="H20:P20" si="72">(H10-D10)/D10</f>
        <v>0.12238452427951045</v>
      </c>
      <c r="I20" s="18">
        <f t="shared" si="72"/>
        <v>8.8557993730407278E-2</v>
      </c>
      <c r="J20" s="18">
        <f t="shared" si="72"/>
        <v>1.0401891252955028E-2</v>
      </c>
      <c r="K20" s="18">
        <f t="shared" si="72"/>
        <v>-4.4633730834753062E-2</v>
      </c>
      <c r="L20" s="18">
        <f t="shared" si="72"/>
        <v>-3.6229335209286007E-2</v>
      </c>
      <c r="M20" s="18">
        <f t="shared" si="72"/>
        <v>-7.1994240460763151E-2</v>
      </c>
      <c r="N20" s="18">
        <f t="shared" si="72"/>
        <v>0.14272344408048668</v>
      </c>
      <c r="O20" s="18">
        <f t="shared" si="72"/>
        <v>0.16761768901569188</v>
      </c>
      <c r="P20" s="18">
        <f t="shared" si="72"/>
        <v>0.12445255474452563</v>
      </c>
      <c r="Q20" s="23">
        <f>(Q10-M10)/M10</f>
        <v>0.18425135764158287</v>
      </c>
      <c r="R20" s="18">
        <f t="shared" ref="R20:S20" si="73">(R10-N10)/N10</f>
        <v>-1</v>
      </c>
      <c r="S20" s="18">
        <f t="shared" si="73"/>
        <v>-1</v>
      </c>
      <c r="T20" s="18"/>
      <c r="W20" s="18"/>
      <c r="X20" s="18">
        <f t="shared" ref="X20:AE20" si="74">(X10-W10)/W10</f>
        <v>0.29081609221796134</v>
      </c>
      <c r="Y20" s="18">
        <f t="shared" si="74"/>
        <v>0.29662893864935203</v>
      </c>
      <c r="Z20" s="18">
        <f t="shared" si="74"/>
        <v>0.16619248268328093</v>
      </c>
      <c r="AA20" s="18">
        <f t="shared" si="74"/>
        <v>0.19010904171231524</v>
      </c>
      <c r="AB20" s="18">
        <f t="shared" si="74"/>
        <v>5.9731221858115892E-3</v>
      </c>
      <c r="AC20" s="18">
        <f t="shared" si="74"/>
        <v>4.7555292424022975E-2</v>
      </c>
      <c r="AD20" s="18">
        <f t="shared" si="74"/>
        <v>0.18848743378023128</v>
      </c>
      <c r="AE20" s="18">
        <f t="shared" si="74"/>
        <v>4.2036638016085426E-2</v>
      </c>
      <c r="AF20" s="18">
        <f>(AF10-AE10)/AE10</f>
        <v>4.4783185002840328E-2</v>
      </c>
      <c r="AG20" s="23">
        <f t="shared" ref="AG20:AQ20" si="75">(AG10-AF10)/AF10</f>
        <v>0.12999999999999992</v>
      </c>
      <c r="AH20" s="18">
        <f t="shared" si="75"/>
        <v>9.7642048028998618E-2</v>
      </c>
      <c r="AI20" s="18">
        <f t="shared" si="75"/>
        <v>9.76584646579398E-2</v>
      </c>
      <c r="AJ20" s="18">
        <f t="shared" si="75"/>
        <v>9.7674801766648653E-2</v>
      </c>
      <c r="AK20" s="18">
        <f t="shared" si="75"/>
        <v>9.7691059255187493E-2</v>
      </c>
      <c r="AL20" s="18">
        <f t="shared" si="75"/>
        <v>9.7707237031197713E-2</v>
      </c>
      <c r="AM20" s="18">
        <f t="shared" si="75"/>
        <v>9.7723335009839971E-2</v>
      </c>
      <c r="AN20" s="18">
        <f t="shared" si="75"/>
        <v>9.773935311373122E-2</v>
      </c>
      <c r="AO20" s="18">
        <f t="shared" si="75"/>
        <v>9.7755291272884043E-2</v>
      </c>
      <c r="AP20" s="18">
        <f t="shared" si="75"/>
        <v>9.7771149424641407E-2</v>
      </c>
      <c r="AQ20" s="18">
        <f t="shared" si="75"/>
        <v>9.7786927513613384E-2</v>
      </c>
      <c r="AS20" s="28" t="s">
        <v>133</v>
      </c>
      <c r="AT20" s="30">
        <f>NPV(AT18,AH15:DW15)</f>
        <v>1500.8311965595758</v>
      </c>
    </row>
    <row r="21" spans="3:46" x14ac:dyDescent="0.25">
      <c r="C21" s="2" t="s">
        <v>44</v>
      </c>
      <c r="D21" s="20">
        <f t="shared" ref="D21:P21" si="76">D11/D4</f>
        <v>0.13372093023255804</v>
      </c>
      <c r="E21" s="20">
        <f t="shared" si="76"/>
        <v>0.11908871246116663</v>
      </c>
      <c r="F21" s="20">
        <f t="shared" si="76"/>
        <v>0.10343365832980078</v>
      </c>
      <c r="G21" s="20">
        <f t="shared" si="76"/>
        <v>0.11914765906362541</v>
      </c>
      <c r="H21" s="20">
        <f t="shared" si="76"/>
        <v>0.12576875768757681</v>
      </c>
      <c r="I21" s="20">
        <f t="shared" si="76"/>
        <v>7.4000000000000149E-2</v>
      </c>
      <c r="J21" s="20">
        <f t="shared" si="76"/>
        <v>4.4702726866338846E-2</v>
      </c>
      <c r="K21" s="20">
        <f t="shared" si="76"/>
        <v>4.4959128065395246E-2</v>
      </c>
      <c r="L21" s="20">
        <f t="shared" si="76"/>
        <v>2.8024122029088251E-2</v>
      </c>
      <c r="M21" s="20">
        <f t="shared" si="76"/>
        <v>3.2282282282282374E-2</v>
      </c>
      <c r="N21" s="20">
        <f t="shared" si="76"/>
        <v>4.4843049327355188E-3</v>
      </c>
      <c r="O21" s="20">
        <f t="shared" si="76"/>
        <v>2.6174895895300452E-2</v>
      </c>
      <c r="P21" s="20">
        <f t="shared" si="76"/>
        <v>4.9074074074074006E-2</v>
      </c>
      <c r="Q21" s="21">
        <f>Q11/Q4</f>
        <v>3.2636248415716128E-2</v>
      </c>
      <c r="R21" s="20" t="e">
        <f t="shared" ref="R21:S21" si="77">R11/R4</f>
        <v>#DIV/0!</v>
      </c>
      <c r="S21" s="20" t="e">
        <f t="shared" si="77"/>
        <v>#DIV/0!</v>
      </c>
      <c r="T21" s="20"/>
      <c r="W21" s="20">
        <f t="shared" ref="W21:AE21" si="78">W11/W4</f>
        <v>8.9390264302442263E-2</v>
      </c>
      <c r="X21" s="20">
        <f t="shared" si="78"/>
        <v>7.9496794583132108E-2</v>
      </c>
      <c r="Y21" s="20">
        <f t="shared" si="78"/>
        <v>5.9842991956118807E-2</v>
      </c>
      <c r="Z21" s="20">
        <f t="shared" si="78"/>
        <v>6.5841603200246138E-2</v>
      </c>
      <c r="AA21" s="20">
        <f t="shared" si="78"/>
        <v>3.7102784612529055E-2</v>
      </c>
      <c r="AB21" s="20">
        <f t="shared" si="78"/>
        <v>4.9534472392315836E-2</v>
      </c>
      <c r="AC21" s="20">
        <f t="shared" si="78"/>
        <v>7.641709064051995E-2</v>
      </c>
      <c r="AD21" s="20">
        <f t="shared" si="78"/>
        <v>0.11958181543384561</v>
      </c>
      <c r="AE21" s="20">
        <f t="shared" si="78"/>
        <v>7.5374244944410321E-2</v>
      </c>
      <c r="AF21" s="20">
        <f>AF11/AF4</f>
        <v>2.3278456363958182E-2</v>
      </c>
      <c r="AG21" s="21">
        <f t="shared" ref="AG21:AQ21" si="79">AG11/AG4</f>
        <v>4.0264917992410998E-2</v>
      </c>
      <c r="AH21" s="20">
        <f t="shared" si="79"/>
        <v>4.2322199109010174E-2</v>
      </c>
      <c r="AI21" s="20">
        <f t="shared" si="79"/>
        <v>4.4360777670003668E-2</v>
      </c>
      <c r="AJ21" s="20">
        <f t="shared" si="79"/>
        <v>4.6380823698624625E-2</v>
      </c>
      <c r="AK21" s="20">
        <f t="shared" si="79"/>
        <v>4.8382505672439909E-2</v>
      </c>
      <c r="AL21" s="20">
        <f t="shared" si="79"/>
        <v>5.0365990537402469E-2</v>
      </c>
      <c r="AM21" s="20">
        <f t="shared" si="79"/>
        <v>5.2331443721774104E-2</v>
      </c>
      <c r="AN21" s="20">
        <f t="shared" si="79"/>
        <v>5.4279029149924357E-2</v>
      </c>
      <c r="AO21" s="20">
        <f t="shared" si="79"/>
        <v>5.6208909256000576E-2</v>
      </c>
      <c r="AP21" s="20">
        <f t="shared" si="79"/>
        <v>5.8121244997476187E-2</v>
      </c>
      <c r="AQ21" s="20">
        <f t="shared" si="79"/>
        <v>6.0016195868574623E-2</v>
      </c>
      <c r="AS21" s="2" t="s">
        <v>2</v>
      </c>
      <c r="AT21" s="9">
        <v>9.1116480000000006</v>
      </c>
    </row>
    <row r="22" spans="3:46" x14ac:dyDescent="0.25">
      <c r="C22" s="2" t="s">
        <v>124</v>
      </c>
      <c r="D22" s="2">
        <v>742</v>
      </c>
      <c r="E22" s="2">
        <v>733</v>
      </c>
      <c r="F22" s="2">
        <v>791</v>
      </c>
      <c r="G22" s="2">
        <v>807</v>
      </c>
      <c r="H22" s="2">
        <v>802</v>
      </c>
      <c r="I22" s="2">
        <v>804</v>
      </c>
      <c r="J22" s="2">
        <v>793</v>
      </c>
      <c r="K22" s="2">
        <v>809</v>
      </c>
      <c r="L22" s="2">
        <v>781</v>
      </c>
      <c r="M22" s="2">
        <v>737</v>
      </c>
      <c r="N22" s="2">
        <v>1009</v>
      </c>
      <c r="O22" s="2">
        <v>996</v>
      </c>
      <c r="P22" s="2">
        <v>988</v>
      </c>
      <c r="Q22" s="4">
        <v>950</v>
      </c>
      <c r="AA22" s="10"/>
      <c r="AB22" s="10"/>
      <c r="AC22" s="10"/>
      <c r="AD22" s="10"/>
      <c r="AE22" s="10"/>
      <c r="AF22" s="10"/>
      <c r="AS22" s="2" t="s">
        <v>134</v>
      </c>
      <c r="AT22" s="9">
        <f>AT20/AT21</f>
        <v>164.71566906004003</v>
      </c>
    </row>
    <row r="23" spans="3:46" x14ac:dyDescent="0.25">
      <c r="C23" s="2" t="s">
        <v>140</v>
      </c>
      <c r="H23" s="20">
        <f t="shared" ref="H23:P23" si="80">(H22-D22)/D22</f>
        <v>8.0862533692722366E-2</v>
      </c>
      <c r="I23" s="20">
        <f t="shared" si="80"/>
        <v>9.6862210095497947E-2</v>
      </c>
      <c r="J23" s="20">
        <f t="shared" si="80"/>
        <v>2.5284450063211127E-3</v>
      </c>
      <c r="K23" s="20">
        <f t="shared" si="80"/>
        <v>2.4783147459727386E-3</v>
      </c>
      <c r="L23" s="20">
        <f t="shared" si="80"/>
        <v>-2.6184538653366583E-2</v>
      </c>
      <c r="M23" s="20">
        <f t="shared" si="80"/>
        <v>-8.3333333333333329E-2</v>
      </c>
      <c r="N23" s="20">
        <f t="shared" si="80"/>
        <v>0.27238335435056749</v>
      </c>
      <c r="O23" s="20">
        <f t="shared" si="80"/>
        <v>0.23114956736711989</v>
      </c>
      <c r="P23" s="20">
        <f t="shared" si="80"/>
        <v>0.26504481434058896</v>
      </c>
      <c r="Q23" s="21">
        <f>(Q22-M22)/M22</f>
        <v>0.28900949796472186</v>
      </c>
      <c r="R23" s="20">
        <f t="shared" ref="R23:S23" si="81">(R22-N22)/N22</f>
        <v>-1</v>
      </c>
      <c r="S23" s="20">
        <f t="shared" si="81"/>
        <v>-1</v>
      </c>
      <c r="T23" s="20"/>
      <c r="AA23" s="10"/>
      <c r="AB23" s="10"/>
      <c r="AC23" s="10"/>
      <c r="AD23" s="10"/>
      <c r="AE23" s="10"/>
      <c r="AF23" s="10"/>
      <c r="AS23" s="1" t="s">
        <v>135</v>
      </c>
      <c r="AT23" s="18">
        <f>(AT22-B4)/B4</f>
        <v>2.0787975525241125</v>
      </c>
    </row>
    <row r="25" spans="3:46" x14ac:dyDescent="0.25">
      <c r="C25" s="2" t="s">
        <v>47</v>
      </c>
      <c r="O25" s="20"/>
      <c r="P25" s="20"/>
      <c r="Q25" s="21"/>
      <c r="R25" s="20"/>
      <c r="S25" s="20"/>
      <c r="T25" s="20"/>
      <c r="U25" s="18"/>
      <c r="V25" s="20"/>
      <c r="W25" s="20">
        <v>0.63500000000000001</v>
      </c>
      <c r="X25" s="20">
        <v>0.434</v>
      </c>
      <c r="Y25" s="20">
        <v>0.26500000000000001</v>
      </c>
      <c r="Z25" s="20">
        <v>0.24299999999999999</v>
      </c>
      <c r="AA25" s="20">
        <v>0.13500000000000001</v>
      </c>
      <c r="AB25" s="20">
        <v>0.182</v>
      </c>
      <c r="AC25" s="20">
        <v>0.27600000000000002</v>
      </c>
      <c r="AD25" s="20">
        <v>0.54300000000000004</v>
      </c>
      <c r="AE25" s="20">
        <v>0.33500000000000002</v>
      </c>
      <c r="AF25" s="20">
        <v>0.38500000000000001</v>
      </c>
      <c r="AG25" s="21"/>
      <c r="AH25" s="20"/>
      <c r="AI25" s="20"/>
      <c r="AJ25" s="20"/>
      <c r="AK25" s="20"/>
      <c r="AL25" s="20"/>
      <c r="AM25" s="20"/>
      <c r="AN25" s="20"/>
      <c r="AO25" s="20"/>
      <c r="AP25" s="20"/>
      <c r="AQ25" s="20"/>
    </row>
    <row r="26" spans="3:46" x14ac:dyDescent="0.25"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"/>
      <c r="P26" s="1"/>
      <c r="Q26" s="24"/>
      <c r="R26" s="1"/>
      <c r="S26" s="1"/>
      <c r="T26" s="1"/>
    </row>
    <row r="27" spans="3:46" x14ac:dyDescent="0.25">
      <c r="C27" s="1" t="s">
        <v>45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3:46" x14ac:dyDescent="0.25">
      <c r="C28" s="2" t="s">
        <v>63</v>
      </c>
      <c r="D28" s="14">
        <v>216.6</v>
      </c>
      <c r="E28" s="14">
        <v>216.2</v>
      </c>
      <c r="F28" s="14">
        <v>215.9</v>
      </c>
      <c r="G28" s="14">
        <v>215.5</v>
      </c>
      <c r="H28" s="14">
        <v>215.1</v>
      </c>
      <c r="I28" s="14">
        <v>214.7</v>
      </c>
      <c r="J28" s="14">
        <v>214.3</v>
      </c>
      <c r="K28" s="14">
        <v>214</v>
      </c>
      <c r="L28" s="14">
        <v>213.5</v>
      </c>
      <c r="M28" s="14">
        <v>213.4</v>
      </c>
      <c r="N28" s="14">
        <v>414.5</v>
      </c>
      <c r="O28" s="14">
        <v>416.6</v>
      </c>
      <c r="P28" s="14">
        <v>439.5</v>
      </c>
      <c r="Q28" s="15">
        <v>439.9</v>
      </c>
      <c r="R28" s="14"/>
      <c r="S28" s="14"/>
      <c r="T28" s="14"/>
    </row>
    <row r="29" spans="3:46" x14ac:dyDescent="0.25">
      <c r="C29" s="2" t="s">
        <v>64</v>
      </c>
      <c r="D29" s="14">
        <v>53.9</v>
      </c>
      <c r="E29" s="14">
        <v>54.8</v>
      </c>
      <c r="F29" s="14">
        <v>58.3</v>
      </c>
      <c r="G29" s="14">
        <v>62.3</v>
      </c>
      <c r="H29" s="14">
        <v>52.7</v>
      </c>
      <c r="I29" s="14">
        <v>58.2</v>
      </c>
      <c r="J29" s="14">
        <v>57.9</v>
      </c>
      <c r="K29" s="14">
        <v>105.7</v>
      </c>
      <c r="L29" s="14">
        <v>97.5</v>
      </c>
      <c r="M29" s="14">
        <v>96.3</v>
      </c>
      <c r="N29" s="14">
        <v>105</v>
      </c>
      <c r="O29" s="14">
        <v>102.1</v>
      </c>
      <c r="P29" s="14">
        <v>97.3</v>
      </c>
      <c r="Q29" s="15">
        <v>88.9</v>
      </c>
      <c r="R29" s="14"/>
      <c r="S29" s="14"/>
      <c r="T29" s="14"/>
    </row>
    <row r="30" spans="3:46" x14ac:dyDescent="0.25">
      <c r="C30" s="2" t="s">
        <v>65</v>
      </c>
      <c r="D30" s="14">
        <v>2.5</v>
      </c>
      <c r="E30" s="14">
        <v>3</v>
      </c>
      <c r="F30" s="14">
        <v>2.8</v>
      </c>
      <c r="G30" s="14">
        <v>2.5</v>
      </c>
      <c r="H30" s="14">
        <v>2.2999999999999998</v>
      </c>
      <c r="I30" s="14">
        <v>2</v>
      </c>
      <c r="J30" s="14">
        <v>2.4</v>
      </c>
      <c r="K30" s="14">
        <v>6.1</v>
      </c>
      <c r="L30" s="14">
        <v>8.9</v>
      </c>
      <c r="M30" s="14">
        <v>9.4</v>
      </c>
      <c r="N30" s="14">
        <v>9.9</v>
      </c>
      <c r="O30" s="14">
        <v>9</v>
      </c>
      <c r="P30" s="14">
        <v>8.6</v>
      </c>
      <c r="Q30" s="15">
        <v>8.1999999999999993</v>
      </c>
      <c r="R30" s="14"/>
      <c r="S30" s="14"/>
      <c r="T30" s="14"/>
    </row>
    <row r="31" spans="3:46" x14ac:dyDescent="0.25">
      <c r="C31" s="2" t="s">
        <v>66</v>
      </c>
      <c r="D31" s="14">
        <v>7.3</v>
      </c>
      <c r="E31" s="14">
        <v>9.3000000000000007</v>
      </c>
      <c r="F31" s="14">
        <v>3.9</v>
      </c>
      <c r="G31" s="14">
        <v>2.8</v>
      </c>
      <c r="H31" s="14">
        <v>19</v>
      </c>
      <c r="I31" s="14">
        <v>17.5</v>
      </c>
      <c r="J31" s="14">
        <v>20.6</v>
      </c>
      <c r="K31" s="14">
        <v>18</v>
      </c>
      <c r="L31" s="14">
        <v>20.100000000000001</v>
      </c>
      <c r="M31" s="14">
        <v>18.600000000000001</v>
      </c>
      <c r="N31" s="14">
        <v>3.9</v>
      </c>
      <c r="O31" s="14">
        <v>4.4000000000000004</v>
      </c>
      <c r="P31" s="14">
        <v>5.0999999999999996</v>
      </c>
      <c r="Q31" s="15">
        <v>5.4</v>
      </c>
      <c r="R31" s="14"/>
      <c r="S31" s="14"/>
      <c r="T31" s="14"/>
    </row>
    <row r="32" spans="3:46" x14ac:dyDescent="0.25">
      <c r="C32" s="2" t="s">
        <v>67</v>
      </c>
      <c r="D32" s="14">
        <v>2.7</v>
      </c>
      <c r="E32" s="14">
        <v>2.9</v>
      </c>
      <c r="F32" s="14">
        <v>3.5</v>
      </c>
      <c r="G32" s="14">
        <v>3.6</v>
      </c>
      <c r="H32" s="14">
        <v>2.8</v>
      </c>
      <c r="I32" s="14">
        <v>2.8</v>
      </c>
      <c r="J32" s="14">
        <v>2.9</v>
      </c>
      <c r="K32" s="14">
        <v>4.5</v>
      </c>
      <c r="L32" s="14">
        <v>4.5</v>
      </c>
      <c r="M32" s="14">
        <v>4.5999999999999996</v>
      </c>
      <c r="N32" s="14">
        <v>5</v>
      </c>
      <c r="O32" s="14">
        <v>6.2</v>
      </c>
      <c r="P32" s="14">
        <v>5.9</v>
      </c>
      <c r="Q32" s="15">
        <v>6.1</v>
      </c>
      <c r="R32" s="14"/>
      <c r="S32" s="14"/>
      <c r="T32" s="14"/>
    </row>
    <row r="33" spans="3:20" x14ac:dyDescent="0.25">
      <c r="C33" s="2" t="s">
        <v>68</v>
      </c>
      <c r="D33" s="14">
        <v>3.6</v>
      </c>
      <c r="E33" s="14">
        <v>3.6</v>
      </c>
      <c r="F33" s="14">
        <v>10.199999999999999</v>
      </c>
      <c r="G33" s="14">
        <v>16.5</v>
      </c>
      <c r="H33" s="14">
        <v>2.9</v>
      </c>
      <c r="I33" s="14">
        <v>2.9</v>
      </c>
      <c r="J33" s="14">
        <v>2.9</v>
      </c>
      <c r="K33" s="14">
        <v>2.9</v>
      </c>
      <c r="L33" s="14">
        <v>2.9</v>
      </c>
      <c r="M33" s="14">
        <v>0.8</v>
      </c>
      <c r="N33" s="14">
        <v>1.4</v>
      </c>
      <c r="O33" s="14">
        <v>1.5</v>
      </c>
      <c r="P33" s="14">
        <v>1.5</v>
      </c>
      <c r="Q33" s="15">
        <v>1.1000000000000001</v>
      </c>
      <c r="R33" s="14"/>
      <c r="S33" s="14"/>
      <c r="T33" s="14"/>
    </row>
    <row r="34" spans="3:20" x14ac:dyDescent="0.25">
      <c r="C34" s="2" t="s">
        <v>69</v>
      </c>
      <c r="D34" s="14">
        <v>174.2</v>
      </c>
      <c r="E34" s="14">
        <v>167.1</v>
      </c>
      <c r="F34" s="14">
        <v>156.80000000000001</v>
      </c>
      <c r="G34" s="14">
        <v>199.8</v>
      </c>
      <c r="H34" s="14">
        <v>173.8</v>
      </c>
      <c r="I34" s="14">
        <v>173.5</v>
      </c>
      <c r="J34" s="14">
        <v>164</v>
      </c>
      <c r="K34" s="14">
        <v>183.4</v>
      </c>
      <c r="L34" s="14">
        <v>175.6</v>
      </c>
      <c r="M34" s="14">
        <v>163.80000000000001</v>
      </c>
      <c r="N34" s="14">
        <v>170.8</v>
      </c>
      <c r="O34" s="14">
        <v>208.9</v>
      </c>
      <c r="P34" s="14">
        <v>175.4</v>
      </c>
      <c r="Q34" s="15">
        <v>196.5</v>
      </c>
      <c r="R34" s="14"/>
      <c r="S34" s="14"/>
      <c r="T34" s="14"/>
    </row>
    <row r="35" spans="3:20" x14ac:dyDescent="0.25">
      <c r="C35" s="2" t="s">
        <v>70</v>
      </c>
      <c r="D35" s="14">
        <v>2.4</v>
      </c>
      <c r="E35" s="14">
        <v>2.5</v>
      </c>
      <c r="F35" s="14">
        <v>1.9</v>
      </c>
      <c r="G35" s="14">
        <v>1.4</v>
      </c>
      <c r="H35" s="14">
        <v>4.9000000000000004</v>
      </c>
      <c r="I35" s="14">
        <v>5.9</v>
      </c>
      <c r="J35" s="14">
        <v>6.1</v>
      </c>
      <c r="K35" s="14">
        <v>2.2000000000000002</v>
      </c>
      <c r="L35" s="14">
        <v>2.2000000000000002</v>
      </c>
      <c r="M35" s="14">
        <v>2.2999999999999998</v>
      </c>
      <c r="N35" s="14">
        <v>3.3</v>
      </c>
      <c r="O35" s="14">
        <v>5.4</v>
      </c>
      <c r="P35" s="14">
        <v>7.8</v>
      </c>
      <c r="Q35" s="15">
        <v>12.1</v>
      </c>
      <c r="R35" s="14"/>
      <c r="S35" s="14"/>
      <c r="T35" s="14"/>
    </row>
    <row r="36" spans="3:20" x14ac:dyDescent="0.25">
      <c r="C36" s="2" t="s">
        <v>71</v>
      </c>
      <c r="D36" s="14">
        <v>12.7</v>
      </c>
      <c r="E36" s="14">
        <v>12.7</v>
      </c>
      <c r="F36" s="14">
        <v>15.3</v>
      </c>
      <c r="G36" s="14">
        <v>6.8</v>
      </c>
      <c r="H36" s="14">
        <v>3</v>
      </c>
      <c r="I36" s="14">
        <v>8.9</v>
      </c>
      <c r="J36" s="14">
        <v>19.3</v>
      </c>
      <c r="K36" s="14">
        <v>10.9</v>
      </c>
      <c r="L36" s="14">
        <v>20</v>
      </c>
      <c r="M36" s="14">
        <v>28</v>
      </c>
      <c r="N36" s="14">
        <v>41</v>
      </c>
      <c r="O36" s="14">
        <v>20.5</v>
      </c>
      <c r="P36" s="14">
        <v>21.2</v>
      </c>
      <c r="Q36" s="15">
        <v>27.9</v>
      </c>
      <c r="R36" s="14"/>
      <c r="S36" s="14"/>
      <c r="T36" s="14"/>
    </row>
    <row r="37" spans="3:20" x14ac:dyDescent="0.25">
      <c r="C37" s="2" t="s">
        <v>72</v>
      </c>
      <c r="D37" s="14">
        <v>2.1</v>
      </c>
      <c r="E37" s="14">
        <v>3</v>
      </c>
      <c r="F37" s="14">
        <v>1.1000000000000001</v>
      </c>
      <c r="G37" s="14">
        <v>0.3</v>
      </c>
      <c r="H37" s="14">
        <v>0.5</v>
      </c>
      <c r="I37" s="14">
        <v>0.4</v>
      </c>
      <c r="J37" s="14">
        <v>0.4</v>
      </c>
      <c r="K37" s="14">
        <v>0.4</v>
      </c>
      <c r="L37" s="14">
        <v>4.0999999999999996</v>
      </c>
      <c r="M37" s="14">
        <v>2.2999999999999998</v>
      </c>
      <c r="N37" s="14">
        <v>2.2000000000000002</v>
      </c>
      <c r="O37" s="14">
        <v>2.1</v>
      </c>
      <c r="P37" s="14">
        <v>1.9</v>
      </c>
      <c r="Q37" s="15">
        <v>4.0999999999999996</v>
      </c>
      <c r="R37" s="14"/>
      <c r="S37" s="14"/>
      <c r="T37" s="14"/>
    </row>
    <row r="38" spans="3:20" x14ac:dyDescent="0.25">
      <c r="C38" s="2" t="s">
        <v>73</v>
      </c>
      <c r="D38" s="14">
        <v>38</v>
      </c>
      <c r="E38" s="14">
        <v>37.200000000000003</v>
      </c>
      <c r="F38" s="14">
        <v>47.5</v>
      </c>
      <c r="G38" s="14">
        <v>28.1</v>
      </c>
      <c r="H38" s="14">
        <v>52.4</v>
      </c>
      <c r="I38" s="14">
        <v>45.4</v>
      </c>
      <c r="J38" s="14">
        <v>51.6</v>
      </c>
      <c r="K38" s="14">
        <v>35.6</v>
      </c>
      <c r="L38" s="14">
        <v>44.4</v>
      </c>
      <c r="M38" s="14">
        <v>50</v>
      </c>
      <c r="N38" s="12">
        <v>68.400000000000006</v>
      </c>
      <c r="O38" s="14">
        <v>30.9</v>
      </c>
      <c r="P38" s="14">
        <v>74.099999999999994</v>
      </c>
      <c r="Q38" s="15">
        <v>39.1</v>
      </c>
      <c r="R38" s="14"/>
      <c r="S38" s="14"/>
      <c r="T38" s="14"/>
    </row>
    <row r="39" spans="3:20" x14ac:dyDescent="0.25">
      <c r="C39" s="2" t="s">
        <v>74</v>
      </c>
      <c r="D39" s="14">
        <v>86.8</v>
      </c>
      <c r="E39" s="14">
        <v>93.9</v>
      </c>
      <c r="F39" s="14">
        <v>73.7</v>
      </c>
      <c r="G39" s="14">
        <v>83.4</v>
      </c>
      <c r="H39" s="14">
        <v>105.5</v>
      </c>
      <c r="I39" s="14">
        <v>34.6</v>
      </c>
      <c r="J39" s="14">
        <v>0</v>
      </c>
      <c r="K39" s="14">
        <v>48.9</v>
      </c>
      <c r="L39" s="14">
        <v>5.0999999999999996</v>
      </c>
      <c r="M39" s="14">
        <v>154.19999999999999</v>
      </c>
      <c r="N39" s="14">
        <v>87.3</v>
      </c>
      <c r="O39" s="14">
        <v>77.7</v>
      </c>
      <c r="P39" s="14">
        <v>104.2</v>
      </c>
      <c r="Q39" s="15">
        <v>79.2</v>
      </c>
      <c r="R39" s="14"/>
      <c r="S39" s="14"/>
      <c r="T39" s="14"/>
    </row>
    <row r="40" spans="3:20" x14ac:dyDescent="0.25">
      <c r="C40" s="1" t="s">
        <v>75</v>
      </c>
      <c r="D40" s="12">
        <f t="shared" ref="D40:P40" si="82">SUM(D28:D39)</f>
        <v>602.79999999999995</v>
      </c>
      <c r="E40" s="12">
        <f t="shared" si="82"/>
        <v>606.19999999999993</v>
      </c>
      <c r="F40" s="12">
        <f t="shared" si="82"/>
        <v>590.90000000000009</v>
      </c>
      <c r="G40" s="12">
        <f t="shared" si="82"/>
        <v>623</v>
      </c>
      <c r="H40" s="12">
        <f t="shared" si="82"/>
        <v>634.9</v>
      </c>
      <c r="I40" s="12">
        <f t="shared" si="82"/>
        <v>566.79999999999995</v>
      </c>
      <c r="J40" s="12">
        <f t="shared" si="82"/>
        <v>542.4</v>
      </c>
      <c r="K40" s="12">
        <f t="shared" si="82"/>
        <v>632.6</v>
      </c>
      <c r="L40" s="12">
        <f t="shared" si="82"/>
        <v>598.80000000000007</v>
      </c>
      <c r="M40" s="12">
        <f t="shared" si="82"/>
        <v>743.7</v>
      </c>
      <c r="N40" s="12">
        <f t="shared" si="82"/>
        <v>912.69999999999993</v>
      </c>
      <c r="O40" s="12">
        <f t="shared" si="82"/>
        <v>885.30000000000007</v>
      </c>
      <c r="P40" s="12">
        <f t="shared" si="82"/>
        <v>942.5</v>
      </c>
      <c r="Q40" s="13">
        <f>SUM(Q28:Q39)</f>
        <v>908.50000000000011</v>
      </c>
      <c r="R40" s="12">
        <f t="shared" ref="R40:S40" si="83">SUM(R28:R39)</f>
        <v>0</v>
      </c>
      <c r="S40" s="12">
        <f t="shared" si="83"/>
        <v>0</v>
      </c>
      <c r="T40" s="12"/>
    </row>
    <row r="41" spans="3:20" x14ac:dyDescent="0.25">
      <c r="C41" s="2" t="s">
        <v>76</v>
      </c>
      <c r="D41" s="14">
        <v>0.9</v>
      </c>
      <c r="E41" s="14">
        <v>0.9</v>
      </c>
      <c r="F41" s="14">
        <v>0.9</v>
      </c>
      <c r="G41" s="14">
        <v>0.9</v>
      </c>
      <c r="H41" s="14">
        <v>0.9</v>
      </c>
      <c r="I41" s="14">
        <v>0.9</v>
      </c>
      <c r="J41" s="14">
        <v>0.9</v>
      </c>
      <c r="K41" s="14">
        <v>0.9</v>
      </c>
      <c r="L41" s="14">
        <v>0.9</v>
      </c>
      <c r="M41" s="14">
        <v>0.9</v>
      </c>
      <c r="N41" s="14">
        <v>1</v>
      </c>
      <c r="O41" s="14">
        <v>0.9</v>
      </c>
      <c r="P41" s="14">
        <v>0.9</v>
      </c>
      <c r="Q41" s="15">
        <v>0.9</v>
      </c>
      <c r="R41" s="14"/>
      <c r="S41" s="14"/>
      <c r="T41" s="14"/>
    </row>
    <row r="42" spans="3:20" x14ac:dyDescent="0.25">
      <c r="C42" s="2" t="s">
        <v>77</v>
      </c>
      <c r="D42" s="14">
        <v>98.5</v>
      </c>
      <c r="E42" s="14">
        <v>98.5</v>
      </c>
      <c r="F42" s="14">
        <v>98.5</v>
      </c>
      <c r="G42" s="14">
        <v>98.5</v>
      </c>
      <c r="H42" s="14">
        <v>98.5</v>
      </c>
      <c r="I42" s="14">
        <v>98.5</v>
      </c>
      <c r="J42" s="14">
        <v>98.5</v>
      </c>
      <c r="K42" s="14">
        <v>114.1</v>
      </c>
      <c r="L42" s="14">
        <v>114.1</v>
      </c>
      <c r="M42" s="14">
        <v>114.1</v>
      </c>
      <c r="N42" s="14">
        <v>98.5</v>
      </c>
      <c r="O42" s="14">
        <v>135.6</v>
      </c>
      <c r="P42" s="14">
        <v>135.6</v>
      </c>
      <c r="Q42" s="15">
        <v>135.6</v>
      </c>
      <c r="R42" s="14"/>
      <c r="S42" s="14"/>
      <c r="T42" s="14"/>
    </row>
    <row r="43" spans="3:20" x14ac:dyDescent="0.25">
      <c r="C43" s="2" t="s">
        <v>78</v>
      </c>
      <c r="E43" s="14">
        <v>98.2</v>
      </c>
      <c r="F43" s="2">
        <v>0</v>
      </c>
      <c r="G43" s="2">
        <v>0</v>
      </c>
      <c r="H43" s="2">
        <v>0</v>
      </c>
      <c r="I43" s="2">
        <v>0</v>
      </c>
      <c r="J43" s="14">
        <v>0</v>
      </c>
      <c r="K43" s="14">
        <v>0</v>
      </c>
      <c r="L43" s="14">
        <v>0</v>
      </c>
      <c r="M43" s="14">
        <v>0</v>
      </c>
      <c r="N43" s="14">
        <v>-1</v>
      </c>
      <c r="O43" s="14">
        <v>2.5</v>
      </c>
      <c r="P43" s="14">
        <v>-4.7</v>
      </c>
      <c r="Q43" s="15">
        <v>-1.5</v>
      </c>
      <c r="R43" s="14"/>
      <c r="S43" s="14"/>
      <c r="T43" s="14"/>
    </row>
    <row r="44" spans="3:20" x14ac:dyDescent="0.25">
      <c r="C44" s="2" t="s">
        <v>79</v>
      </c>
      <c r="D44" s="14">
        <v>103.9</v>
      </c>
      <c r="E44" s="2">
        <v>0</v>
      </c>
      <c r="F44" s="14">
        <v>116.9</v>
      </c>
      <c r="G44" s="14">
        <v>95.6</v>
      </c>
      <c r="H44" s="14">
        <v>123.9</v>
      </c>
      <c r="I44" s="14">
        <v>59.8</v>
      </c>
      <c r="J44" s="14">
        <v>68.599999999999994</v>
      </c>
      <c r="K44" s="14">
        <v>41.7</v>
      </c>
      <c r="L44" s="14">
        <v>41</v>
      </c>
      <c r="M44" s="14">
        <v>12.5</v>
      </c>
      <c r="N44" s="14">
        <v>144.9</v>
      </c>
      <c r="O44" s="14">
        <v>93.5</v>
      </c>
      <c r="P44" s="14">
        <v>86.1</v>
      </c>
      <c r="Q44" s="15">
        <v>85</v>
      </c>
      <c r="R44" s="14"/>
      <c r="S44" s="14"/>
      <c r="T44" s="14"/>
    </row>
    <row r="45" spans="3:20" x14ac:dyDescent="0.25">
      <c r="C45" s="2" t="s">
        <v>80</v>
      </c>
      <c r="D45" s="14">
        <v>25.1</v>
      </c>
      <c r="E45" s="14">
        <v>25.8</v>
      </c>
      <c r="F45" s="14">
        <v>27.9</v>
      </c>
      <c r="G45" s="14">
        <v>33</v>
      </c>
      <c r="H45" s="14">
        <v>32.6</v>
      </c>
      <c r="I45" s="14">
        <v>24.7</v>
      </c>
      <c r="J45" s="14">
        <v>23.1</v>
      </c>
      <c r="K45" s="14">
        <v>23.5</v>
      </c>
      <c r="L45" s="14">
        <v>19.600000000000001</v>
      </c>
      <c r="M45" s="14">
        <v>12.2</v>
      </c>
      <c r="N45" s="14">
        <v>30.7</v>
      </c>
      <c r="O45" s="14">
        <v>29.7</v>
      </c>
      <c r="P45" s="14">
        <v>44.7</v>
      </c>
      <c r="Q45" s="15">
        <v>45.5</v>
      </c>
      <c r="R45" s="14"/>
      <c r="S45" s="14"/>
      <c r="T45" s="14"/>
    </row>
    <row r="46" spans="3:20" x14ac:dyDescent="0.25">
      <c r="C46" s="11" t="s">
        <v>81</v>
      </c>
      <c r="D46" s="16">
        <f t="shared" ref="D46:P46" si="84">SUM(D41:D45)</f>
        <v>228.4</v>
      </c>
      <c r="E46" s="16">
        <f>SUM(E41:E45)</f>
        <v>223.40000000000003</v>
      </c>
      <c r="F46" s="16">
        <f t="shared" si="84"/>
        <v>244.20000000000002</v>
      </c>
      <c r="G46" s="16">
        <f t="shared" si="84"/>
        <v>228</v>
      </c>
      <c r="H46" s="16">
        <f>SUM(H41:H45)</f>
        <v>255.9</v>
      </c>
      <c r="I46" s="16">
        <f>SUM(I41:I45)</f>
        <v>183.89999999999998</v>
      </c>
      <c r="J46" s="16">
        <f t="shared" si="84"/>
        <v>191.1</v>
      </c>
      <c r="K46" s="16">
        <f t="shared" si="84"/>
        <v>180.2</v>
      </c>
      <c r="L46" s="16">
        <f t="shared" si="84"/>
        <v>175.6</v>
      </c>
      <c r="M46" s="16">
        <f t="shared" si="84"/>
        <v>139.69999999999999</v>
      </c>
      <c r="N46" s="16">
        <f t="shared" si="84"/>
        <v>274.10000000000002</v>
      </c>
      <c r="O46" s="16">
        <f t="shared" si="84"/>
        <v>262.2</v>
      </c>
      <c r="P46" s="16">
        <f t="shared" si="84"/>
        <v>262.60000000000002</v>
      </c>
      <c r="Q46" s="25">
        <f>SUM(Q41:Q45)</f>
        <v>265.5</v>
      </c>
      <c r="R46" s="16">
        <f t="shared" ref="R46:S46" si="85">SUM(R41:R45)</f>
        <v>0</v>
      </c>
      <c r="S46" s="16">
        <f t="shared" si="85"/>
        <v>0</v>
      </c>
      <c r="T46" s="16"/>
    </row>
    <row r="47" spans="3:20" x14ac:dyDescent="0.25">
      <c r="C47" s="2" t="s">
        <v>82</v>
      </c>
      <c r="D47" s="14">
        <v>0.1</v>
      </c>
      <c r="E47" s="14">
        <v>0.5</v>
      </c>
      <c r="F47" s="14">
        <v>0.4</v>
      </c>
      <c r="G47" s="14">
        <v>0.4</v>
      </c>
      <c r="H47" s="14">
        <v>0.6</v>
      </c>
      <c r="I47" s="14">
        <v>0.9</v>
      </c>
      <c r="J47" s="14">
        <v>1.2</v>
      </c>
      <c r="K47" s="14">
        <v>3.5</v>
      </c>
      <c r="L47" s="14">
        <v>4</v>
      </c>
      <c r="M47" s="14">
        <v>1.1000000000000001</v>
      </c>
      <c r="N47" s="14">
        <v>1.2</v>
      </c>
      <c r="O47" s="14">
        <v>0.8</v>
      </c>
      <c r="P47" s="14">
        <v>0.5</v>
      </c>
      <c r="Q47" s="15">
        <v>0.7</v>
      </c>
      <c r="R47" s="14"/>
      <c r="S47" s="14"/>
      <c r="T47" s="14"/>
    </row>
    <row r="48" spans="3:20" x14ac:dyDescent="0.25">
      <c r="C48" s="2" t="s">
        <v>83</v>
      </c>
      <c r="D48" s="14">
        <v>66.400000000000006</v>
      </c>
      <c r="E48" s="14">
        <v>63.1</v>
      </c>
      <c r="F48" s="14">
        <v>58.5</v>
      </c>
      <c r="G48" s="14">
        <v>55.9</v>
      </c>
      <c r="H48" s="14">
        <v>43.7</v>
      </c>
      <c r="I48" s="14">
        <v>43.5</v>
      </c>
      <c r="J48" s="14">
        <v>38.9</v>
      </c>
      <c r="K48" s="14">
        <v>106.3</v>
      </c>
      <c r="L48" s="14">
        <v>96.5</v>
      </c>
      <c r="M48" s="14">
        <v>264.60000000000002</v>
      </c>
      <c r="N48" s="14">
        <v>268.5</v>
      </c>
      <c r="O48" s="14">
        <v>265.89999999999998</v>
      </c>
      <c r="P48" s="14">
        <v>311</v>
      </c>
      <c r="Q48" s="15">
        <v>303.39999999999998</v>
      </c>
      <c r="R48" s="14"/>
      <c r="S48" s="14"/>
      <c r="T48" s="14"/>
    </row>
    <row r="49" spans="3:32" x14ac:dyDescent="0.25">
      <c r="C49" s="2" t="s">
        <v>84</v>
      </c>
      <c r="D49" s="14">
        <v>0</v>
      </c>
      <c r="E49" s="14">
        <v>0</v>
      </c>
      <c r="F49" s="14">
        <v>41.7</v>
      </c>
      <c r="G49" s="14">
        <v>0.1</v>
      </c>
      <c r="H49" s="14">
        <v>0.1</v>
      </c>
      <c r="I49" s="14">
        <v>0.1</v>
      </c>
      <c r="J49" s="14">
        <v>0.1</v>
      </c>
      <c r="K49" s="14">
        <v>0</v>
      </c>
      <c r="L49" s="14">
        <v>0</v>
      </c>
      <c r="M49" s="14">
        <v>0</v>
      </c>
      <c r="N49" s="14">
        <v>7</v>
      </c>
      <c r="O49" s="14">
        <v>5.3</v>
      </c>
      <c r="P49" s="14">
        <v>6.9</v>
      </c>
      <c r="Q49" s="15">
        <v>6.7</v>
      </c>
      <c r="R49" s="14"/>
      <c r="S49" s="14"/>
      <c r="T49" s="14"/>
    </row>
    <row r="50" spans="3:32" x14ac:dyDescent="0.25">
      <c r="C50" s="2" t="s">
        <v>85</v>
      </c>
      <c r="D50" s="14">
        <v>36.799999999999997</v>
      </c>
      <c r="E50" s="14">
        <v>37.299999999999997</v>
      </c>
      <c r="F50" s="14">
        <v>31.3</v>
      </c>
      <c r="G50" s="14">
        <v>44.1</v>
      </c>
      <c r="H50" s="14">
        <v>42.3</v>
      </c>
      <c r="I50" s="14">
        <v>43.9</v>
      </c>
      <c r="J50" s="14">
        <v>59.5</v>
      </c>
      <c r="K50" s="14">
        <v>0</v>
      </c>
      <c r="L50" s="14">
        <v>0</v>
      </c>
      <c r="M50" s="14">
        <v>0</v>
      </c>
      <c r="N50" s="14">
        <v>36.9</v>
      </c>
      <c r="O50" s="14">
        <v>8.8000000000000007</v>
      </c>
      <c r="P50" s="14">
        <v>23.1</v>
      </c>
      <c r="Q50" s="15">
        <v>23.9</v>
      </c>
      <c r="R50" s="14"/>
      <c r="S50" s="14"/>
      <c r="T50" s="14"/>
    </row>
    <row r="51" spans="3:32" x14ac:dyDescent="0.25">
      <c r="C51" s="2" t="s">
        <v>86</v>
      </c>
      <c r="D51" s="14">
        <v>30.7</v>
      </c>
      <c r="E51" s="14">
        <v>33.299999999999997</v>
      </c>
      <c r="F51" s="14">
        <v>0</v>
      </c>
      <c r="G51" s="14">
        <v>54.8</v>
      </c>
      <c r="H51" s="14">
        <v>30.9</v>
      </c>
      <c r="I51" s="14">
        <v>32</v>
      </c>
      <c r="J51" s="14">
        <v>34.6</v>
      </c>
      <c r="K51" s="14">
        <v>64.7</v>
      </c>
      <c r="L51" s="14">
        <v>58.4</v>
      </c>
      <c r="M51" s="14">
        <v>30</v>
      </c>
      <c r="N51" s="14">
        <v>49.7</v>
      </c>
      <c r="O51" s="14">
        <v>37.1</v>
      </c>
      <c r="P51" s="14">
        <v>35.5</v>
      </c>
      <c r="Q51" s="15">
        <v>46.2</v>
      </c>
      <c r="R51" s="14"/>
      <c r="S51" s="14"/>
      <c r="T51" s="14"/>
    </row>
    <row r="52" spans="3:32" x14ac:dyDescent="0.25">
      <c r="C52" s="2" t="s">
        <v>87</v>
      </c>
      <c r="D52" s="14">
        <v>0</v>
      </c>
      <c r="E52" s="14">
        <v>0</v>
      </c>
      <c r="F52" s="14">
        <v>147.6</v>
      </c>
      <c r="G52" s="14">
        <v>3.4</v>
      </c>
      <c r="H52" s="14">
        <v>3.1</v>
      </c>
      <c r="I52" s="14">
        <v>2.5</v>
      </c>
      <c r="J52" s="14">
        <v>3</v>
      </c>
      <c r="K52" s="14">
        <v>42.2</v>
      </c>
      <c r="L52" s="14">
        <v>38</v>
      </c>
      <c r="M52" s="14">
        <v>45.1</v>
      </c>
      <c r="N52" s="14">
        <v>3.2</v>
      </c>
      <c r="O52" s="14">
        <v>61.7</v>
      </c>
      <c r="P52" s="14">
        <v>43.5</v>
      </c>
      <c r="Q52" s="15">
        <v>42.4</v>
      </c>
      <c r="R52" s="14"/>
      <c r="S52" s="14"/>
      <c r="T52" s="14"/>
      <c r="AA52" s="1"/>
      <c r="AB52" s="1"/>
      <c r="AC52" s="1"/>
      <c r="AD52" s="1"/>
      <c r="AE52" s="1"/>
      <c r="AF52" s="1"/>
    </row>
    <row r="53" spans="3:32" x14ac:dyDescent="0.25">
      <c r="C53" s="2" t="s">
        <v>88</v>
      </c>
      <c r="D53" s="14">
        <v>0</v>
      </c>
      <c r="E53" s="14">
        <v>0</v>
      </c>
      <c r="F53" s="14">
        <v>67.2</v>
      </c>
      <c r="G53" s="14">
        <v>0.2</v>
      </c>
      <c r="H53" s="14">
        <v>1.8</v>
      </c>
      <c r="I53" s="14">
        <v>0</v>
      </c>
      <c r="J53" s="14">
        <v>151</v>
      </c>
      <c r="K53" s="14">
        <v>0.4</v>
      </c>
      <c r="L53" s="14">
        <v>1.2</v>
      </c>
      <c r="M53" s="14">
        <v>1.4</v>
      </c>
      <c r="N53" s="14">
        <v>173.2</v>
      </c>
      <c r="O53" s="14">
        <v>2.9</v>
      </c>
      <c r="P53" s="14">
        <v>4.2</v>
      </c>
      <c r="Q53" s="15">
        <v>5.7</v>
      </c>
      <c r="R53" s="14"/>
      <c r="S53" s="14"/>
      <c r="T53" s="14"/>
    </row>
    <row r="54" spans="3:32" x14ac:dyDescent="0.25">
      <c r="C54" s="2" t="s">
        <v>89</v>
      </c>
      <c r="D54" s="14">
        <v>158.80000000000001</v>
      </c>
      <c r="E54" s="14">
        <v>159.5</v>
      </c>
      <c r="F54" s="14">
        <v>0</v>
      </c>
      <c r="G54" s="14">
        <v>161</v>
      </c>
      <c r="H54" s="14">
        <v>166.8</v>
      </c>
      <c r="I54" s="14">
        <v>170.8</v>
      </c>
      <c r="J54" s="14">
        <v>0</v>
      </c>
      <c r="K54" s="14">
        <v>157.5</v>
      </c>
      <c r="L54" s="14">
        <v>143.80000000000001</v>
      </c>
      <c r="M54" s="14">
        <v>143.19999999999999</v>
      </c>
      <c r="N54" s="14">
        <v>31.9</v>
      </c>
      <c r="O54" s="14">
        <v>169.8</v>
      </c>
      <c r="P54" s="14">
        <v>165.7</v>
      </c>
      <c r="Q54" s="15">
        <v>129.80000000000001</v>
      </c>
      <c r="R54" s="14"/>
      <c r="S54" s="14"/>
      <c r="T54" s="14"/>
    </row>
    <row r="55" spans="3:32" x14ac:dyDescent="0.25">
      <c r="C55" s="2" t="s">
        <v>90</v>
      </c>
      <c r="D55" s="14">
        <v>81.599999999999994</v>
      </c>
      <c r="E55" s="14">
        <v>89.1</v>
      </c>
      <c r="F55" s="14">
        <v>0</v>
      </c>
      <c r="G55" s="2">
        <v>0</v>
      </c>
      <c r="H55" s="2">
        <v>0</v>
      </c>
      <c r="I55" s="2">
        <v>0</v>
      </c>
      <c r="J55" s="2">
        <v>0</v>
      </c>
      <c r="K55" s="14">
        <v>0</v>
      </c>
      <c r="L55" s="14">
        <v>0</v>
      </c>
      <c r="M55" s="14">
        <v>30.2</v>
      </c>
      <c r="N55" s="2">
        <v>0</v>
      </c>
      <c r="O55" s="2">
        <v>0</v>
      </c>
      <c r="P55" s="2">
        <v>0</v>
      </c>
      <c r="Q55" s="15">
        <v>0</v>
      </c>
      <c r="R55" s="14"/>
      <c r="S55" s="14"/>
      <c r="T55" s="14"/>
    </row>
    <row r="56" spans="3:32" x14ac:dyDescent="0.25">
      <c r="C56" s="2" t="s">
        <v>91</v>
      </c>
      <c r="D56" s="14">
        <v>0</v>
      </c>
      <c r="E56" s="14">
        <v>0</v>
      </c>
      <c r="F56" s="2">
        <v>0</v>
      </c>
      <c r="G56" s="14">
        <v>75</v>
      </c>
      <c r="H56" s="14">
        <v>89.6</v>
      </c>
      <c r="I56" s="14">
        <v>92</v>
      </c>
      <c r="J56" s="14">
        <v>63</v>
      </c>
      <c r="K56" s="14">
        <v>77.8</v>
      </c>
      <c r="L56" s="14">
        <v>81.3</v>
      </c>
      <c r="M56" s="14">
        <v>88.4</v>
      </c>
      <c r="N56" s="14">
        <v>67.5</v>
      </c>
      <c r="O56" s="14">
        <v>70.8</v>
      </c>
      <c r="P56" s="14">
        <v>89.5</v>
      </c>
      <c r="Q56" s="15">
        <v>94.2</v>
      </c>
      <c r="R56" s="14"/>
      <c r="S56" s="14"/>
      <c r="T56" s="14"/>
      <c r="AA56" s="1"/>
      <c r="AB56" s="1"/>
      <c r="AC56" s="1"/>
      <c r="AD56" s="1"/>
      <c r="AE56" s="1"/>
      <c r="AF56" s="1"/>
    </row>
    <row r="57" spans="3:32" x14ac:dyDescent="0.25">
      <c r="C57" s="11" t="s">
        <v>93</v>
      </c>
      <c r="D57" s="16">
        <f t="shared" ref="D57:M57" si="86">SUM(D47:D56)</f>
        <v>374.4</v>
      </c>
      <c r="E57" s="16">
        <f t="shared" si="86"/>
        <v>382.79999999999995</v>
      </c>
      <c r="F57" s="16">
        <f>SUM(F47:F56)</f>
        <v>346.7</v>
      </c>
      <c r="G57" s="16">
        <f>SUM(G47:G56)</f>
        <v>394.9</v>
      </c>
      <c r="H57" s="16">
        <f>SUM(H47:H56)</f>
        <v>378.9</v>
      </c>
      <c r="I57" s="16">
        <f>SUM(I47:I56)</f>
        <v>385.70000000000005</v>
      </c>
      <c r="J57" s="16">
        <f>SUM(J47:J56)</f>
        <v>351.3</v>
      </c>
      <c r="K57" s="16">
        <f t="shared" si="86"/>
        <v>452.40000000000003</v>
      </c>
      <c r="L57" s="16">
        <f t="shared" si="86"/>
        <v>423.2</v>
      </c>
      <c r="M57" s="16">
        <f t="shared" si="86"/>
        <v>604</v>
      </c>
      <c r="N57" s="16">
        <f>SUM(N47:N56)</f>
        <v>639.09999999999991</v>
      </c>
      <c r="O57" s="16">
        <f>SUM(O47:O56)</f>
        <v>623.09999999999991</v>
      </c>
      <c r="P57" s="16">
        <f>SUM(P47:P56)</f>
        <v>679.9</v>
      </c>
      <c r="Q57" s="25">
        <f>SUM(Q47:Q56)</f>
        <v>653</v>
      </c>
      <c r="R57" s="16">
        <f t="shared" ref="R57:S57" si="87">SUM(R47:R56)</f>
        <v>0</v>
      </c>
      <c r="S57" s="16">
        <f t="shared" si="87"/>
        <v>0</v>
      </c>
      <c r="T57" s="16"/>
    </row>
    <row r="58" spans="3:32" x14ac:dyDescent="0.25">
      <c r="C58" s="1" t="s">
        <v>92</v>
      </c>
      <c r="D58" s="12">
        <f t="shared" ref="D58:P58" si="88">D46+D57</f>
        <v>602.79999999999995</v>
      </c>
      <c r="E58" s="12">
        <f t="shared" si="88"/>
        <v>606.20000000000005</v>
      </c>
      <c r="F58" s="12">
        <f t="shared" si="88"/>
        <v>590.9</v>
      </c>
      <c r="G58" s="12">
        <f t="shared" si="88"/>
        <v>622.9</v>
      </c>
      <c r="H58" s="12">
        <f>H46+H57</f>
        <v>634.79999999999995</v>
      </c>
      <c r="I58" s="12">
        <f t="shared" si="88"/>
        <v>569.6</v>
      </c>
      <c r="J58" s="12">
        <f t="shared" si="88"/>
        <v>542.4</v>
      </c>
      <c r="K58" s="12">
        <f t="shared" si="88"/>
        <v>632.6</v>
      </c>
      <c r="L58" s="12">
        <f t="shared" si="88"/>
        <v>598.79999999999995</v>
      </c>
      <c r="M58" s="12">
        <f t="shared" si="88"/>
        <v>743.7</v>
      </c>
      <c r="N58" s="12">
        <f t="shared" si="88"/>
        <v>913.19999999999993</v>
      </c>
      <c r="O58" s="12">
        <f t="shared" si="88"/>
        <v>885.3</v>
      </c>
      <c r="P58" s="12">
        <f t="shared" si="88"/>
        <v>942.5</v>
      </c>
      <c r="Q58" s="13">
        <f>Q46+Q57</f>
        <v>918.5</v>
      </c>
      <c r="R58" s="12">
        <f t="shared" ref="R58:S58" si="89">R46+R57</f>
        <v>0</v>
      </c>
      <c r="S58" s="12">
        <f t="shared" si="89"/>
        <v>0</v>
      </c>
      <c r="T58" s="12"/>
    </row>
    <row r="59" spans="3:32" x14ac:dyDescent="0.25"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 spans="3:32" x14ac:dyDescent="0.25">
      <c r="C60" s="1" t="s">
        <v>46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U60" s="1"/>
      <c r="V60" s="1"/>
      <c r="W60" s="1"/>
      <c r="X60" s="1"/>
      <c r="Y60" s="1"/>
      <c r="Z60" s="1"/>
    </row>
    <row r="61" spans="3:32" x14ac:dyDescent="0.25">
      <c r="C61" s="2" t="s">
        <v>94</v>
      </c>
      <c r="D61" s="14">
        <f t="shared" ref="D61:P61" si="90">D11</f>
        <v>39.099999999999966</v>
      </c>
      <c r="E61" s="14">
        <f t="shared" si="90"/>
        <v>34.499999999999972</v>
      </c>
      <c r="F61" s="14">
        <f t="shared" si="90"/>
        <v>24.400000000000006</v>
      </c>
      <c r="G61" s="14">
        <f t="shared" si="90"/>
        <v>39.699999999999989</v>
      </c>
      <c r="H61" s="14">
        <f t="shared" si="90"/>
        <v>40.899999999999977</v>
      </c>
      <c r="I61" s="14">
        <f t="shared" si="90"/>
        <v>22.200000000000045</v>
      </c>
      <c r="J61" s="14">
        <f t="shared" si="90"/>
        <v>10</v>
      </c>
      <c r="K61" s="14">
        <f t="shared" si="90"/>
        <v>13.200000000000045</v>
      </c>
      <c r="L61" s="14">
        <f t="shared" si="90"/>
        <v>7.8999999999999773</v>
      </c>
      <c r="M61" s="14">
        <f t="shared" si="90"/>
        <v>8.6000000000000227</v>
      </c>
      <c r="N61" s="14">
        <f t="shared" si="90"/>
        <v>1.1000000000000227</v>
      </c>
      <c r="O61" s="14">
        <f t="shared" si="90"/>
        <v>8.8000000000000114</v>
      </c>
      <c r="P61" s="14">
        <f t="shared" si="90"/>
        <v>15.899999999999977</v>
      </c>
      <c r="Q61" s="15">
        <f>Q11</f>
        <v>10.300000000000011</v>
      </c>
      <c r="R61" s="14">
        <f t="shared" ref="R61:S61" si="91">R11</f>
        <v>0</v>
      </c>
      <c r="S61" s="14">
        <f t="shared" si="91"/>
        <v>0</v>
      </c>
      <c r="T61" s="14"/>
      <c r="U61" s="1"/>
      <c r="V61" s="1"/>
      <c r="W61" s="1"/>
      <c r="X61" s="1"/>
      <c r="Y61" s="1"/>
      <c r="Z61" s="1"/>
      <c r="AA61" s="14">
        <f t="shared" ref="AA61:AE61" si="92">AA11</f>
        <v>31.183999999999969</v>
      </c>
      <c r="AB61" s="14">
        <f t="shared" si="92"/>
        <v>42.429000000000087</v>
      </c>
      <c r="AC61" s="14">
        <f t="shared" si="92"/>
        <v>70.563999999999965</v>
      </c>
      <c r="AD61" s="14">
        <f t="shared" si="92"/>
        <v>137.66999999999996</v>
      </c>
      <c r="AE61" s="14">
        <f t="shared" si="92"/>
        <v>86.099999999999909</v>
      </c>
      <c r="AF61" s="14">
        <f>AF11</f>
        <v>26.299999999999955</v>
      </c>
    </row>
    <row r="62" spans="3:32" x14ac:dyDescent="0.25">
      <c r="C62" s="2" t="s">
        <v>95</v>
      </c>
      <c r="D62" s="14">
        <v>39</v>
      </c>
      <c r="E62" s="14">
        <v>35</v>
      </c>
      <c r="F62" s="14"/>
      <c r="G62" s="14">
        <v>40</v>
      </c>
      <c r="H62" s="14">
        <v>41</v>
      </c>
      <c r="I62" s="14">
        <v>22</v>
      </c>
      <c r="J62" s="14">
        <v>10</v>
      </c>
      <c r="K62" s="14">
        <v>13</v>
      </c>
      <c r="L62" s="14">
        <v>8</v>
      </c>
      <c r="M62" s="14">
        <v>9</v>
      </c>
      <c r="N62" s="14">
        <v>1</v>
      </c>
      <c r="O62" s="14">
        <v>9</v>
      </c>
      <c r="P62" s="14">
        <v>16</v>
      </c>
      <c r="Q62" s="15">
        <v>10</v>
      </c>
      <c r="R62" s="14"/>
      <c r="S62" s="14"/>
      <c r="T62" s="14"/>
      <c r="U62" s="1"/>
      <c r="V62" s="1"/>
      <c r="W62" s="1"/>
      <c r="X62" s="1"/>
      <c r="Y62" s="1"/>
      <c r="Z62" s="1"/>
      <c r="AA62" s="14">
        <v>31</v>
      </c>
      <c r="AB62" s="14">
        <v>42</v>
      </c>
      <c r="AC62" s="14">
        <v>71</v>
      </c>
      <c r="AD62" s="14">
        <v>138</v>
      </c>
      <c r="AE62" s="14">
        <v>86</v>
      </c>
      <c r="AF62" s="14">
        <v>26</v>
      </c>
    </row>
    <row r="63" spans="3:32" x14ac:dyDescent="0.25">
      <c r="C63" s="2" t="s">
        <v>96</v>
      </c>
      <c r="D63" s="14">
        <v>11.6</v>
      </c>
      <c r="E63" s="14">
        <v>6.1</v>
      </c>
      <c r="F63" s="14"/>
      <c r="G63" s="14">
        <v>7.1</v>
      </c>
      <c r="H63" s="14">
        <v>6</v>
      </c>
      <c r="I63" s="14">
        <v>4.3</v>
      </c>
      <c r="J63" s="14">
        <v>5.5</v>
      </c>
      <c r="K63" s="14">
        <v>7</v>
      </c>
      <c r="L63" s="14">
        <v>6.8</v>
      </c>
      <c r="M63" s="14">
        <v>3.4</v>
      </c>
      <c r="N63" s="14">
        <v>12.8</v>
      </c>
      <c r="O63" s="14">
        <v>8.1</v>
      </c>
      <c r="P63" s="14">
        <v>7.7</v>
      </c>
      <c r="Q63" s="15">
        <v>8</v>
      </c>
      <c r="R63" s="14"/>
      <c r="S63" s="14"/>
      <c r="T63" s="14"/>
      <c r="U63" s="1"/>
      <c r="V63" s="1"/>
      <c r="W63" s="1"/>
      <c r="X63" s="1"/>
      <c r="Y63" s="1"/>
      <c r="Z63" s="1"/>
      <c r="AA63" s="14">
        <v>27</v>
      </c>
      <c r="AB63" s="14">
        <v>25.343</v>
      </c>
      <c r="AC63" s="14">
        <v>16.3</v>
      </c>
      <c r="AD63" s="14">
        <v>32.5</v>
      </c>
      <c r="AE63" s="14">
        <v>22.8</v>
      </c>
      <c r="AF63" s="14">
        <v>29.8</v>
      </c>
    </row>
    <row r="64" spans="3:32" x14ac:dyDescent="0.25">
      <c r="C64" s="2" t="s">
        <v>97</v>
      </c>
      <c r="D64" s="14">
        <v>1.6</v>
      </c>
      <c r="E64" s="14">
        <v>0.4</v>
      </c>
      <c r="F64" s="14"/>
      <c r="G64" s="14">
        <v>0.4</v>
      </c>
      <c r="H64" s="14">
        <v>0</v>
      </c>
      <c r="I64" s="14">
        <v>0.2</v>
      </c>
      <c r="J64" s="14">
        <v>0.3</v>
      </c>
      <c r="K64" s="14">
        <v>1</v>
      </c>
      <c r="L64" s="14">
        <v>0</v>
      </c>
      <c r="M64" s="14">
        <v>0.5</v>
      </c>
      <c r="N64" s="14">
        <v>1</v>
      </c>
      <c r="O64" s="14">
        <v>0.8</v>
      </c>
      <c r="P64" s="14">
        <v>0.1</v>
      </c>
      <c r="Q64" s="15">
        <v>0.4</v>
      </c>
      <c r="R64" s="14"/>
      <c r="S64" s="14"/>
      <c r="T64" s="14"/>
      <c r="U64" s="1"/>
      <c r="V64" s="1"/>
      <c r="W64" s="1"/>
      <c r="X64" s="1"/>
      <c r="Y64" s="1"/>
      <c r="Z64" s="1"/>
      <c r="AA64" s="12">
        <v>4.8000000000000001E-2</v>
      </c>
      <c r="AB64" s="14">
        <v>0.27900000000000003</v>
      </c>
      <c r="AC64" s="14">
        <v>0.113</v>
      </c>
      <c r="AD64" s="14">
        <v>2.8</v>
      </c>
      <c r="AE64" s="14">
        <v>1.5</v>
      </c>
      <c r="AF64" s="14">
        <v>2.2999999999999998</v>
      </c>
    </row>
    <row r="65" spans="3:32" x14ac:dyDescent="0.25">
      <c r="C65" s="2" t="s">
        <v>98</v>
      </c>
      <c r="D65" s="14">
        <v>-0.7</v>
      </c>
      <c r="E65" s="14">
        <v>-1</v>
      </c>
      <c r="F65" s="14"/>
      <c r="G65" s="14">
        <v>-1</v>
      </c>
      <c r="H65" s="14">
        <v>-0.8</v>
      </c>
      <c r="I65" s="14">
        <v>-1.1000000000000001</v>
      </c>
      <c r="J65" s="14">
        <v>-1.3</v>
      </c>
      <c r="K65" s="14">
        <v>-0.7</v>
      </c>
      <c r="L65" s="14">
        <v>-2.2000000000000002</v>
      </c>
      <c r="M65" s="14">
        <v>-3.6</v>
      </c>
      <c r="N65" s="14">
        <v>-5.8</v>
      </c>
      <c r="O65" s="14">
        <v>-6.1</v>
      </c>
      <c r="P65" s="14">
        <v>-5.3</v>
      </c>
      <c r="Q65" s="15">
        <v>-6.4</v>
      </c>
      <c r="R65" s="12"/>
      <c r="S65" s="12"/>
      <c r="T65" s="12"/>
      <c r="U65" s="1"/>
      <c r="V65" s="1"/>
      <c r="W65" s="1"/>
      <c r="X65" s="1"/>
      <c r="Y65" s="1"/>
      <c r="Z65" s="1"/>
      <c r="AA65" s="14">
        <v>-4.3</v>
      </c>
      <c r="AB65" s="14">
        <v>-5</v>
      </c>
      <c r="AC65" s="14">
        <v>-3.2</v>
      </c>
      <c r="AD65" s="14">
        <v>-3.6</v>
      </c>
      <c r="AE65" s="14">
        <v>-3.9</v>
      </c>
      <c r="AF65" s="14">
        <v>-17.7</v>
      </c>
    </row>
    <row r="66" spans="3:32" x14ac:dyDescent="0.25">
      <c r="C66" s="2" t="s">
        <v>99</v>
      </c>
      <c r="D66" s="14">
        <v>-4.8</v>
      </c>
      <c r="E66" s="14">
        <v>-9.1999999999999993</v>
      </c>
      <c r="F66" s="14"/>
      <c r="G66" s="14">
        <v>5</v>
      </c>
      <c r="H66" s="14">
        <v>-3.5</v>
      </c>
      <c r="I66" s="14">
        <v>-16.5</v>
      </c>
      <c r="J66" s="14">
        <v>-13</v>
      </c>
      <c r="K66" s="14">
        <v>5.7</v>
      </c>
      <c r="L66" s="14">
        <v>-10.8</v>
      </c>
      <c r="M66" s="14">
        <v>-9.9</v>
      </c>
      <c r="N66" s="14">
        <v>-13.9</v>
      </c>
      <c r="O66" s="14">
        <v>14</v>
      </c>
      <c r="P66" s="14">
        <v>-3.1</v>
      </c>
      <c r="Q66" s="15">
        <v>-7.3</v>
      </c>
      <c r="R66" s="12"/>
      <c r="S66" s="12"/>
      <c r="T66" s="12"/>
      <c r="U66" s="1"/>
      <c r="V66" s="1"/>
      <c r="W66" s="1"/>
      <c r="X66" s="1"/>
      <c r="Y66" s="1"/>
      <c r="Z66" s="1"/>
      <c r="AA66" s="14">
        <v>-16.2</v>
      </c>
      <c r="AB66" s="14">
        <v>-11.234999999999999</v>
      </c>
      <c r="AC66" s="14">
        <v>-6.5</v>
      </c>
      <c r="AD66" s="14">
        <v>-16</v>
      </c>
      <c r="AE66" s="14">
        <v>-27.3</v>
      </c>
      <c r="AF66" s="14">
        <v>-20.6</v>
      </c>
    </row>
    <row r="67" spans="3:32" x14ac:dyDescent="0.25">
      <c r="C67" s="2" t="s">
        <v>100</v>
      </c>
      <c r="D67" s="14">
        <f>46.8-19.6+12.9</f>
        <v>40.099999999999994</v>
      </c>
      <c r="E67" s="14">
        <f>30.8+8.8+8.6</f>
        <v>48.2</v>
      </c>
      <c r="F67" s="14"/>
      <c r="G67" s="14">
        <f>51.2-22.3+45.5</f>
        <v>74.400000000000006</v>
      </c>
      <c r="H67" s="14">
        <f>42.6-5-0.7</f>
        <v>36.9</v>
      </c>
      <c r="I67" s="14">
        <f>8.9+9.5+6.9</f>
        <v>25.299999999999997</v>
      </c>
      <c r="J67" s="14">
        <v>-42.7</v>
      </c>
      <c r="K67" s="14">
        <f>5.7+14.9</f>
        <v>20.6</v>
      </c>
      <c r="L67" s="14">
        <f>-6.7-10.8</f>
        <v>-17.5</v>
      </c>
      <c r="M67" s="14">
        <f>12.4+9.8</f>
        <v>22.200000000000003</v>
      </c>
      <c r="N67" s="14">
        <f>22.1-64.2</f>
        <v>-42.1</v>
      </c>
      <c r="O67" s="14">
        <f>-3.1+5.9</f>
        <v>2.8000000000000003</v>
      </c>
      <c r="P67" s="14">
        <f>8.8-12.9</f>
        <v>-4.0999999999999996</v>
      </c>
      <c r="Q67" s="15">
        <f>11.5+3.6</f>
        <v>15.1</v>
      </c>
      <c r="R67" s="12"/>
      <c r="S67" s="12"/>
      <c r="T67" s="12"/>
      <c r="AA67" s="14">
        <f>29.9-12.44</f>
        <v>17.46</v>
      </c>
      <c r="AB67" s="14">
        <f>20-2.5</f>
        <v>17.5</v>
      </c>
      <c r="AC67" s="14">
        <f>-41.7+42</f>
        <v>0.29999999999999716</v>
      </c>
      <c r="AD67" s="14">
        <f>-32.454+30.954</f>
        <v>-1.5</v>
      </c>
      <c r="AE67" s="14">
        <f>13.2-24.6</f>
        <v>-11.400000000000002</v>
      </c>
      <c r="AF67" s="14">
        <f>25.3-60</f>
        <v>-34.700000000000003</v>
      </c>
    </row>
    <row r="68" spans="3:32" x14ac:dyDescent="0.25">
      <c r="C68" s="1" t="s">
        <v>101</v>
      </c>
      <c r="D68" s="12">
        <f t="shared" ref="D68:P68" si="93">SUM(D62:D67)</f>
        <v>86.8</v>
      </c>
      <c r="E68" s="12">
        <f t="shared" si="93"/>
        <v>79.5</v>
      </c>
      <c r="F68" s="12">
        <f t="shared" si="93"/>
        <v>0</v>
      </c>
      <c r="G68" s="12">
        <f t="shared" si="93"/>
        <v>125.9</v>
      </c>
      <c r="H68" s="12">
        <f t="shared" si="93"/>
        <v>79.599999999999994</v>
      </c>
      <c r="I68" s="12">
        <f>SUM(I62:I67)</f>
        <v>34.199999999999996</v>
      </c>
      <c r="J68" s="12">
        <f t="shared" si="93"/>
        <v>-41.2</v>
      </c>
      <c r="K68" s="12">
        <f t="shared" si="93"/>
        <v>46.6</v>
      </c>
      <c r="L68" s="12">
        <f t="shared" si="93"/>
        <v>-15.7</v>
      </c>
      <c r="M68" s="12">
        <f t="shared" si="93"/>
        <v>21.6</v>
      </c>
      <c r="N68" s="12">
        <f t="shared" si="93"/>
        <v>-47</v>
      </c>
      <c r="O68" s="12">
        <f t="shared" si="93"/>
        <v>28.600000000000005</v>
      </c>
      <c r="P68" s="12">
        <f t="shared" si="93"/>
        <v>11.3</v>
      </c>
      <c r="Q68" s="13">
        <f>SUM(Q62:Q67)</f>
        <v>19.799999999999997</v>
      </c>
      <c r="R68" s="12">
        <f t="shared" ref="R68:S68" si="94">SUM(R62:R67)</f>
        <v>0</v>
      </c>
      <c r="S68" s="12">
        <f t="shared" si="94"/>
        <v>0</v>
      </c>
      <c r="T68" s="12"/>
      <c r="AA68" s="12">
        <f t="shared" ref="AA68:AE68" si="95">SUM(AA62:AA67)</f>
        <v>55.008000000000003</v>
      </c>
      <c r="AB68" s="12">
        <f t="shared" si="95"/>
        <v>68.887</v>
      </c>
      <c r="AC68" s="12">
        <f t="shared" si="95"/>
        <v>78.012999999999991</v>
      </c>
      <c r="AD68" s="12">
        <f t="shared" si="95"/>
        <v>152.20000000000002</v>
      </c>
      <c r="AE68" s="12">
        <f t="shared" si="95"/>
        <v>67.699999999999989</v>
      </c>
      <c r="AF68" s="12">
        <f>SUM(AF62:AF67)</f>
        <v>-14.900000000000013</v>
      </c>
    </row>
    <row r="69" spans="3:32" x14ac:dyDescent="0.25"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5"/>
      <c r="R69" s="14"/>
      <c r="S69" s="14"/>
      <c r="T69" s="14"/>
      <c r="AA69" s="14"/>
      <c r="AB69" s="14"/>
      <c r="AC69" s="14"/>
      <c r="AD69" s="14"/>
      <c r="AE69" s="14"/>
      <c r="AF69" s="14"/>
    </row>
    <row r="70" spans="3:32" x14ac:dyDescent="0.25">
      <c r="C70" s="2" t="s">
        <v>102</v>
      </c>
      <c r="D70" s="14">
        <v>-1</v>
      </c>
      <c r="E70" s="14">
        <v>0.5</v>
      </c>
      <c r="F70" s="14"/>
      <c r="G70" s="14">
        <v>1</v>
      </c>
      <c r="H70" s="14">
        <v>-1</v>
      </c>
      <c r="I70" s="14">
        <f>0.4</f>
        <v>0.4</v>
      </c>
      <c r="J70" s="14">
        <v>-0.8</v>
      </c>
      <c r="K70" s="14">
        <f>-3.9</f>
        <v>-3.9</v>
      </c>
      <c r="L70" s="14">
        <v>-3.2</v>
      </c>
      <c r="M70" s="14">
        <f>-1.1-0.4</f>
        <v>-1.5</v>
      </c>
      <c r="N70" s="14">
        <f>-1.6</f>
        <v>-1.6</v>
      </c>
      <c r="O70" s="14">
        <v>0</v>
      </c>
      <c r="P70" s="14">
        <v>0</v>
      </c>
      <c r="Q70" s="15">
        <v>0</v>
      </c>
      <c r="R70" s="14"/>
      <c r="S70" s="14"/>
      <c r="T70" s="14"/>
      <c r="AA70" s="14">
        <f>-11.1-1.8-4.669</f>
        <v>-17.568999999999999</v>
      </c>
      <c r="AB70" s="14">
        <f>2.4-0.262-1.2</f>
        <v>0.93799999999999994</v>
      </c>
      <c r="AC70" s="14">
        <f>-0.457-1.7</f>
        <v>-2.157</v>
      </c>
      <c r="AD70" s="14">
        <f>-0.489-0.296</f>
        <v>-0.78499999999999992</v>
      </c>
      <c r="AE70" s="14">
        <f>0.8-4.6-0.3</f>
        <v>-4.0999999999999996</v>
      </c>
      <c r="AF70" s="14">
        <f>-18.5-4.5-0.4</f>
        <v>-23.4</v>
      </c>
    </row>
    <row r="71" spans="3:32" x14ac:dyDescent="0.25">
      <c r="C71" s="2" t="s">
        <v>103</v>
      </c>
      <c r="D71" s="14">
        <v>0</v>
      </c>
      <c r="E71" s="14">
        <v>0</v>
      </c>
      <c r="F71" s="14"/>
      <c r="G71" s="14">
        <v>-3.7</v>
      </c>
      <c r="H71" s="14">
        <v>0</v>
      </c>
      <c r="I71" s="14">
        <v>3.7</v>
      </c>
      <c r="J71" s="14">
        <v>0.4</v>
      </c>
      <c r="K71" s="14">
        <v>3.3</v>
      </c>
      <c r="L71" s="14">
        <v>-1.6</v>
      </c>
      <c r="M71" s="14">
        <v>4.2</v>
      </c>
      <c r="N71" s="14">
        <v>3.2</v>
      </c>
      <c r="O71" s="14">
        <v>0</v>
      </c>
      <c r="P71" s="14">
        <v>0</v>
      </c>
      <c r="Q71" s="15">
        <v>0.3</v>
      </c>
      <c r="R71" s="14"/>
      <c r="S71" s="14"/>
      <c r="T71" s="14"/>
      <c r="AA71" s="14">
        <v>-5</v>
      </c>
      <c r="AB71" s="14">
        <v>0</v>
      </c>
      <c r="AC71" s="14">
        <v>-5.0999999999999996</v>
      </c>
      <c r="AD71" s="14">
        <v>-3.6</v>
      </c>
      <c r="AE71" s="14">
        <v>7.4</v>
      </c>
      <c r="AF71" s="14">
        <v>7.4</v>
      </c>
    </row>
    <row r="72" spans="3:32" x14ac:dyDescent="0.25">
      <c r="C72" s="2" t="s">
        <v>104</v>
      </c>
      <c r="D72" s="14">
        <v>0</v>
      </c>
      <c r="E72" s="14">
        <v>0</v>
      </c>
      <c r="F72" s="14"/>
      <c r="G72" s="14">
        <v>0</v>
      </c>
      <c r="H72" s="14">
        <v>0</v>
      </c>
      <c r="I72" s="14">
        <v>0</v>
      </c>
      <c r="J72" s="14">
        <v>-0.4</v>
      </c>
      <c r="K72" s="14">
        <v>-3.8</v>
      </c>
      <c r="L72" s="14">
        <v>0</v>
      </c>
      <c r="M72" s="14">
        <v>-1.3</v>
      </c>
      <c r="N72" s="14">
        <v>-1.1000000000000001</v>
      </c>
      <c r="O72" s="14">
        <v>0</v>
      </c>
      <c r="P72" s="14">
        <v>-2.8</v>
      </c>
      <c r="Q72" s="15">
        <v>-2.2999999999999998</v>
      </c>
      <c r="R72" s="14"/>
      <c r="S72" s="14"/>
      <c r="T72" s="14"/>
      <c r="AA72" s="14">
        <v>0</v>
      </c>
      <c r="AB72" s="14">
        <v>0</v>
      </c>
      <c r="AC72" s="14">
        <v>0</v>
      </c>
      <c r="AD72" s="14">
        <v>0</v>
      </c>
      <c r="AE72" s="14">
        <v>-5.4</v>
      </c>
      <c r="AF72" s="14">
        <v>-4</v>
      </c>
    </row>
    <row r="73" spans="3:32" x14ac:dyDescent="0.25">
      <c r="C73" s="2" t="s">
        <v>105</v>
      </c>
      <c r="D73" s="14">
        <v>0</v>
      </c>
      <c r="E73" s="14">
        <v>0</v>
      </c>
      <c r="F73" s="14"/>
      <c r="G73" s="14">
        <v>0</v>
      </c>
      <c r="H73" s="14">
        <v>0</v>
      </c>
      <c r="I73" s="14">
        <v>0</v>
      </c>
      <c r="J73" s="14">
        <v>0</v>
      </c>
      <c r="K73" s="14">
        <v>0.8</v>
      </c>
      <c r="L73" s="14">
        <v>0.5</v>
      </c>
      <c r="M73" s="14">
        <v>0</v>
      </c>
      <c r="N73" s="14">
        <v>-18.5</v>
      </c>
      <c r="O73" s="14">
        <v>0</v>
      </c>
      <c r="P73" s="14">
        <v>-14.9</v>
      </c>
      <c r="Q73" s="15">
        <v>-0.1</v>
      </c>
      <c r="R73" s="14"/>
      <c r="S73" s="14"/>
      <c r="T73" s="14"/>
      <c r="AA73" s="14">
        <v>0</v>
      </c>
      <c r="AB73" s="14">
        <v>0</v>
      </c>
      <c r="AC73" s="14">
        <v>0</v>
      </c>
      <c r="AD73" s="14">
        <v>-2.5000000000000001E-2</v>
      </c>
      <c r="AE73" s="14">
        <v>0</v>
      </c>
      <c r="AF73" s="14">
        <v>1.6</v>
      </c>
    </row>
    <row r="74" spans="3:32" x14ac:dyDescent="0.25">
      <c r="C74" s="2" t="s">
        <v>106</v>
      </c>
      <c r="D74" s="14">
        <v>0</v>
      </c>
      <c r="E74" s="14">
        <v>0</v>
      </c>
      <c r="F74" s="14"/>
      <c r="G74" s="14">
        <v>0</v>
      </c>
      <c r="H74" s="14">
        <v>-1</v>
      </c>
      <c r="I74" s="14">
        <v>0</v>
      </c>
      <c r="J74" s="14">
        <v>0</v>
      </c>
      <c r="K74" s="14">
        <v>0</v>
      </c>
      <c r="L74" s="14">
        <v>0</v>
      </c>
      <c r="M74" s="14">
        <v>0.6</v>
      </c>
      <c r="N74" s="14">
        <v>0.5</v>
      </c>
      <c r="O74" s="14">
        <v>0</v>
      </c>
      <c r="P74" s="14">
        <v>0</v>
      </c>
      <c r="Q74" s="15">
        <v>0</v>
      </c>
      <c r="R74" s="14"/>
      <c r="S74" s="14"/>
      <c r="T74" s="14"/>
      <c r="AA74" s="14">
        <v>0</v>
      </c>
      <c r="AB74" s="14">
        <v>0.86699999999999999</v>
      </c>
      <c r="AC74" s="14">
        <v>0</v>
      </c>
      <c r="AD74" s="14">
        <v>0</v>
      </c>
      <c r="AE74" s="14">
        <v>0</v>
      </c>
      <c r="AF74" s="14">
        <v>-0.1</v>
      </c>
    </row>
    <row r="75" spans="3:32" x14ac:dyDescent="0.25">
      <c r="C75" s="2" t="s">
        <v>107</v>
      </c>
      <c r="D75" s="14">
        <v>0</v>
      </c>
      <c r="E75" s="14">
        <v>0</v>
      </c>
      <c r="F75" s="14"/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5">
        <v>0</v>
      </c>
      <c r="R75" s="14"/>
      <c r="S75" s="14"/>
      <c r="T75" s="14"/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3:32" x14ac:dyDescent="0.25">
      <c r="C76" s="2" t="s">
        <v>108</v>
      </c>
      <c r="D76" s="14">
        <v>0</v>
      </c>
      <c r="E76" s="14">
        <v>0</v>
      </c>
      <c r="F76" s="14"/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5">
        <v>-35.799999999999997</v>
      </c>
      <c r="R76" s="14"/>
      <c r="S76" s="14"/>
      <c r="T76" s="14"/>
      <c r="AA76" s="14">
        <v>0.86699999999999999</v>
      </c>
      <c r="AB76" s="14">
        <v>-5</v>
      </c>
      <c r="AC76" s="14">
        <v>-6.9000000000000006E-2</v>
      </c>
      <c r="AD76" s="14">
        <v>0</v>
      </c>
      <c r="AE76" s="14">
        <v>0</v>
      </c>
      <c r="AF76" s="14">
        <v>0</v>
      </c>
    </row>
    <row r="77" spans="3:32" x14ac:dyDescent="0.25">
      <c r="C77" s="1" t="s">
        <v>109</v>
      </c>
      <c r="D77" s="12">
        <f t="shared" ref="D77:P77" si="96">SUM(D70:D76)</f>
        <v>-1</v>
      </c>
      <c r="E77" s="12">
        <f t="shared" si="96"/>
        <v>0.5</v>
      </c>
      <c r="F77" s="12">
        <f t="shared" si="96"/>
        <v>0</v>
      </c>
      <c r="G77" s="12">
        <f t="shared" si="96"/>
        <v>-2.7</v>
      </c>
      <c r="H77" s="12">
        <f t="shared" si="96"/>
        <v>-2</v>
      </c>
      <c r="I77" s="12">
        <f t="shared" si="96"/>
        <v>4.1000000000000005</v>
      </c>
      <c r="J77" s="12">
        <f t="shared" si="96"/>
        <v>-0.8</v>
      </c>
      <c r="K77" s="12">
        <f t="shared" si="96"/>
        <v>-3.6000000000000005</v>
      </c>
      <c r="L77" s="12">
        <f t="shared" si="96"/>
        <v>-4.3000000000000007</v>
      </c>
      <c r="M77" s="12">
        <f t="shared" si="96"/>
        <v>2</v>
      </c>
      <c r="N77" s="12">
        <f t="shared" si="96"/>
        <v>-17.5</v>
      </c>
      <c r="O77" s="12">
        <f t="shared" si="96"/>
        <v>0</v>
      </c>
      <c r="P77" s="12">
        <f t="shared" si="96"/>
        <v>-17.7</v>
      </c>
      <c r="Q77" s="13">
        <f>SUM(Q70:Q76)</f>
        <v>-37.9</v>
      </c>
      <c r="R77" s="12">
        <f t="shared" ref="R77:S77" si="97">SUM(R70:R76)</f>
        <v>0</v>
      </c>
      <c r="S77" s="12">
        <f t="shared" si="97"/>
        <v>0</v>
      </c>
      <c r="T77" s="12"/>
      <c r="AA77" s="12">
        <f t="shared" ref="AA77:AE77" si="98">SUM(AA70:AA76)</f>
        <v>-21.701999999999998</v>
      </c>
      <c r="AB77" s="12">
        <f t="shared" si="98"/>
        <v>-3.1950000000000003</v>
      </c>
      <c r="AC77" s="12">
        <f t="shared" si="98"/>
        <v>-7.3259999999999996</v>
      </c>
      <c r="AD77" s="12">
        <f t="shared" si="98"/>
        <v>-4.41</v>
      </c>
      <c r="AE77" s="12">
        <f t="shared" si="98"/>
        <v>-2.0999999999999996</v>
      </c>
      <c r="AF77" s="12">
        <f>SUM(AF70:AF76)</f>
        <v>-18.5</v>
      </c>
    </row>
    <row r="78" spans="3:32" x14ac:dyDescent="0.25"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5"/>
      <c r="R78" s="14"/>
      <c r="S78" s="14"/>
      <c r="T78" s="14"/>
      <c r="AA78" s="14"/>
      <c r="AB78" s="14"/>
      <c r="AC78" s="14"/>
      <c r="AD78" s="14"/>
      <c r="AE78" s="14"/>
      <c r="AF78" s="14"/>
    </row>
    <row r="79" spans="3:32" x14ac:dyDescent="0.25">
      <c r="C79" s="2" t="s">
        <v>110</v>
      </c>
      <c r="D79" s="14">
        <v>-4</v>
      </c>
      <c r="E79" s="14">
        <v>-8.6</v>
      </c>
      <c r="F79" s="14"/>
      <c r="G79" s="14">
        <v>-11.3</v>
      </c>
      <c r="H79" s="14">
        <v>-4</v>
      </c>
      <c r="I79" s="14">
        <v>-4</v>
      </c>
      <c r="J79" s="14">
        <v>-4</v>
      </c>
      <c r="K79" s="14">
        <v>-4</v>
      </c>
      <c r="L79" s="14">
        <f>-8.2</f>
        <v>-8.1999999999999993</v>
      </c>
      <c r="M79" s="14">
        <v>-57.8</v>
      </c>
      <c r="N79" s="14">
        <v>0</v>
      </c>
      <c r="O79" s="14">
        <v>0</v>
      </c>
      <c r="P79" s="14">
        <v>0</v>
      </c>
      <c r="Q79" s="15">
        <v>0</v>
      </c>
      <c r="R79" s="14"/>
      <c r="S79" s="14"/>
      <c r="T79" s="14"/>
      <c r="AA79" s="14">
        <v>-42.399000000000001</v>
      </c>
      <c r="AB79" s="14">
        <v>-58.2</v>
      </c>
      <c r="AC79" s="14">
        <v>-14.85</v>
      </c>
      <c r="AD79" s="14">
        <v>-16</v>
      </c>
      <c r="AE79" s="14">
        <v>-16</v>
      </c>
      <c r="AF79" s="14">
        <v>-66</v>
      </c>
    </row>
    <row r="80" spans="3:32" x14ac:dyDescent="0.25">
      <c r="C80" s="2" t="s">
        <v>111</v>
      </c>
      <c r="D80" s="14">
        <v>-2.9</v>
      </c>
      <c r="E80" s="14">
        <v>0</v>
      </c>
      <c r="F80" s="14"/>
      <c r="G80" s="14">
        <v>0</v>
      </c>
      <c r="H80" s="14">
        <v>-4.3</v>
      </c>
      <c r="I80" s="14">
        <v>0</v>
      </c>
      <c r="J80" s="14">
        <v>-4.5999999999999996</v>
      </c>
      <c r="K80" s="14">
        <v>-5.5</v>
      </c>
      <c r="L80" s="14">
        <v>-4.7</v>
      </c>
      <c r="M80" s="14">
        <v>-4.9000000000000004</v>
      </c>
      <c r="N80" s="14">
        <v>-1.8</v>
      </c>
      <c r="O80" s="14">
        <v>-6.3</v>
      </c>
      <c r="P80" s="14">
        <v>-6.4</v>
      </c>
      <c r="Q80" s="15">
        <v>-6.1</v>
      </c>
      <c r="R80" s="14"/>
      <c r="S80" s="14"/>
      <c r="T80" s="14"/>
      <c r="AA80" s="14">
        <v>0</v>
      </c>
      <c r="AB80" s="14">
        <v>-5.8999999999999997E-2</v>
      </c>
      <c r="AC80" s="14">
        <v>-12.792</v>
      </c>
      <c r="AD80" s="14">
        <v>-18.817</v>
      </c>
      <c r="AE80" s="14">
        <v>-18.899999999999999</v>
      </c>
      <c r="AF80" s="14">
        <v>-17.7</v>
      </c>
    </row>
    <row r="81" spans="3:32" x14ac:dyDescent="0.25">
      <c r="C81" s="2" t="s">
        <v>112</v>
      </c>
      <c r="D81" s="14">
        <v>0</v>
      </c>
      <c r="E81" s="14">
        <v>0</v>
      </c>
      <c r="F81" s="14"/>
      <c r="G81" s="14">
        <v>0</v>
      </c>
      <c r="H81" s="14">
        <v>0</v>
      </c>
      <c r="I81" s="14">
        <v>-8.5</v>
      </c>
      <c r="J81" s="14">
        <v>0</v>
      </c>
      <c r="K81" s="14">
        <v>50</v>
      </c>
      <c r="L81" s="14">
        <v>0</v>
      </c>
      <c r="M81" s="14">
        <v>200</v>
      </c>
      <c r="N81" s="14">
        <v>0</v>
      </c>
      <c r="O81" s="14">
        <v>0</v>
      </c>
      <c r="P81" s="14">
        <v>50</v>
      </c>
      <c r="Q81" s="15">
        <v>0</v>
      </c>
      <c r="R81" s="14"/>
      <c r="S81" s="14"/>
      <c r="T81" s="14"/>
      <c r="AA81" s="14">
        <v>43.8</v>
      </c>
      <c r="AB81" s="14">
        <v>27.747</v>
      </c>
      <c r="AC81" s="14">
        <v>0</v>
      </c>
      <c r="AD81" s="14">
        <v>0</v>
      </c>
      <c r="AE81" s="14">
        <v>50</v>
      </c>
      <c r="AF81" s="14">
        <v>200</v>
      </c>
    </row>
    <row r="82" spans="3:32" x14ac:dyDescent="0.25">
      <c r="C82" s="2" t="s">
        <v>113</v>
      </c>
      <c r="D82" s="14">
        <v>0</v>
      </c>
      <c r="E82" s="14">
        <v>0</v>
      </c>
      <c r="F82" s="14"/>
      <c r="G82" s="14">
        <v>0</v>
      </c>
      <c r="H82" s="14">
        <v>0.7</v>
      </c>
      <c r="I82" s="14">
        <v>0</v>
      </c>
      <c r="J82" s="14">
        <v>0</v>
      </c>
      <c r="K82" s="14">
        <v>0</v>
      </c>
      <c r="L82" s="14">
        <v>0</v>
      </c>
      <c r="M82" s="14">
        <v>-2.2000000000000002</v>
      </c>
      <c r="N82" s="14">
        <v>-0.5</v>
      </c>
      <c r="O82" s="14">
        <v>0</v>
      </c>
      <c r="P82" s="14">
        <v>-1.5</v>
      </c>
      <c r="Q82" s="15">
        <v>-0.5</v>
      </c>
      <c r="R82" s="14"/>
      <c r="S82" s="14"/>
      <c r="T82" s="14"/>
      <c r="AA82" s="14">
        <v>0</v>
      </c>
      <c r="AB82" s="14">
        <v>0</v>
      </c>
      <c r="AC82" s="14">
        <v>0</v>
      </c>
      <c r="AD82" s="14">
        <f>0.018-0.033</f>
        <v>-1.5000000000000003E-2</v>
      </c>
      <c r="AE82" s="14">
        <v>0</v>
      </c>
      <c r="AF82" s="14">
        <v>-2.7</v>
      </c>
    </row>
    <row r="83" spans="3:32" x14ac:dyDescent="0.25">
      <c r="C83" s="2" t="s">
        <v>129</v>
      </c>
      <c r="D83" s="14">
        <v>0</v>
      </c>
      <c r="E83" s="14">
        <v>-30</v>
      </c>
      <c r="F83" s="14"/>
      <c r="G83" s="14">
        <v>0</v>
      </c>
      <c r="H83" s="14">
        <v>0</v>
      </c>
      <c r="I83" s="14">
        <v>-67.7</v>
      </c>
      <c r="J83" s="14">
        <v>0</v>
      </c>
      <c r="K83" s="14">
        <v>-15.5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5">
        <v>0</v>
      </c>
      <c r="R83" s="14"/>
      <c r="S83" s="14"/>
      <c r="T83" s="14"/>
      <c r="AA83" s="14">
        <v>-16.7</v>
      </c>
      <c r="AB83" s="14">
        <v>0</v>
      </c>
      <c r="AC83" s="14">
        <v>-7.5</v>
      </c>
      <c r="AD83" s="14">
        <v>0</v>
      </c>
      <c r="AE83" s="14">
        <v>-67.7</v>
      </c>
      <c r="AF83" s="14">
        <v>-31.9</v>
      </c>
    </row>
    <row r="84" spans="3:32" x14ac:dyDescent="0.25">
      <c r="C84" s="2" t="s">
        <v>114</v>
      </c>
      <c r="D84" s="14">
        <v>0</v>
      </c>
      <c r="E84" s="14">
        <v>0</v>
      </c>
      <c r="F84" s="14"/>
      <c r="G84" s="14">
        <v>0</v>
      </c>
      <c r="H84" s="14">
        <v>-2.2000000000000002</v>
      </c>
      <c r="I84" s="14">
        <v>0</v>
      </c>
      <c r="J84" s="14">
        <v>0</v>
      </c>
      <c r="K84" s="14">
        <v>0</v>
      </c>
      <c r="L84" s="14">
        <v>0</v>
      </c>
      <c r="M84" s="14">
        <v>2.1</v>
      </c>
      <c r="N84" s="14">
        <v>0</v>
      </c>
      <c r="O84" s="14">
        <v>-31.9</v>
      </c>
      <c r="P84" s="14">
        <v>0</v>
      </c>
      <c r="Q84" s="15">
        <v>0.4</v>
      </c>
      <c r="R84" s="14"/>
      <c r="S84" s="14"/>
      <c r="T84" s="14"/>
      <c r="AA84" s="14">
        <v>0</v>
      </c>
      <c r="AB84" s="14">
        <v>0</v>
      </c>
      <c r="AC84" s="14">
        <v>0</v>
      </c>
      <c r="AD84" s="14">
        <v>0</v>
      </c>
      <c r="AE84" s="14">
        <v>0.7</v>
      </c>
      <c r="AF84" s="14">
        <v>2.1</v>
      </c>
    </row>
    <row r="85" spans="3:32" x14ac:dyDescent="0.25">
      <c r="C85" s="2" t="s">
        <v>115</v>
      </c>
      <c r="D85" s="14">
        <v>0</v>
      </c>
      <c r="E85" s="14">
        <v>0</v>
      </c>
      <c r="F85" s="14"/>
      <c r="G85" s="14">
        <v>-50</v>
      </c>
      <c r="H85" s="14">
        <v>-3.4</v>
      </c>
      <c r="I85" s="14">
        <v>0</v>
      </c>
      <c r="J85" s="14">
        <v>0</v>
      </c>
      <c r="K85" s="14">
        <v>0</v>
      </c>
      <c r="L85" s="14">
        <v>-6.6</v>
      </c>
      <c r="M85" s="14">
        <v>0</v>
      </c>
      <c r="N85" s="14">
        <v>0</v>
      </c>
      <c r="O85" s="14">
        <v>0</v>
      </c>
      <c r="P85" s="14">
        <v>0</v>
      </c>
      <c r="Q85" s="15">
        <v>0</v>
      </c>
      <c r="R85" s="14"/>
      <c r="S85" s="14"/>
      <c r="T85" s="14"/>
      <c r="AA85" s="14">
        <v>0</v>
      </c>
      <c r="AB85" s="14">
        <v>0</v>
      </c>
      <c r="AC85" s="14">
        <v>0</v>
      </c>
      <c r="AD85" s="14">
        <f>-30-50</f>
        <v>-80</v>
      </c>
      <c r="AE85" s="14">
        <f>-1-18.3-19.7</f>
        <v>-39</v>
      </c>
      <c r="AF85" s="14">
        <f>2.3-6.6-13.1</f>
        <v>-17.399999999999999</v>
      </c>
    </row>
    <row r="86" spans="3:32" x14ac:dyDescent="0.25">
      <c r="C86" s="2" t="s">
        <v>116</v>
      </c>
      <c r="D86" s="14">
        <v>0</v>
      </c>
      <c r="E86" s="14">
        <v>-3.2</v>
      </c>
      <c r="F86" s="14"/>
      <c r="G86" s="14">
        <v>0</v>
      </c>
      <c r="H86" s="14">
        <v>0</v>
      </c>
      <c r="I86" s="14">
        <v>-7.1</v>
      </c>
      <c r="J86" s="14">
        <v>0</v>
      </c>
      <c r="K86" s="14">
        <v>-18.3</v>
      </c>
      <c r="L86" s="14">
        <v>0</v>
      </c>
      <c r="M86" s="14">
        <v>-4.7</v>
      </c>
      <c r="N86" s="14">
        <v>0</v>
      </c>
      <c r="O86" s="14">
        <v>0</v>
      </c>
      <c r="P86" s="14">
        <v>-2.4</v>
      </c>
      <c r="Q86" s="15">
        <v>-1</v>
      </c>
      <c r="R86" s="14"/>
      <c r="S86" s="14"/>
      <c r="T86" s="14"/>
      <c r="AA86" s="14">
        <v>-4.4000000000000004</v>
      </c>
      <c r="AB86" s="14">
        <v>-6.5</v>
      </c>
      <c r="AC86" s="14">
        <v>-5.2</v>
      </c>
      <c r="AD86" s="14">
        <v>-3.2</v>
      </c>
      <c r="AE86" s="14">
        <v>-9.3000000000000007</v>
      </c>
      <c r="AF86" s="14">
        <v>-4.7</v>
      </c>
    </row>
    <row r="87" spans="3:32" x14ac:dyDescent="0.25">
      <c r="C87" s="2" t="s">
        <v>117</v>
      </c>
      <c r="D87" s="14">
        <v>0</v>
      </c>
      <c r="E87" s="14">
        <v>0</v>
      </c>
      <c r="F87" s="14"/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2">
        <v>0</v>
      </c>
      <c r="M87" s="14">
        <v>0.2</v>
      </c>
      <c r="N87" s="14">
        <v>0</v>
      </c>
      <c r="O87" s="14">
        <v>0</v>
      </c>
      <c r="P87" s="14">
        <v>0</v>
      </c>
      <c r="Q87" s="15">
        <v>0</v>
      </c>
      <c r="R87" s="14"/>
      <c r="S87" s="14"/>
      <c r="T87" s="14"/>
      <c r="AA87" s="14">
        <v>0</v>
      </c>
      <c r="AB87" s="14">
        <v>0</v>
      </c>
      <c r="AC87" s="14">
        <v>0.98299999999999998</v>
      </c>
      <c r="AD87" s="14">
        <v>0</v>
      </c>
      <c r="AE87" s="14">
        <v>0</v>
      </c>
      <c r="AF87" s="14">
        <v>0</v>
      </c>
    </row>
    <row r="88" spans="3:32" x14ac:dyDescent="0.25">
      <c r="C88" s="2" t="s">
        <v>118</v>
      </c>
      <c r="D88" s="14">
        <v>0</v>
      </c>
      <c r="E88" s="14">
        <v>0</v>
      </c>
      <c r="F88" s="14"/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2.1</v>
      </c>
      <c r="M88" s="14">
        <v>0</v>
      </c>
      <c r="N88" s="14">
        <v>0</v>
      </c>
      <c r="O88" s="14">
        <v>0</v>
      </c>
      <c r="P88" s="14">
        <v>0</v>
      </c>
      <c r="Q88" s="15">
        <v>-0.2</v>
      </c>
      <c r="R88" s="14"/>
      <c r="S88" s="14"/>
      <c r="T88" s="14"/>
      <c r="AA88" s="14">
        <v>0</v>
      </c>
      <c r="AB88" s="14">
        <v>0</v>
      </c>
      <c r="AC88" s="14">
        <v>3.3</v>
      </c>
      <c r="AD88" s="14">
        <v>0</v>
      </c>
      <c r="AE88" s="14">
        <v>0</v>
      </c>
      <c r="AF88" s="14">
        <v>0</v>
      </c>
    </row>
    <row r="89" spans="3:32" x14ac:dyDescent="0.25">
      <c r="C89" s="2" t="s">
        <v>119</v>
      </c>
      <c r="D89" s="14">
        <v>0</v>
      </c>
      <c r="E89" s="14">
        <v>0</v>
      </c>
      <c r="F89" s="14"/>
      <c r="G89" s="14">
        <v>0</v>
      </c>
      <c r="H89" s="14">
        <v>0</v>
      </c>
      <c r="I89" s="14">
        <v>-15.8</v>
      </c>
      <c r="J89" s="14">
        <v>-0.5</v>
      </c>
      <c r="K89" s="14">
        <v>-1</v>
      </c>
      <c r="L89" s="14">
        <v>-6.3</v>
      </c>
      <c r="M89" s="14">
        <v>-6.8</v>
      </c>
      <c r="N89" s="14">
        <v>0</v>
      </c>
      <c r="O89" s="14">
        <v>0</v>
      </c>
      <c r="P89" s="14">
        <v>-6</v>
      </c>
      <c r="Q89" s="15">
        <v>0</v>
      </c>
      <c r="R89" s="14"/>
      <c r="S89" s="14"/>
      <c r="T89" s="14"/>
      <c r="AA89" s="14">
        <v>-7.3</v>
      </c>
      <c r="AB89" s="14">
        <v>-10.1</v>
      </c>
      <c r="AC89" s="14">
        <v>-26.254000000000001</v>
      </c>
      <c r="AD89" s="14">
        <v>0</v>
      </c>
      <c r="AE89" s="14">
        <v>0</v>
      </c>
      <c r="AF89" s="14">
        <v>0</v>
      </c>
    </row>
    <row r="90" spans="3:32" x14ac:dyDescent="0.25">
      <c r="C90" s="1" t="s">
        <v>120</v>
      </c>
      <c r="D90" s="12">
        <f t="shared" ref="D90:P90" si="99">SUM(D79:D89)</f>
        <v>-6.9</v>
      </c>
      <c r="E90" s="12">
        <f t="shared" si="99"/>
        <v>-41.800000000000004</v>
      </c>
      <c r="F90" s="12">
        <f t="shared" si="99"/>
        <v>0</v>
      </c>
      <c r="G90" s="12">
        <f t="shared" si="99"/>
        <v>-61.3</v>
      </c>
      <c r="H90" s="12">
        <f t="shared" si="99"/>
        <v>-13.200000000000001</v>
      </c>
      <c r="I90" s="12">
        <f t="shared" si="99"/>
        <v>-103.1</v>
      </c>
      <c r="J90" s="12">
        <f t="shared" si="99"/>
        <v>-9.1</v>
      </c>
      <c r="K90" s="12">
        <f t="shared" si="99"/>
        <v>5.6999999999999993</v>
      </c>
      <c r="L90" s="12">
        <f t="shared" si="99"/>
        <v>-23.7</v>
      </c>
      <c r="M90" s="12">
        <f t="shared" si="99"/>
        <v>125.90000000000002</v>
      </c>
      <c r="N90" s="12">
        <f t="shared" si="99"/>
        <v>-2.2999999999999998</v>
      </c>
      <c r="O90" s="12">
        <f t="shared" si="99"/>
        <v>-38.199999999999996</v>
      </c>
      <c r="P90" s="12">
        <f t="shared" si="99"/>
        <v>33.700000000000003</v>
      </c>
      <c r="Q90" s="13">
        <f>SUM(Q79:Q89)</f>
        <v>-7.3999999999999995</v>
      </c>
      <c r="R90" s="12">
        <f t="shared" ref="R90:S90" si="100">SUM(R79:R89)</f>
        <v>0</v>
      </c>
      <c r="S90" s="12">
        <f t="shared" si="100"/>
        <v>0</v>
      </c>
      <c r="T90" s="12"/>
      <c r="U90" s="1"/>
      <c r="V90" s="1"/>
      <c r="W90" s="1"/>
      <c r="X90" s="1"/>
      <c r="Y90" s="1"/>
      <c r="AA90" s="12">
        <f t="shared" ref="AA90:AE90" si="101">SUM(AA79:AA89)</f>
        <v>-26.999000000000006</v>
      </c>
      <c r="AB90" s="12">
        <f t="shared" si="101"/>
        <v>-47.112000000000002</v>
      </c>
      <c r="AC90" s="12">
        <f t="shared" si="101"/>
        <v>-62.313000000000002</v>
      </c>
      <c r="AD90" s="12">
        <f t="shared" si="101"/>
        <v>-118.032</v>
      </c>
      <c r="AE90" s="12">
        <f t="shared" si="101"/>
        <v>-100.2</v>
      </c>
      <c r="AF90" s="12">
        <f>SUM(AF79:AF89)</f>
        <v>61.699999999999974</v>
      </c>
    </row>
    <row r="91" spans="3:32" x14ac:dyDescent="0.25"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5"/>
      <c r="R91" s="14"/>
      <c r="S91" s="14"/>
      <c r="T91" s="14"/>
      <c r="AA91" s="14"/>
      <c r="AB91" s="14"/>
      <c r="AC91" s="14"/>
      <c r="AD91" s="14"/>
      <c r="AE91" s="14"/>
      <c r="AF91" s="14"/>
    </row>
    <row r="92" spans="3:32" x14ac:dyDescent="0.25">
      <c r="C92" s="2" t="s">
        <v>121</v>
      </c>
      <c r="D92" s="14"/>
      <c r="E92" s="14">
        <v>0</v>
      </c>
      <c r="F92" s="14"/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0.2</v>
      </c>
      <c r="P92" s="14">
        <v>-0.7</v>
      </c>
      <c r="Q92" s="15">
        <v>0.3</v>
      </c>
      <c r="R92" s="14"/>
      <c r="S92" s="14"/>
      <c r="T92" s="14"/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0.2</v>
      </c>
    </row>
    <row r="93" spans="3:32" x14ac:dyDescent="0.25"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5"/>
      <c r="R93" s="14"/>
      <c r="S93" s="14"/>
      <c r="T93" s="14"/>
      <c r="AA93" s="14"/>
      <c r="AB93" s="14"/>
      <c r="AC93" s="14"/>
      <c r="AD93" s="14"/>
      <c r="AE93" s="14"/>
      <c r="AF93" s="14"/>
    </row>
    <row r="94" spans="3:32" x14ac:dyDescent="0.25">
      <c r="C94" s="2" t="s">
        <v>122</v>
      </c>
      <c r="D94" s="14">
        <f t="shared" ref="D94:P94" si="102">D68+D77+D90+D92</f>
        <v>78.899999999999991</v>
      </c>
      <c r="E94" s="14">
        <f t="shared" si="102"/>
        <v>38.199999999999996</v>
      </c>
      <c r="F94" s="14">
        <f t="shared" si="102"/>
        <v>0</v>
      </c>
      <c r="G94" s="14">
        <f t="shared" si="102"/>
        <v>61.900000000000006</v>
      </c>
      <c r="H94" s="14">
        <f t="shared" si="102"/>
        <v>64.399999999999991</v>
      </c>
      <c r="I94" s="14">
        <f t="shared" si="102"/>
        <v>-64.8</v>
      </c>
      <c r="J94" s="14">
        <f t="shared" si="102"/>
        <v>-51.1</v>
      </c>
      <c r="K94" s="14">
        <f t="shared" si="102"/>
        <v>48.7</v>
      </c>
      <c r="L94" s="14">
        <f t="shared" si="102"/>
        <v>-43.7</v>
      </c>
      <c r="M94" s="14">
        <f t="shared" si="102"/>
        <v>149.50000000000003</v>
      </c>
      <c r="N94" s="14">
        <f t="shared" si="102"/>
        <v>-66.8</v>
      </c>
      <c r="O94" s="14">
        <f t="shared" si="102"/>
        <v>-9.3999999999999915</v>
      </c>
      <c r="P94" s="14">
        <f t="shared" si="102"/>
        <v>26.600000000000005</v>
      </c>
      <c r="Q94" s="15">
        <f>Q68+Q77+Q90+Q92</f>
        <v>-25.2</v>
      </c>
      <c r="R94" s="14">
        <f t="shared" ref="R94:S94" si="103">R68+R77+R90+R92</f>
        <v>0</v>
      </c>
      <c r="S94" s="14">
        <f t="shared" si="103"/>
        <v>0</v>
      </c>
      <c r="T94" s="14"/>
      <c r="AA94" s="14">
        <f t="shared" ref="AA94" si="104">AA68+AA77+AA90+AA92</f>
        <v>6.3069999999999986</v>
      </c>
      <c r="AB94" s="14">
        <f t="shared" ref="AB94:AE94" si="105">AB68+AB77+AB90+AB92</f>
        <v>18.580000000000005</v>
      </c>
      <c r="AC94" s="14">
        <f t="shared" si="105"/>
        <v>8.3739999999999952</v>
      </c>
      <c r="AD94" s="14">
        <f t="shared" si="105"/>
        <v>29.758000000000024</v>
      </c>
      <c r="AE94" s="14">
        <f t="shared" si="105"/>
        <v>-34.600000000000009</v>
      </c>
      <c r="AF94" s="14">
        <f t="shared" ref="AF94" si="106">AF68+AF77+AF90+AF92</f>
        <v>28.499999999999961</v>
      </c>
    </row>
    <row r="95" spans="3:32" x14ac:dyDescent="0.25"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5"/>
      <c r="R95" s="14"/>
      <c r="S95" s="14"/>
      <c r="T95" s="14"/>
      <c r="AA95" s="14"/>
      <c r="AB95" s="14"/>
      <c r="AC95" s="14"/>
      <c r="AD95" s="14"/>
      <c r="AE95" s="14"/>
      <c r="AF95" s="14"/>
    </row>
    <row r="96" spans="3:32" x14ac:dyDescent="0.25">
      <c r="C96" s="2" t="s">
        <v>123</v>
      </c>
      <c r="D96" s="14">
        <f t="shared" ref="D96:P96" si="107">D68+D70</f>
        <v>85.8</v>
      </c>
      <c r="E96" s="14">
        <f t="shared" si="107"/>
        <v>80</v>
      </c>
      <c r="F96" s="14">
        <f t="shared" si="107"/>
        <v>0</v>
      </c>
      <c r="G96" s="14">
        <f t="shared" si="107"/>
        <v>126.9</v>
      </c>
      <c r="H96" s="14">
        <f t="shared" si="107"/>
        <v>78.599999999999994</v>
      </c>
      <c r="I96" s="14">
        <f t="shared" si="107"/>
        <v>34.599999999999994</v>
      </c>
      <c r="J96" s="14">
        <f t="shared" si="107"/>
        <v>-42</v>
      </c>
      <c r="K96" s="14">
        <f t="shared" si="107"/>
        <v>42.7</v>
      </c>
      <c r="L96" s="14">
        <f t="shared" si="107"/>
        <v>-18.899999999999999</v>
      </c>
      <c r="M96" s="14">
        <f t="shared" si="107"/>
        <v>20.100000000000001</v>
      </c>
      <c r="N96" s="14">
        <f t="shared" si="107"/>
        <v>-48.6</v>
      </c>
      <c r="O96" s="14">
        <f t="shared" si="107"/>
        <v>28.600000000000005</v>
      </c>
      <c r="P96" s="14">
        <f t="shared" si="107"/>
        <v>11.3</v>
      </c>
      <c r="Q96" s="15">
        <f>Q68+Q70</f>
        <v>19.799999999999997</v>
      </c>
      <c r="R96" s="14">
        <f t="shared" ref="R96:S96" si="108">R68+R70</f>
        <v>0</v>
      </c>
      <c r="S96" s="14">
        <f t="shared" si="108"/>
        <v>0</v>
      </c>
      <c r="T96" s="14"/>
      <c r="AA96" s="14">
        <f t="shared" ref="AA96" si="109">AA68+AA70</f>
        <v>37.439000000000007</v>
      </c>
      <c r="AB96" s="14">
        <f t="shared" ref="AB96:AE96" si="110">AB68+AB70</f>
        <v>69.825000000000003</v>
      </c>
      <c r="AC96" s="14">
        <f t="shared" si="110"/>
        <v>75.855999999999995</v>
      </c>
      <c r="AD96" s="14">
        <f t="shared" si="110"/>
        <v>151.41500000000002</v>
      </c>
      <c r="AE96" s="14">
        <f t="shared" si="110"/>
        <v>63.599999999999987</v>
      </c>
      <c r="AF96" s="14">
        <f t="shared" ref="AF96" si="111">AF68+AF70</f>
        <v>-38.300000000000011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E745-DC06-8448-81B5-DC40131426CF}">
  <dimension ref="C4:F6"/>
  <sheetViews>
    <sheetView showGridLines="0" workbookViewId="0">
      <selection activeCell="G10" sqref="G10"/>
    </sheetView>
  </sheetViews>
  <sheetFormatPr baseColWidth="10" defaultRowHeight="16" x14ac:dyDescent="0.2"/>
  <cols>
    <col min="3" max="3" width="29.5" bestFit="1" customWidth="1"/>
    <col min="4" max="4" width="28.5" bestFit="1" customWidth="1"/>
    <col min="5" max="6" width="28.33203125" bestFit="1" customWidth="1"/>
  </cols>
  <sheetData>
    <row r="4" spans="3:6" ht="62" x14ac:dyDescent="0.7">
      <c r="C4" s="26"/>
      <c r="D4" s="26">
        <v>2025</v>
      </c>
      <c r="E4" s="26">
        <v>2026</v>
      </c>
      <c r="F4" s="26">
        <v>2027</v>
      </c>
    </row>
    <row r="5" spans="3:6" ht="62" x14ac:dyDescent="0.7">
      <c r="C5" s="26" t="s">
        <v>29</v>
      </c>
      <c r="D5" s="27">
        <f>Modell!$B$9/Modell!AG11</f>
        <v>17.42469976106285</v>
      </c>
      <c r="E5" s="27">
        <f>Modell!$B$9/Modell!AH11</f>
        <v>15.07062319092641</v>
      </c>
      <c r="F5" s="27">
        <f>Modell!$B$9/Modell!AI11</f>
        <v>13.070963480560168</v>
      </c>
    </row>
    <row r="6" spans="3:6" ht="62" x14ac:dyDescent="0.7">
      <c r="C6" s="26" t="s">
        <v>30</v>
      </c>
      <c r="D6" s="27">
        <f>Modell!$B$4/Modell!AG17</f>
        <v>21.489206091290132</v>
      </c>
      <c r="E6" s="27">
        <f>Modell!$B$4/Modell!AH17</f>
        <v>10.201613591327959</v>
      </c>
      <c r="F6" s="27">
        <f>Modell!$B$4/Modell!AI17</f>
        <v>8.8480029661492132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9286-AFD9-E440-AE41-30BCDBF90EF2}">
  <dimension ref="A3:DD45"/>
  <sheetViews>
    <sheetView showGridLines="0" tabSelected="1" workbookViewId="0">
      <pane xSplit="3" ySplit="3" topLeftCell="I6" activePane="bottomRight" state="frozen"/>
      <selection pane="topRight" activeCell="D1" sqref="D1"/>
      <selection pane="bottomLeft" activeCell="A4" sqref="A4"/>
      <selection pane="bottomRight" activeCell="AA29" sqref="AA29"/>
    </sheetView>
  </sheetViews>
  <sheetFormatPr baseColWidth="10" defaultRowHeight="19" x14ac:dyDescent="0.25"/>
  <cols>
    <col min="1" max="1" width="10.83203125" style="2"/>
    <col min="2" max="2" width="23" style="4" customWidth="1"/>
    <col min="3" max="3" width="31.5" style="2" customWidth="1"/>
    <col min="4" max="25" width="10.83203125" style="2"/>
    <col min="26" max="26" width="14.1640625" style="2" bestFit="1" customWidth="1"/>
    <col min="27" max="27" width="12.1640625" style="2" bestFit="1" customWidth="1"/>
    <col min="28" max="16384" width="10.83203125" style="2"/>
  </cols>
  <sheetData>
    <row r="3" spans="1:108" x14ac:dyDescent="0.25">
      <c r="A3" s="1" t="s">
        <v>138</v>
      </c>
      <c r="D3" s="7" t="s">
        <v>125</v>
      </c>
      <c r="E3" s="7" t="s">
        <v>126</v>
      </c>
      <c r="F3" s="7" t="s">
        <v>127</v>
      </c>
      <c r="G3" s="7" t="s">
        <v>128</v>
      </c>
      <c r="H3" s="7" t="s">
        <v>32</v>
      </c>
      <c r="I3" s="7" t="s">
        <v>33</v>
      </c>
      <c r="J3" s="7" t="s">
        <v>34</v>
      </c>
      <c r="K3" s="7" t="s">
        <v>15</v>
      </c>
      <c r="L3" s="7" t="s">
        <v>16</v>
      </c>
      <c r="M3" s="7" t="s">
        <v>17</v>
      </c>
      <c r="N3" s="1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  <c r="U3" s="7" t="s">
        <v>25</v>
      </c>
      <c r="V3" s="7" t="s">
        <v>26</v>
      </c>
      <c r="W3" s="7" t="s">
        <v>27</v>
      </c>
      <c r="X3" s="7" t="s">
        <v>28</v>
      </c>
    </row>
    <row r="4" spans="1:108" x14ac:dyDescent="0.25">
      <c r="A4" s="1" t="s">
        <v>141</v>
      </c>
      <c r="C4" s="1" t="s">
        <v>51</v>
      </c>
      <c r="D4" s="12">
        <v>382.59199999999998</v>
      </c>
      <c r="E4" s="12">
        <v>488.548</v>
      </c>
      <c r="F4" s="12">
        <v>620.22299999999996</v>
      </c>
      <c r="G4" s="12">
        <v>727.94399999999996</v>
      </c>
      <c r="H4" s="12">
        <v>840.476</v>
      </c>
      <c r="I4" s="12">
        <v>856.55499999999995</v>
      </c>
      <c r="J4" s="12">
        <v>923.40599999999995</v>
      </c>
      <c r="K4" s="12">
        <v>1151.2619999999999</v>
      </c>
      <c r="L4" s="12">
        <v>1142.3</v>
      </c>
      <c r="M4" s="12">
        <v>1129.8</v>
      </c>
      <c r="N4" s="13">
        <f>M4*1.15</f>
        <v>1299.2699999999998</v>
      </c>
      <c r="O4" s="12">
        <f>N4*1</f>
        <v>1299.2699999999998</v>
      </c>
      <c r="P4" s="12">
        <f t="shared" ref="P4:X4" si="0">O4*1</f>
        <v>1299.2699999999998</v>
      </c>
      <c r="Q4" s="12">
        <f t="shared" si="0"/>
        <v>1299.2699999999998</v>
      </c>
      <c r="R4" s="12">
        <f t="shared" si="0"/>
        <v>1299.2699999999998</v>
      </c>
      <c r="S4" s="12">
        <f t="shared" si="0"/>
        <v>1299.2699999999998</v>
      </c>
      <c r="T4" s="12">
        <f t="shared" si="0"/>
        <v>1299.2699999999998</v>
      </c>
      <c r="U4" s="12">
        <f t="shared" si="0"/>
        <v>1299.2699999999998</v>
      </c>
      <c r="V4" s="12">
        <f t="shared" si="0"/>
        <v>1299.2699999999998</v>
      </c>
      <c r="W4" s="12">
        <f t="shared" si="0"/>
        <v>1299.2699999999998</v>
      </c>
      <c r="X4" s="12">
        <f t="shared" si="0"/>
        <v>1299.2699999999998</v>
      </c>
    </row>
    <row r="5" spans="1:108" x14ac:dyDescent="0.25">
      <c r="A5" s="32">
        <f>AA22</f>
        <v>47.151221038185412</v>
      </c>
      <c r="C5" s="2" t="s">
        <v>50</v>
      </c>
      <c r="D5" s="14">
        <v>-61.2</v>
      </c>
      <c r="E5" s="14">
        <v>-72.963999999999999</v>
      </c>
      <c r="F5" s="14">
        <v>-93.355000000000004</v>
      </c>
      <c r="G5" s="14">
        <v>-102.637</v>
      </c>
      <c r="H5" s="14">
        <v>-102.637</v>
      </c>
      <c r="I5" s="14">
        <v>-110.807</v>
      </c>
      <c r="J5" s="14">
        <v>-135.715</v>
      </c>
      <c r="K5" s="14">
        <v>-139.14400000000001</v>
      </c>
      <c r="L5" s="14">
        <v>-123.5</v>
      </c>
      <c r="M5" s="14">
        <v>-142.6</v>
      </c>
      <c r="N5" s="15">
        <f>M5*1.13</f>
        <v>-161.13799999999998</v>
      </c>
      <c r="O5" s="14">
        <f>N5*1.005</f>
        <v>-161.94368999999995</v>
      </c>
      <c r="P5" s="14">
        <f t="shared" ref="P5:X5" si="1">O5*1</f>
        <v>-161.94368999999995</v>
      </c>
      <c r="Q5" s="14">
        <f t="shared" si="1"/>
        <v>-161.94368999999995</v>
      </c>
      <c r="R5" s="14">
        <f t="shared" si="1"/>
        <v>-161.94368999999995</v>
      </c>
      <c r="S5" s="14">
        <f t="shared" si="1"/>
        <v>-161.94368999999995</v>
      </c>
      <c r="T5" s="14">
        <f t="shared" si="1"/>
        <v>-161.94368999999995</v>
      </c>
      <c r="U5" s="14">
        <f t="shared" si="1"/>
        <v>-161.94368999999995</v>
      </c>
      <c r="V5" s="14">
        <f t="shared" si="1"/>
        <v>-161.94368999999995</v>
      </c>
      <c r="W5" s="14">
        <f t="shared" si="1"/>
        <v>-161.94368999999995</v>
      </c>
      <c r="X5" s="14">
        <f t="shared" si="1"/>
        <v>-161.94368999999995</v>
      </c>
    </row>
    <row r="6" spans="1:108" x14ac:dyDescent="0.25">
      <c r="A6" s="18">
        <f>AA23</f>
        <v>-0.11866876564139417</v>
      </c>
      <c r="C6" s="2" t="s">
        <v>52</v>
      </c>
      <c r="D6" s="14">
        <v>-31.6</v>
      </c>
      <c r="E6" s="14">
        <v>-42.488999999999997</v>
      </c>
      <c r="F6" s="14">
        <v>-60.866999999999997</v>
      </c>
      <c r="G6" s="14">
        <v>-75.299000000000007</v>
      </c>
      <c r="H6" s="14">
        <v>-82.275000000000006</v>
      </c>
      <c r="I6" s="14">
        <v>-50.695</v>
      </c>
      <c r="J6" s="14">
        <v>-56.94</v>
      </c>
      <c r="K6" s="14">
        <v>-63.914999999999999</v>
      </c>
      <c r="L6" s="14">
        <v>-74.8</v>
      </c>
      <c r="M6" s="14">
        <v>-86.4</v>
      </c>
      <c r="N6" s="15">
        <f t="shared" ref="N6:N9" si="2">M6*1.13</f>
        <v>-97.631999999999991</v>
      </c>
      <c r="O6" s="14">
        <f t="shared" ref="O6:O9" si="3">N6*1.005</f>
        <v>-98.120159999999984</v>
      </c>
      <c r="P6" s="14">
        <f t="shared" ref="P6:X9" si="4">O6*1</f>
        <v>-98.120159999999984</v>
      </c>
      <c r="Q6" s="14">
        <f t="shared" si="4"/>
        <v>-98.120159999999984</v>
      </c>
      <c r="R6" s="14">
        <f t="shared" si="4"/>
        <v>-98.120159999999984</v>
      </c>
      <c r="S6" s="14">
        <f t="shared" si="4"/>
        <v>-98.120159999999984</v>
      </c>
      <c r="T6" s="14">
        <f t="shared" si="4"/>
        <v>-98.120159999999984</v>
      </c>
      <c r="U6" s="14">
        <f t="shared" si="4"/>
        <v>-98.120159999999984</v>
      </c>
      <c r="V6" s="14">
        <f t="shared" si="4"/>
        <v>-98.120159999999984</v>
      </c>
      <c r="W6" s="14">
        <f t="shared" si="4"/>
        <v>-98.120159999999984</v>
      </c>
      <c r="X6" s="14">
        <f t="shared" si="4"/>
        <v>-98.120159999999984</v>
      </c>
    </row>
    <row r="7" spans="1:108" x14ac:dyDescent="0.25">
      <c r="C7" s="2" t="s">
        <v>53</v>
      </c>
      <c r="D7" s="14">
        <v>-251.22</v>
      </c>
      <c r="E7" s="14">
        <v>-323.726</v>
      </c>
      <c r="F7" s="14">
        <v>-422.51799999999997</v>
      </c>
      <c r="G7" s="14">
        <v>-495.512</v>
      </c>
      <c r="H7" s="14">
        <v>-599.60400000000004</v>
      </c>
      <c r="I7" s="14">
        <v>-625.12699999999995</v>
      </c>
      <c r="J7" s="14">
        <v>-639.89099999999996</v>
      </c>
      <c r="K7" s="14">
        <v>-789.89200000000005</v>
      </c>
      <c r="L7" s="14">
        <v>-836.7</v>
      </c>
      <c r="M7" s="14">
        <v>-843.3</v>
      </c>
      <c r="N7" s="15">
        <f t="shared" si="2"/>
        <v>-952.92899999999986</v>
      </c>
      <c r="O7" s="14">
        <f t="shared" si="3"/>
        <v>-957.69364499999972</v>
      </c>
      <c r="P7" s="14">
        <f t="shared" si="4"/>
        <v>-957.69364499999972</v>
      </c>
      <c r="Q7" s="14">
        <f t="shared" si="4"/>
        <v>-957.69364499999972</v>
      </c>
      <c r="R7" s="14">
        <f t="shared" si="4"/>
        <v>-957.69364499999972</v>
      </c>
      <c r="S7" s="14">
        <f t="shared" si="4"/>
        <v>-957.69364499999972</v>
      </c>
      <c r="T7" s="14">
        <f t="shared" si="4"/>
        <v>-957.69364499999972</v>
      </c>
      <c r="U7" s="14">
        <f t="shared" si="4"/>
        <v>-957.69364499999972</v>
      </c>
      <c r="V7" s="14">
        <f t="shared" si="4"/>
        <v>-957.69364499999972</v>
      </c>
      <c r="W7" s="14">
        <f t="shared" si="4"/>
        <v>-957.69364499999972</v>
      </c>
      <c r="X7" s="14">
        <f t="shared" si="4"/>
        <v>-957.69364499999972</v>
      </c>
    </row>
    <row r="8" spans="1:108" x14ac:dyDescent="0.25">
      <c r="C8" s="2" t="s">
        <v>54</v>
      </c>
      <c r="D8" s="14">
        <v>-4.5</v>
      </c>
      <c r="E8" s="14">
        <v>-5.3</v>
      </c>
      <c r="F8" s="14">
        <v>-6.7</v>
      </c>
      <c r="G8" s="14">
        <v>-6.9</v>
      </c>
      <c r="H8" s="14">
        <v>-24.776</v>
      </c>
      <c r="I8" s="14">
        <v>-27.497</v>
      </c>
      <c r="J8" s="14">
        <v>-20.295999999999999</v>
      </c>
      <c r="K8" s="14">
        <v>-20.640999999999998</v>
      </c>
      <c r="L8" s="14">
        <v>-21.2</v>
      </c>
      <c r="M8" s="14">
        <v>-31.2</v>
      </c>
      <c r="N8" s="15">
        <f t="shared" si="2"/>
        <v>-35.255999999999993</v>
      </c>
      <c r="O8" s="14">
        <f t="shared" si="3"/>
        <v>-35.432279999999992</v>
      </c>
      <c r="P8" s="14">
        <f t="shared" si="4"/>
        <v>-35.432279999999992</v>
      </c>
      <c r="Q8" s="14">
        <f t="shared" si="4"/>
        <v>-35.432279999999992</v>
      </c>
      <c r="R8" s="14">
        <f t="shared" si="4"/>
        <v>-35.432279999999992</v>
      </c>
      <c r="S8" s="14">
        <f t="shared" si="4"/>
        <v>-35.432279999999992</v>
      </c>
      <c r="T8" s="14">
        <f t="shared" si="4"/>
        <v>-35.432279999999992</v>
      </c>
      <c r="U8" s="14">
        <f t="shared" si="4"/>
        <v>-35.432279999999992</v>
      </c>
      <c r="V8" s="14">
        <f t="shared" si="4"/>
        <v>-35.432279999999992</v>
      </c>
      <c r="W8" s="14">
        <f t="shared" si="4"/>
        <v>-35.432279999999992</v>
      </c>
      <c r="X8" s="14">
        <f t="shared" si="4"/>
        <v>-35.432279999999992</v>
      </c>
    </row>
    <row r="9" spans="1:108" x14ac:dyDescent="0.25">
      <c r="C9" s="2" t="s">
        <v>55</v>
      </c>
      <c r="D9" s="14">
        <f>0.128</f>
        <v>0.128</v>
      </c>
      <c r="E9" s="14">
        <f>-5.4+0.169</f>
        <v>-5.2310000000000008</v>
      </c>
      <c r="F9" s="14">
        <v>0.33300000000000002</v>
      </c>
      <c r="G9" s="14">
        <v>0.33300000000000002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5">
        <f t="shared" si="2"/>
        <v>0</v>
      </c>
      <c r="O9" s="14">
        <f t="shared" si="3"/>
        <v>0</v>
      </c>
      <c r="P9" s="14">
        <f t="shared" si="4"/>
        <v>0</v>
      </c>
      <c r="Q9" s="14">
        <f t="shared" si="4"/>
        <v>0</v>
      </c>
      <c r="R9" s="14">
        <f t="shared" si="4"/>
        <v>0</v>
      </c>
      <c r="S9" s="14">
        <f t="shared" si="4"/>
        <v>0</v>
      </c>
      <c r="T9" s="14">
        <f t="shared" si="4"/>
        <v>0</v>
      </c>
      <c r="U9" s="14">
        <f t="shared" si="4"/>
        <v>0</v>
      </c>
      <c r="V9" s="14">
        <f t="shared" si="4"/>
        <v>0</v>
      </c>
      <c r="W9" s="14">
        <f t="shared" si="4"/>
        <v>0</v>
      </c>
      <c r="X9" s="14">
        <f t="shared" si="4"/>
        <v>0</v>
      </c>
    </row>
    <row r="10" spans="1:108" x14ac:dyDescent="0.25">
      <c r="C10" s="2" t="s">
        <v>56</v>
      </c>
      <c r="D10" s="14">
        <f t="shared" ref="D10:X10" si="5">SUM(D5:D9)</f>
        <v>-348.392</v>
      </c>
      <c r="E10" s="14">
        <f t="shared" si="5"/>
        <v>-449.71</v>
      </c>
      <c r="F10" s="14">
        <f t="shared" si="5"/>
        <v>-583.10700000000008</v>
      </c>
      <c r="G10" s="14">
        <f t="shared" si="5"/>
        <v>-680.01499999999999</v>
      </c>
      <c r="H10" s="14">
        <f t="shared" si="5"/>
        <v>-809.29200000000003</v>
      </c>
      <c r="I10" s="14">
        <f t="shared" si="5"/>
        <v>-814.12599999999986</v>
      </c>
      <c r="J10" s="14">
        <f t="shared" si="5"/>
        <v>-852.84199999999998</v>
      </c>
      <c r="K10" s="14">
        <f t="shared" si="5"/>
        <v>-1013.592</v>
      </c>
      <c r="L10" s="14">
        <f t="shared" si="5"/>
        <v>-1056.2</v>
      </c>
      <c r="M10" s="14">
        <f t="shared" si="5"/>
        <v>-1103.5</v>
      </c>
      <c r="N10" s="15">
        <f t="shared" si="5"/>
        <v>-1246.9549999999999</v>
      </c>
      <c r="O10" s="14">
        <f t="shared" si="5"/>
        <v>-1253.1897749999996</v>
      </c>
      <c r="P10" s="14">
        <f t="shared" si="5"/>
        <v>-1253.1897749999996</v>
      </c>
      <c r="Q10" s="14">
        <f t="shared" si="5"/>
        <v>-1253.1897749999996</v>
      </c>
      <c r="R10" s="14">
        <f t="shared" si="5"/>
        <v>-1253.1897749999996</v>
      </c>
      <c r="S10" s="14">
        <f t="shared" si="5"/>
        <v>-1253.1897749999996</v>
      </c>
      <c r="T10" s="14">
        <f t="shared" si="5"/>
        <v>-1253.1897749999996</v>
      </c>
      <c r="U10" s="14">
        <f t="shared" si="5"/>
        <v>-1253.1897749999996</v>
      </c>
      <c r="V10" s="14">
        <f t="shared" si="5"/>
        <v>-1253.1897749999996</v>
      </c>
      <c r="W10" s="14">
        <f t="shared" si="5"/>
        <v>-1253.1897749999996</v>
      </c>
      <c r="X10" s="14">
        <f t="shared" si="5"/>
        <v>-1253.1897749999996</v>
      </c>
    </row>
    <row r="11" spans="1:108" x14ac:dyDescent="0.25">
      <c r="C11" s="1" t="s">
        <v>57</v>
      </c>
      <c r="D11" s="12">
        <f t="shared" ref="D11:X11" si="6">D4+D10</f>
        <v>34.199999999999989</v>
      </c>
      <c r="E11" s="12">
        <f t="shared" si="6"/>
        <v>38.838000000000022</v>
      </c>
      <c r="F11" s="12">
        <f t="shared" si="6"/>
        <v>37.115999999999872</v>
      </c>
      <c r="G11" s="12">
        <f t="shared" si="6"/>
        <v>47.928999999999974</v>
      </c>
      <c r="H11" s="12">
        <f t="shared" si="6"/>
        <v>31.183999999999969</v>
      </c>
      <c r="I11" s="12">
        <f t="shared" si="6"/>
        <v>42.429000000000087</v>
      </c>
      <c r="J11" s="12">
        <f t="shared" si="6"/>
        <v>70.563999999999965</v>
      </c>
      <c r="K11" s="12">
        <f t="shared" si="6"/>
        <v>137.66999999999996</v>
      </c>
      <c r="L11" s="12">
        <f t="shared" si="6"/>
        <v>86.099999999999909</v>
      </c>
      <c r="M11" s="12">
        <f t="shared" si="6"/>
        <v>26.299999999999955</v>
      </c>
      <c r="N11" s="13">
        <f t="shared" si="6"/>
        <v>52.314999999999827</v>
      </c>
      <c r="O11" s="12">
        <f t="shared" si="6"/>
        <v>46.080225000000155</v>
      </c>
      <c r="P11" s="12">
        <f t="shared" si="6"/>
        <v>46.080225000000155</v>
      </c>
      <c r="Q11" s="12">
        <f t="shared" si="6"/>
        <v>46.080225000000155</v>
      </c>
      <c r="R11" s="12">
        <f t="shared" si="6"/>
        <v>46.080225000000155</v>
      </c>
      <c r="S11" s="12">
        <f t="shared" si="6"/>
        <v>46.080225000000155</v>
      </c>
      <c r="T11" s="12">
        <f t="shared" si="6"/>
        <v>46.080225000000155</v>
      </c>
      <c r="U11" s="12">
        <f t="shared" si="6"/>
        <v>46.080225000000155</v>
      </c>
      <c r="V11" s="12">
        <f t="shared" si="6"/>
        <v>46.080225000000155</v>
      </c>
      <c r="W11" s="12">
        <f t="shared" si="6"/>
        <v>46.080225000000155</v>
      </c>
      <c r="X11" s="12">
        <f t="shared" si="6"/>
        <v>46.080225000000155</v>
      </c>
    </row>
    <row r="12" spans="1:108" x14ac:dyDescent="0.25">
      <c r="C12" s="2" t="s">
        <v>58</v>
      </c>
      <c r="D12" s="14">
        <v>-1</v>
      </c>
      <c r="E12" s="14">
        <f>0.116-0.985</f>
        <v>-0.86899999999999999</v>
      </c>
      <c r="F12" s="14">
        <f>-1.7-1.7</f>
        <v>-3.4</v>
      </c>
      <c r="G12" s="14">
        <f>-4-2.6</f>
        <v>-6.6</v>
      </c>
      <c r="H12" s="14">
        <f>-1.2-4.3</f>
        <v>-5.5</v>
      </c>
      <c r="I12" s="14">
        <f>0.179-1.8-5</f>
        <v>-6.6210000000000004</v>
      </c>
      <c r="J12" s="14">
        <f>0.113-2.9-3.2</f>
        <v>-5.9870000000000001</v>
      </c>
      <c r="K12" s="14">
        <f>2.1+7-3</f>
        <v>6.1</v>
      </c>
      <c r="L12" s="14">
        <f>1.4-3.9+4.7</f>
        <v>2.2000000000000002</v>
      </c>
      <c r="M12" s="14">
        <f>2.3-17.7+4.3+77.8</f>
        <v>66.7</v>
      </c>
      <c r="N12" s="15">
        <v>-23.6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</row>
    <row r="13" spans="1:108" x14ac:dyDescent="0.25">
      <c r="C13" s="2" t="s">
        <v>59</v>
      </c>
      <c r="D13" s="14">
        <f t="shared" ref="D13:X13" si="7">SUM(D11:D12)</f>
        <v>33.199999999999989</v>
      </c>
      <c r="E13" s="14">
        <f t="shared" si="7"/>
        <v>37.969000000000023</v>
      </c>
      <c r="F13" s="14">
        <f t="shared" si="7"/>
        <v>33.715999999999873</v>
      </c>
      <c r="G13" s="14">
        <f t="shared" si="7"/>
        <v>41.328999999999972</v>
      </c>
      <c r="H13" s="14">
        <f t="shared" si="7"/>
        <v>25.683999999999969</v>
      </c>
      <c r="I13" s="14">
        <f t="shared" si="7"/>
        <v>35.808000000000085</v>
      </c>
      <c r="J13" s="14">
        <f t="shared" si="7"/>
        <v>64.57699999999997</v>
      </c>
      <c r="K13" s="14">
        <f t="shared" si="7"/>
        <v>143.76999999999995</v>
      </c>
      <c r="L13" s="14">
        <f t="shared" si="7"/>
        <v>88.299999999999912</v>
      </c>
      <c r="M13" s="14">
        <f t="shared" si="7"/>
        <v>92.999999999999957</v>
      </c>
      <c r="N13" s="15">
        <f t="shared" si="7"/>
        <v>28.714999999999826</v>
      </c>
      <c r="O13" s="14">
        <f t="shared" si="7"/>
        <v>46.080225000000155</v>
      </c>
      <c r="P13" s="14">
        <f t="shared" si="7"/>
        <v>46.080225000000155</v>
      </c>
      <c r="Q13" s="14">
        <f t="shared" si="7"/>
        <v>46.080225000000155</v>
      </c>
      <c r="R13" s="14">
        <f t="shared" si="7"/>
        <v>46.080225000000155</v>
      </c>
      <c r="S13" s="14">
        <f t="shared" si="7"/>
        <v>46.080225000000155</v>
      </c>
      <c r="T13" s="14">
        <f t="shared" si="7"/>
        <v>46.080225000000155</v>
      </c>
      <c r="U13" s="14">
        <f t="shared" si="7"/>
        <v>46.080225000000155</v>
      </c>
      <c r="V13" s="14">
        <f t="shared" si="7"/>
        <v>46.080225000000155</v>
      </c>
      <c r="W13" s="14">
        <f t="shared" si="7"/>
        <v>46.080225000000155</v>
      </c>
      <c r="X13" s="14">
        <f t="shared" si="7"/>
        <v>46.080225000000155</v>
      </c>
    </row>
    <row r="14" spans="1:108" x14ac:dyDescent="0.25">
      <c r="C14" s="2" t="s">
        <v>60</v>
      </c>
      <c r="D14" s="14">
        <v>-8.5</v>
      </c>
      <c r="E14" s="14">
        <v>-10.5</v>
      </c>
      <c r="F14" s="14">
        <v>-7.2</v>
      </c>
      <c r="G14" s="14">
        <v>-12.1</v>
      </c>
      <c r="H14" s="14">
        <v>-8.1999999999999993</v>
      </c>
      <c r="I14" s="14">
        <v>-8</v>
      </c>
      <c r="J14" s="14">
        <v>-14.711</v>
      </c>
      <c r="K14" s="14">
        <v>-29.195</v>
      </c>
      <c r="L14" s="14">
        <v>-19.899999999999999</v>
      </c>
      <c r="M14" s="14">
        <v>-7.3</v>
      </c>
      <c r="N14" s="15">
        <f>N13*-0.21</f>
        <v>-6.0301499999999635</v>
      </c>
      <c r="O14" s="14">
        <f t="shared" ref="O14:X14" si="8">O13*-0.21</f>
        <v>-9.6768472500000318</v>
      </c>
      <c r="P14" s="14">
        <f t="shared" si="8"/>
        <v>-9.6768472500000318</v>
      </c>
      <c r="Q14" s="14">
        <f t="shared" si="8"/>
        <v>-9.6768472500000318</v>
      </c>
      <c r="R14" s="14">
        <f t="shared" si="8"/>
        <v>-9.6768472500000318</v>
      </c>
      <c r="S14" s="14">
        <f t="shared" si="8"/>
        <v>-9.6768472500000318</v>
      </c>
      <c r="T14" s="14">
        <f t="shared" si="8"/>
        <v>-9.6768472500000318</v>
      </c>
      <c r="U14" s="14">
        <f t="shared" si="8"/>
        <v>-9.6768472500000318</v>
      </c>
      <c r="V14" s="14">
        <f t="shared" si="8"/>
        <v>-9.6768472500000318</v>
      </c>
      <c r="W14" s="14">
        <f t="shared" si="8"/>
        <v>-9.6768472500000318</v>
      </c>
      <c r="X14" s="14">
        <f t="shared" si="8"/>
        <v>-9.6768472500000318</v>
      </c>
    </row>
    <row r="15" spans="1:108" x14ac:dyDescent="0.25">
      <c r="C15" s="1" t="s">
        <v>61</v>
      </c>
      <c r="D15" s="12">
        <f t="shared" ref="D15:X15" si="9">SUM(D13:D14)</f>
        <v>24.699999999999989</v>
      </c>
      <c r="E15" s="12">
        <f t="shared" si="9"/>
        <v>27.469000000000023</v>
      </c>
      <c r="F15" s="12">
        <f t="shared" si="9"/>
        <v>26.515999999999874</v>
      </c>
      <c r="G15" s="12">
        <f t="shared" si="9"/>
        <v>29.228999999999971</v>
      </c>
      <c r="H15" s="12">
        <f t="shared" si="9"/>
        <v>17.48399999999997</v>
      </c>
      <c r="I15" s="12">
        <f t="shared" si="9"/>
        <v>27.808000000000085</v>
      </c>
      <c r="J15" s="12">
        <f t="shared" si="9"/>
        <v>49.865999999999971</v>
      </c>
      <c r="K15" s="12">
        <f t="shared" si="9"/>
        <v>114.57499999999996</v>
      </c>
      <c r="L15" s="12">
        <f t="shared" si="9"/>
        <v>68.39999999999992</v>
      </c>
      <c r="M15" s="12">
        <f t="shared" si="9"/>
        <v>85.69999999999996</v>
      </c>
      <c r="N15" s="13">
        <f t="shared" si="9"/>
        <v>22.684849999999862</v>
      </c>
      <c r="O15" s="12">
        <f t="shared" si="9"/>
        <v>36.403377750000125</v>
      </c>
      <c r="P15" s="12">
        <f t="shared" si="9"/>
        <v>36.403377750000125</v>
      </c>
      <c r="Q15" s="12">
        <f t="shared" si="9"/>
        <v>36.403377750000125</v>
      </c>
      <c r="R15" s="12">
        <f t="shared" si="9"/>
        <v>36.403377750000125</v>
      </c>
      <c r="S15" s="12">
        <f t="shared" si="9"/>
        <v>36.403377750000125</v>
      </c>
      <c r="T15" s="12">
        <f t="shared" si="9"/>
        <v>36.403377750000125</v>
      </c>
      <c r="U15" s="12">
        <f t="shared" si="9"/>
        <v>36.403377750000125</v>
      </c>
      <c r="V15" s="12">
        <f t="shared" si="9"/>
        <v>36.403377750000125</v>
      </c>
      <c r="W15" s="12">
        <f t="shared" si="9"/>
        <v>36.403377750000125</v>
      </c>
      <c r="X15" s="12">
        <f t="shared" si="9"/>
        <v>36.403377750000125</v>
      </c>
      <c r="Y15" s="12">
        <f>X15*(1+$AA$19)</f>
        <v>36.03934397250012</v>
      </c>
      <c r="Z15" s="12">
        <f t="shared" ref="Z15:CK15" si="10">Y15*(1+$AA$19)</f>
        <v>35.678950532775119</v>
      </c>
      <c r="AA15" s="12">
        <f t="shared" si="10"/>
        <v>35.322161027447365</v>
      </c>
      <c r="AB15" s="12">
        <f t="shared" si="10"/>
        <v>34.968939417172891</v>
      </c>
      <c r="AC15" s="12">
        <f t="shared" si="10"/>
        <v>34.619250023001165</v>
      </c>
      <c r="AD15" s="12">
        <f t="shared" si="10"/>
        <v>34.273057522771154</v>
      </c>
      <c r="AE15" s="12">
        <f t="shared" si="10"/>
        <v>33.930326947543442</v>
      </c>
      <c r="AF15" s="12">
        <f t="shared" si="10"/>
        <v>33.591023678068005</v>
      </c>
      <c r="AG15" s="12">
        <f t="shared" si="10"/>
        <v>33.255113441287328</v>
      </c>
      <c r="AH15" s="12">
        <f t="shared" si="10"/>
        <v>32.922562306874454</v>
      </c>
      <c r="AI15" s="12">
        <f t="shared" si="10"/>
        <v>32.59333668380571</v>
      </c>
      <c r="AJ15" s="12">
        <f t="shared" si="10"/>
        <v>32.267403316967652</v>
      </c>
      <c r="AK15" s="12">
        <f t="shared" si="10"/>
        <v>31.944729283797976</v>
      </c>
      <c r="AL15" s="12">
        <f t="shared" si="10"/>
        <v>31.625281990959994</v>
      </c>
      <c r="AM15" s="12">
        <f t="shared" si="10"/>
        <v>31.309029171050394</v>
      </c>
      <c r="AN15" s="12">
        <f t="shared" si="10"/>
        <v>30.995938879339889</v>
      </c>
      <c r="AO15" s="12">
        <f t="shared" si="10"/>
        <v>30.68597949054649</v>
      </c>
      <c r="AP15" s="12">
        <f t="shared" si="10"/>
        <v>30.379119695641027</v>
      </c>
      <c r="AQ15" s="12">
        <f t="shared" si="10"/>
        <v>30.075328498684616</v>
      </c>
      <c r="AR15" s="12">
        <f t="shared" si="10"/>
        <v>29.774575213697769</v>
      </c>
      <c r="AS15" s="12">
        <f t="shared" si="10"/>
        <v>29.47682946156079</v>
      </c>
      <c r="AT15" s="12">
        <f t="shared" si="10"/>
        <v>29.182061166945182</v>
      </c>
      <c r="AU15" s="12">
        <f t="shared" si="10"/>
        <v>28.890240555275732</v>
      </c>
      <c r="AV15" s="12">
        <f t="shared" si="10"/>
        <v>28.601338149722974</v>
      </c>
      <c r="AW15" s="12">
        <f t="shared" si="10"/>
        <v>28.315324768225743</v>
      </c>
      <c r="AX15" s="12">
        <f t="shared" si="10"/>
        <v>28.032171520543486</v>
      </c>
      <c r="AY15" s="12">
        <f t="shared" si="10"/>
        <v>27.75184980533805</v>
      </c>
      <c r="AZ15" s="12">
        <f t="shared" si="10"/>
        <v>27.474331307284668</v>
      </c>
      <c r="BA15" s="12">
        <f t="shared" si="10"/>
        <v>27.199587994211821</v>
      </c>
      <c r="BB15" s="12">
        <f t="shared" si="10"/>
        <v>26.927592114269704</v>
      </c>
      <c r="BC15" s="12">
        <f t="shared" si="10"/>
        <v>26.658316193127007</v>
      </c>
      <c r="BD15" s="12">
        <f t="shared" si="10"/>
        <v>26.391733031195738</v>
      </c>
      <c r="BE15" s="12">
        <f t="shared" si="10"/>
        <v>26.127815700883779</v>
      </c>
      <c r="BF15" s="12">
        <f t="shared" si="10"/>
        <v>25.866537543874941</v>
      </c>
      <c r="BG15" s="12">
        <f t="shared" si="10"/>
        <v>25.607872168436192</v>
      </c>
      <c r="BH15" s="12">
        <f t="shared" si="10"/>
        <v>25.351793446751831</v>
      </c>
      <c r="BI15" s="12">
        <f t="shared" si="10"/>
        <v>25.098275512284314</v>
      </c>
      <c r="BJ15" s="12">
        <f t="shared" si="10"/>
        <v>24.847292757161469</v>
      </c>
      <c r="BK15" s="12">
        <f t="shared" si="10"/>
        <v>24.598819829589853</v>
      </c>
      <c r="BL15" s="12">
        <f t="shared" si="10"/>
        <v>24.352831631293956</v>
      </c>
      <c r="BM15" s="12">
        <f t="shared" si="10"/>
        <v>24.109303314981016</v>
      </c>
      <c r="BN15" s="12">
        <f t="shared" si="10"/>
        <v>23.868210281831207</v>
      </c>
      <c r="BO15" s="12">
        <f t="shared" si="10"/>
        <v>23.629528179012894</v>
      </c>
      <c r="BP15" s="12">
        <f t="shared" si="10"/>
        <v>23.393232897222767</v>
      </c>
      <c r="BQ15" s="12">
        <f t="shared" si="10"/>
        <v>23.15930056825054</v>
      </c>
      <c r="BR15" s="12">
        <f t="shared" si="10"/>
        <v>22.927707562568035</v>
      </c>
      <c r="BS15" s="12">
        <f t="shared" si="10"/>
        <v>22.698430486942353</v>
      </c>
      <c r="BT15" s="12">
        <f t="shared" si="10"/>
        <v>22.471446182072931</v>
      </c>
      <c r="BU15" s="12">
        <f t="shared" si="10"/>
        <v>22.246731720252203</v>
      </c>
      <c r="BV15" s="12">
        <f t="shared" si="10"/>
        <v>22.024264403049681</v>
      </c>
      <c r="BW15" s="12">
        <f t="shared" si="10"/>
        <v>21.804021759019186</v>
      </c>
      <c r="BX15" s="12">
        <f t="shared" si="10"/>
        <v>21.585981541428993</v>
      </c>
      <c r="BY15" s="12">
        <f t="shared" si="10"/>
        <v>21.370121726014702</v>
      </c>
      <c r="BZ15" s="12">
        <f t="shared" si="10"/>
        <v>21.156420508754554</v>
      </c>
      <c r="CA15" s="12">
        <f t="shared" si="10"/>
        <v>20.944856303667009</v>
      </c>
      <c r="CB15" s="12">
        <f t="shared" si="10"/>
        <v>20.73540774063034</v>
      </c>
      <c r="CC15" s="12">
        <f t="shared" si="10"/>
        <v>20.528053663224036</v>
      </c>
      <c r="CD15" s="12">
        <f t="shared" si="10"/>
        <v>20.322773126591795</v>
      </c>
      <c r="CE15" s="12">
        <f t="shared" si="10"/>
        <v>20.119545395325876</v>
      </c>
      <c r="CF15" s="12">
        <f t="shared" si="10"/>
        <v>19.918349941372618</v>
      </c>
      <c r="CG15" s="12">
        <f t="shared" si="10"/>
        <v>19.71916644195889</v>
      </c>
      <c r="CH15" s="12">
        <f t="shared" si="10"/>
        <v>19.521974777539302</v>
      </c>
      <c r="CI15" s="12">
        <f t="shared" si="10"/>
        <v>19.326755029763909</v>
      </c>
      <c r="CJ15" s="12">
        <f t="shared" si="10"/>
        <v>19.133487479466268</v>
      </c>
      <c r="CK15" s="12">
        <f t="shared" si="10"/>
        <v>18.942152604671605</v>
      </c>
      <c r="CL15" s="12">
        <f t="shared" ref="CL15:DD15" si="11">CK15*(1+$AA$19)</f>
        <v>18.75273107862489</v>
      </c>
      <c r="CM15" s="12">
        <f t="shared" si="11"/>
        <v>18.565203767838643</v>
      </c>
      <c r="CN15" s="12">
        <f t="shared" si="11"/>
        <v>18.379551730160255</v>
      </c>
      <c r="CO15" s="12">
        <f t="shared" si="11"/>
        <v>18.195756212858651</v>
      </c>
      <c r="CP15" s="12">
        <f t="shared" si="11"/>
        <v>18.013798650730063</v>
      </c>
      <c r="CQ15" s="12">
        <f t="shared" si="11"/>
        <v>17.833660664222762</v>
      </c>
      <c r="CR15" s="12">
        <f t="shared" si="11"/>
        <v>17.655324057580536</v>
      </c>
      <c r="CS15" s="12">
        <f t="shared" si="11"/>
        <v>17.47877081700473</v>
      </c>
      <c r="CT15" s="12">
        <f t="shared" si="11"/>
        <v>17.303983108834682</v>
      </c>
      <c r="CU15" s="12">
        <f t="shared" si="11"/>
        <v>17.130943277746336</v>
      </c>
      <c r="CV15" s="12">
        <f t="shared" si="11"/>
        <v>16.959633844968874</v>
      </c>
      <c r="CW15" s="12">
        <f t="shared" si="11"/>
        <v>16.790037506519184</v>
      </c>
      <c r="CX15" s="12">
        <f t="shared" si="11"/>
        <v>16.622137131453993</v>
      </c>
      <c r="CY15" s="12">
        <f t="shared" si="11"/>
        <v>16.455915760139455</v>
      </c>
      <c r="CZ15" s="12">
        <f t="shared" si="11"/>
        <v>16.291356602538059</v>
      </c>
      <c r="DA15" s="12">
        <f t="shared" si="11"/>
        <v>16.128443036512678</v>
      </c>
      <c r="DB15" s="12">
        <f t="shared" si="11"/>
        <v>15.967158606147551</v>
      </c>
      <c r="DC15" s="12">
        <f t="shared" si="11"/>
        <v>15.807487020086075</v>
      </c>
      <c r="DD15" s="12">
        <f t="shared" si="11"/>
        <v>15.649412149885213</v>
      </c>
    </row>
    <row r="16" spans="1:108" x14ac:dyDescent="0.25">
      <c r="C16" s="2" t="s">
        <v>49</v>
      </c>
      <c r="D16" s="9">
        <v>5.25</v>
      </c>
      <c r="E16" s="9">
        <v>6.4953960000000004</v>
      </c>
      <c r="F16" s="9">
        <v>7.3533759999999999</v>
      </c>
      <c r="G16" s="9">
        <v>7.4128759999999998</v>
      </c>
      <c r="H16" s="9">
        <v>7.4843409999999997</v>
      </c>
      <c r="I16" s="9">
        <v>7.9431620000000001</v>
      </c>
      <c r="J16" s="9">
        <v>8.5141860000000005</v>
      </c>
      <c r="K16" s="9">
        <v>8.7339190000000002</v>
      </c>
      <c r="L16" s="2">
        <v>8.5</v>
      </c>
      <c r="M16" s="9">
        <v>8.7046100000000006</v>
      </c>
      <c r="N16" s="8">
        <v>9.1117647999999996</v>
      </c>
      <c r="O16" s="9">
        <v>9.1117647999999996</v>
      </c>
      <c r="P16" s="9">
        <v>9.1117647999999996</v>
      </c>
      <c r="Q16" s="9">
        <v>9.1117647999999996</v>
      </c>
      <c r="R16" s="9">
        <v>9.1117647999999996</v>
      </c>
      <c r="S16" s="9">
        <v>9.1117647999999996</v>
      </c>
      <c r="T16" s="9">
        <v>9.1117647999999996</v>
      </c>
      <c r="U16" s="9">
        <v>9.1117647999999996</v>
      </c>
      <c r="V16" s="9">
        <v>9.1117647999999996</v>
      </c>
      <c r="W16" s="9">
        <v>9.1117647999999996</v>
      </c>
      <c r="X16" s="9">
        <v>9.1117647999999996</v>
      </c>
    </row>
    <row r="17" spans="1:27" x14ac:dyDescent="0.25">
      <c r="C17" s="2" t="s">
        <v>48</v>
      </c>
      <c r="D17" s="19">
        <f t="shared" ref="D17:K17" si="12">D15/D16</f>
        <v>4.7047619047619023</v>
      </c>
      <c r="E17" s="19">
        <f t="shared" si="12"/>
        <v>4.2289954299938017</v>
      </c>
      <c r="F17" s="19">
        <f t="shared" si="12"/>
        <v>3.6059627577863385</v>
      </c>
      <c r="G17" s="19">
        <f t="shared" si="12"/>
        <v>3.943004037839021</v>
      </c>
      <c r="H17" s="19">
        <f t="shared" si="12"/>
        <v>2.3360774181721506</v>
      </c>
      <c r="I17" s="19">
        <f t="shared" si="12"/>
        <v>3.5008728262120408</v>
      </c>
      <c r="J17" s="19">
        <f t="shared" si="12"/>
        <v>5.8568135579842826</v>
      </c>
      <c r="K17" s="19">
        <f t="shared" si="12"/>
        <v>13.118395075566873</v>
      </c>
      <c r="L17" s="19">
        <f>L15/L16</f>
        <v>8.0470588235294027</v>
      </c>
      <c r="M17" s="19">
        <f>M15/M16</f>
        <v>9.8453578046575263</v>
      </c>
      <c r="N17" s="22">
        <f t="shared" ref="N17:X17" si="13">N15/N16</f>
        <v>2.4896219884867818</v>
      </c>
      <c r="O17" s="19">
        <f t="shared" si="13"/>
        <v>3.9952060384614105</v>
      </c>
      <c r="P17" s="19">
        <f t="shared" si="13"/>
        <v>3.9952060384614105</v>
      </c>
      <c r="Q17" s="19">
        <f t="shared" si="13"/>
        <v>3.9952060384614105</v>
      </c>
      <c r="R17" s="19">
        <f t="shared" si="13"/>
        <v>3.9952060384614105</v>
      </c>
      <c r="S17" s="19">
        <f t="shared" si="13"/>
        <v>3.9952060384614105</v>
      </c>
      <c r="T17" s="19">
        <f t="shared" si="13"/>
        <v>3.9952060384614105</v>
      </c>
      <c r="U17" s="19">
        <f t="shared" si="13"/>
        <v>3.9952060384614105</v>
      </c>
      <c r="V17" s="19">
        <f t="shared" si="13"/>
        <v>3.9952060384614105</v>
      </c>
      <c r="W17" s="19">
        <f t="shared" si="13"/>
        <v>3.9952060384614105</v>
      </c>
      <c r="X17" s="19">
        <f t="shared" si="13"/>
        <v>3.9952060384614105</v>
      </c>
    </row>
    <row r="18" spans="1:27" x14ac:dyDescent="0.25">
      <c r="H18" s="19"/>
      <c r="I18" s="19"/>
      <c r="J18" s="19"/>
      <c r="K18" s="19"/>
      <c r="L18" s="19"/>
      <c r="M18" s="19"/>
      <c r="N18" s="8"/>
      <c r="O18" s="9"/>
      <c r="P18" s="9"/>
      <c r="Q18" s="9"/>
      <c r="R18" s="9"/>
      <c r="S18" s="9"/>
      <c r="T18" s="9"/>
      <c r="U18" s="9"/>
      <c r="V18" s="9"/>
      <c r="W18" s="9"/>
      <c r="X18" s="9"/>
      <c r="Z18" s="2" t="s">
        <v>131</v>
      </c>
      <c r="AA18" s="29">
        <v>0.08</v>
      </c>
    </row>
    <row r="19" spans="1:27" x14ac:dyDescent="0.25">
      <c r="C19" s="1" t="s">
        <v>43</v>
      </c>
      <c r="E19" s="18">
        <f t="shared" ref="E19:L19" si="14">(E4-D4)/D4</f>
        <v>0.27694253931080637</v>
      </c>
      <c r="F19" s="18">
        <f t="shared" si="14"/>
        <v>0.26952315842046215</v>
      </c>
      <c r="G19" s="18">
        <f t="shared" si="14"/>
        <v>0.17368107922473047</v>
      </c>
      <c r="H19" s="18">
        <f t="shared" si="14"/>
        <v>0.15458881452419423</v>
      </c>
      <c r="I19" s="18">
        <f t="shared" si="14"/>
        <v>1.9130825865342913E-2</v>
      </c>
      <c r="J19" s="18">
        <f t="shared" si="14"/>
        <v>7.8046360128654901E-2</v>
      </c>
      <c r="K19" s="18">
        <f t="shared" si="14"/>
        <v>0.24675603147477926</v>
      </c>
      <c r="L19" s="18">
        <f t="shared" si="14"/>
        <v>-7.7845008347361324E-3</v>
      </c>
      <c r="M19" s="18">
        <f>(M4-L4)/L4</f>
        <v>-1.0942834631883043E-2</v>
      </c>
      <c r="N19" s="23">
        <f t="shared" ref="N19:X19" si="15">(N4-M4)/M4</f>
        <v>0.14999999999999983</v>
      </c>
      <c r="O19" s="18">
        <f t="shared" si="15"/>
        <v>0</v>
      </c>
      <c r="P19" s="18">
        <f t="shared" si="15"/>
        <v>0</v>
      </c>
      <c r="Q19" s="18">
        <f t="shared" si="15"/>
        <v>0</v>
      </c>
      <c r="R19" s="18">
        <f t="shared" si="15"/>
        <v>0</v>
      </c>
      <c r="S19" s="18">
        <f t="shared" si="15"/>
        <v>0</v>
      </c>
      <c r="T19" s="18">
        <f t="shared" si="15"/>
        <v>0</v>
      </c>
      <c r="U19" s="18">
        <f t="shared" si="15"/>
        <v>0</v>
      </c>
      <c r="V19" s="18">
        <f t="shared" si="15"/>
        <v>0</v>
      </c>
      <c r="W19" s="18">
        <f t="shared" si="15"/>
        <v>0</v>
      </c>
      <c r="X19" s="18">
        <f t="shared" si="15"/>
        <v>0</v>
      </c>
      <c r="Z19" s="2" t="s">
        <v>132</v>
      </c>
      <c r="AA19" s="29">
        <v>-0.01</v>
      </c>
    </row>
    <row r="20" spans="1:27" x14ac:dyDescent="0.25">
      <c r="C20" s="1" t="s">
        <v>62</v>
      </c>
      <c r="D20" s="18"/>
      <c r="E20" s="18">
        <f t="shared" ref="E20:L20" si="16">(E10-D10)/D10</f>
        <v>0.29081609221796134</v>
      </c>
      <c r="F20" s="18">
        <f t="shared" si="16"/>
        <v>0.29662893864935203</v>
      </c>
      <c r="G20" s="18">
        <f t="shared" si="16"/>
        <v>0.16619248268328093</v>
      </c>
      <c r="H20" s="18">
        <f t="shared" si="16"/>
        <v>0.19010904171231524</v>
      </c>
      <c r="I20" s="18">
        <f t="shared" si="16"/>
        <v>5.9731221858115892E-3</v>
      </c>
      <c r="J20" s="18">
        <f t="shared" si="16"/>
        <v>4.7555292424022975E-2</v>
      </c>
      <c r="K20" s="18">
        <f t="shared" si="16"/>
        <v>0.18848743378023128</v>
      </c>
      <c r="L20" s="18">
        <f t="shared" si="16"/>
        <v>4.2036638016085426E-2</v>
      </c>
      <c r="M20" s="18">
        <f>(M10-L10)/L10</f>
        <v>4.4783185002840328E-2</v>
      </c>
      <c r="N20" s="23">
        <f t="shared" ref="N20:X20" si="17">(N10-M10)/M10</f>
        <v>0.12999999999999992</v>
      </c>
      <c r="O20" s="18">
        <f t="shared" si="17"/>
        <v>4.9999999999997373E-3</v>
      </c>
      <c r="P20" s="18">
        <f t="shared" si="17"/>
        <v>0</v>
      </c>
      <c r="Q20" s="18">
        <f t="shared" si="17"/>
        <v>0</v>
      </c>
      <c r="R20" s="18">
        <f t="shared" si="17"/>
        <v>0</v>
      </c>
      <c r="S20" s="18">
        <f t="shared" si="17"/>
        <v>0</v>
      </c>
      <c r="T20" s="18">
        <f t="shared" si="17"/>
        <v>0</v>
      </c>
      <c r="U20" s="18">
        <f t="shared" si="17"/>
        <v>0</v>
      </c>
      <c r="V20" s="18">
        <f t="shared" si="17"/>
        <v>0</v>
      </c>
      <c r="W20" s="18">
        <f t="shared" si="17"/>
        <v>0</v>
      </c>
      <c r="X20" s="18">
        <f t="shared" si="17"/>
        <v>0</v>
      </c>
      <c r="Z20" s="28" t="s">
        <v>133</v>
      </c>
      <c r="AA20" s="30">
        <f>NPV(AA18,O15:DD15)</f>
        <v>429.62532887014004</v>
      </c>
    </row>
    <row r="21" spans="1:27" x14ac:dyDescent="0.25">
      <c r="C21" s="2" t="s">
        <v>44</v>
      </c>
      <c r="D21" s="20">
        <f t="shared" ref="D21:L21" si="18">D11/D4</f>
        <v>8.9390264302442263E-2</v>
      </c>
      <c r="E21" s="20">
        <f t="shared" si="18"/>
        <v>7.9496794583132108E-2</v>
      </c>
      <c r="F21" s="20">
        <f t="shared" si="18"/>
        <v>5.9842991956118807E-2</v>
      </c>
      <c r="G21" s="20">
        <f t="shared" si="18"/>
        <v>6.5841603200246138E-2</v>
      </c>
      <c r="H21" s="20">
        <f t="shared" si="18"/>
        <v>3.7102784612529055E-2</v>
      </c>
      <c r="I21" s="20">
        <f t="shared" si="18"/>
        <v>4.9534472392315836E-2</v>
      </c>
      <c r="J21" s="20">
        <f t="shared" si="18"/>
        <v>7.641709064051995E-2</v>
      </c>
      <c r="K21" s="20">
        <f t="shared" si="18"/>
        <v>0.11958181543384561</v>
      </c>
      <c r="L21" s="20">
        <f t="shared" si="18"/>
        <v>7.5374244944410321E-2</v>
      </c>
      <c r="M21" s="20">
        <f>M11/M4</f>
        <v>2.3278456363958182E-2</v>
      </c>
      <c r="N21" s="21">
        <f t="shared" ref="N21:X21" si="19">N11/N4</f>
        <v>4.0264917992410998E-2</v>
      </c>
      <c r="O21" s="20">
        <f t="shared" si="19"/>
        <v>3.5466242582373304E-2</v>
      </c>
      <c r="P21" s="20">
        <f t="shared" si="19"/>
        <v>3.5466242582373304E-2</v>
      </c>
      <c r="Q21" s="20">
        <f t="shared" si="19"/>
        <v>3.5466242582373304E-2</v>
      </c>
      <c r="R21" s="20">
        <f t="shared" si="19"/>
        <v>3.5466242582373304E-2</v>
      </c>
      <c r="S21" s="20">
        <f t="shared" si="19"/>
        <v>3.5466242582373304E-2</v>
      </c>
      <c r="T21" s="20">
        <f t="shared" si="19"/>
        <v>3.5466242582373304E-2</v>
      </c>
      <c r="U21" s="20">
        <f t="shared" si="19"/>
        <v>3.5466242582373304E-2</v>
      </c>
      <c r="V21" s="20">
        <f t="shared" si="19"/>
        <v>3.5466242582373304E-2</v>
      </c>
      <c r="W21" s="20">
        <f t="shared" si="19"/>
        <v>3.5466242582373304E-2</v>
      </c>
      <c r="X21" s="20">
        <f t="shared" si="19"/>
        <v>3.5466242582373304E-2</v>
      </c>
      <c r="Z21" s="2" t="s">
        <v>2</v>
      </c>
      <c r="AA21" s="9">
        <v>9.1116480000000006</v>
      </c>
    </row>
    <row r="22" spans="1:27" x14ac:dyDescent="0.25">
      <c r="H22" s="10"/>
      <c r="I22" s="10"/>
      <c r="J22" s="10"/>
      <c r="K22" s="10"/>
      <c r="L22" s="10"/>
      <c r="M22" s="10"/>
      <c r="N22" s="4"/>
      <c r="Z22" s="2" t="s">
        <v>134</v>
      </c>
      <c r="AA22" s="31">
        <f>AA20/AA21</f>
        <v>47.151221038185412</v>
      </c>
    </row>
    <row r="23" spans="1:27" s="28" customFormat="1" x14ac:dyDescent="0.25">
      <c r="B23" s="33"/>
      <c r="H23" s="34"/>
      <c r="I23" s="34"/>
      <c r="J23" s="34"/>
      <c r="K23" s="34"/>
      <c r="L23" s="34"/>
      <c r="M23" s="34"/>
      <c r="N23" s="33"/>
      <c r="Z23" s="35" t="s">
        <v>135</v>
      </c>
      <c r="AA23" s="36">
        <f>(AA22-Modell!$B$4)/Modell!$B$4</f>
        <v>-0.11866876564139417</v>
      </c>
    </row>
    <row r="25" spans="1:27" x14ac:dyDescent="0.25">
      <c r="A25" s="1" t="s">
        <v>138</v>
      </c>
      <c r="D25" s="7" t="s">
        <v>125</v>
      </c>
      <c r="E25" s="7" t="s">
        <v>126</v>
      </c>
      <c r="F25" s="7" t="s">
        <v>127</v>
      </c>
      <c r="G25" s="7" t="s">
        <v>128</v>
      </c>
      <c r="H25" s="7" t="s">
        <v>32</v>
      </c>
      <c r="I25" s="7" t="s">
        <v>33</v>
      </c>
      <c r="J25" s="7" t="s">
        <v>34</v>
      </c>
      <c r="K25" s="7" t="s">
        <v>15</v>
      </c>
      <c r="L25" s="7" t="s">
        <v>16</v>
      </c>
      <c r="M25" s="7" t="s">
        <v>17</v>
      </c>
      <c r="N25" s="1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  <c r="V25" s="7" t="s">
        <v>26</v>
      </c>
      <c r="W25" s="7" t="s">
        <v>27</v>
      </c>
      <c r="X25" s="7" t="s">
        <v>28</v>
      </c>
    </row>
    <row r="26" spans="1:27" x14ac:dyDescent="0.25">
      <c r="A26" s="1" t="s">
        <v>141</v>
      </c>
      <c r="C26" s="1" t="s">
        <v>51</v>
      </c>
      <c r="D26" s="12">
        <v>382.59199999999998</v>
      </c>
      <c r="E26" s="12">
        <v>488.548</v>
      </c>
      <c r="F26" s="12">
        <v>620.22299999999996</v>
      </c>
      <c r="G26" s="12">
        <v>727.94399999999996</v>
      </c>
      <c r="H26" s="12">
        <v>840.476</v>
      </c>
      <c r="I26" s="12">
        <v>856.55499999999995</v>
      </c>
      <c r="J26" s="12">
        <v>923.40599999999995</v>
      </c>
      <c r="K26" s="12">
        <v>1151.2619999999999</v>
      </c>
      <c r="L26" s="12">
        <v>1142.3</v>
      </c>
      <c r="M26" s="12">
        <v>1129.8</v>
      </c>
      <c r="N26" s="13">
        <f>M26*1.15</f>
        <v>1299.2699999999998</v>
      </c>
      <c r="O26" s="12">
        <f>N26*1</f>
        <v>1299.2699999999998</v>
      </c>
      <c r="P26" s="12">
        <f t="shared" ref="P26:X26" si="20">O26*1</f>
        <v>1299.2699999999998</v>
      </c>
      <c r="Q26" s="12">
        <f t="shared" si="20"/>
        <v>1299.2699999999998</v>
      </c>
      <c r="R26" s="12">
        <f t="shared" si="20"/>
        <v>1299.2699999999998</v>
      </c>
      <c r="S26" s="12">
        <f t="shared" si="20"/>
        <v>1299.2699999999998</v>
      </c>
      <c r="T26" s="12">
        <f t="shared" si="20"/>
        <v>1299.2699999999998</v>
      </c>
      <c r="U26" s="12">
        <f t="shared" si="20"/>
        <v>1299.2699999999998</v>
      </c>
      <c r="V26" s="12">
        <f t="shared" si="20"/>
        <v>1299.2699999999998</v>
      </c>
      <c r="W26" s="12">
        <f t="shared" si="20"/>
        <v>1299.2699999999998</v>
      </c>
      <c r="X26" s="12">
        <f t="shared" si="20"/>
        <v>1299.2699999999998</v>
      </c>
    </row>
    <row r="27" spans="1:27" x14ac:dyDescent="0.25">
      <c r="A27" s="32">
        <f>AA44</f>
        <v>34.39185390626028</v>
      </c>
      <c r="C27" s="2" t="s">
        <v>50</v>
      </c>
      <c r="D27" s="14">
        <v>-61.2</v>
      </c>
      <c r="E27" s="14">
        <v>-72.963999999999999</v>
      </c>
      <c r="F27" s="14">
        <v>-93.355000000000004</v>
      </c>
      <c r="G27" s="14">
        <v>-102.637</v>
      </c>
      <c r="H27" s="14">
        <v>-102.637</v>
      </c>
      <c r="I27" s="14">
        <v>-110.807</v>
      </c>
      <c r="J27" s="14">
        <v>-135.715</v>
      </c>
      <c r="K27" s="14">
        <v>-139.14400000000001</v>
      </c>
      <c r="L27" s="14">
        <v>-123.5</v>
      </c>
      <c r="M27" s="14">
        <v>-142.6</v>
      </c>
      <c r="N27" s="15">
        <f>M27*1.13</f>
        <v>-161.13799999999998</v>
      </c>
      <c r="O27" s="14">
        <f>N27*1.015</f>
        <v>-163.55506999999997</v>
      </c>
      <c r="P27" s="14">
        <f t="shared" ref="P27:X27" si="21">O27*1</f>
        <v>-163.55506999999997</v>
      </c>
      <c r="Q27" s="14">
        <f t="shared" si="21"/>
        <v>-163.55506999999997</v>
      </c>
      <c r="R27" s="14">
        <f t="shared" si="21"/>
        <v>-163.55506999999997</v>
      </c>
      <c r="S27" s="14">
        <f t="shared" si="21"/>
        <v>-163.55506999999997</v>
      </c>
      <c r="T27" s="14">
        <f t="shared" si="21"/>
        <v>-163.55506999999997</v>
      </c>
      <c r="U27" s="14">
        <f t="shared" si="21"/>
        <v>-163.55506999999997</v>
      </c>
      <c r="V27" s="14">
        <f t="shared" si="21"/>
        <v>-163.55506999999997</v>
      </c>
      <c r="W27" s="14">
        <f t="shared" si="21"/>
        <v>-163.55506999999997</v>
      </c>
      <c r="X27" s="14">
        <f t="shared" si="21"/>
        <v>-163.55506999999997</v>
      </c>
    </row>
    <row r="28" spans="1:27" x14ac:dyDescent="0.25">
      <c r="A28" s="18">
        <f>AA45</f>
        <v>-0.35716160922877982</v>
      </c>
      <c r="C28" s="2" t="s">
        <v>52</v>
      </c>
      <c r="D28" s="14">
        <v>-31.6</v>
      </c>
      <c r="E28" s="14">
        <v>-42.488999999999997</v>
      </c>
      <c r="F28" s="14">
        <v>-60.866999999999997</v>
      </c>
      <c r="G28" s="14">
        <v>-75.299000000000007</v>
      </c>
      <c r="H28" s="14">
        <v>-82.275000000000006</v>
      </c>
      <c r="I28" s="14">
        <v>-50.695</v>
      </c>
      <c r="J28" s="14">
        <v>-56.94</v>
      </c>
      <c r="K28" s="14">
        <v>-63.914999999999999</v>
      </c>
      <c r="L28" s="14">
        <v>-74.8</v>
      </c>
      <c r="M28" s="14">
        <v>-86.4</v>
      </c>
      <c r="N28" s="15">
        <f t="shared" ref="N28:N31" si="22">M28*1.13</f>
        <v>-97.631999999999991</v>
      </c>
      <c r="O28" s="14">
        <f t="shared" ref="O28:O31" si="23">N28*1.015</f>
        <v>-99.096479999999985</v>
      </c>
      <c r="P28" s="14">
        <f t="shared" ref="P28:X28" si="24">O28*1</f>
        <v>-99.096479999999985</v>
      </c>
      <c r="Q28" s="14">
        <f t="shared" si="24"/>
        <v>-99.096479999999985</v>
      </c>
      <c r="R28" s="14">
        <f t="shared" si="24"/>
        <v>-99.096479999999985</v>
      </c>
      <c r="S28" s="14">
        <f t="shared" si="24"/>
        <v>-99.096479999999985</v>
      </c>
      <c r="T28" s="14">
        <f t="shared" si="24"/>
        <v>-99.096479999999985</v>
      </c>
      <c r="U28" s="14">
        <f t="shared" si="24"/>
        <v>-99.096479999999985</v>
      </c>
      <c r="V28" s="14">
        <f t="shared" si="24"/>
        <v>-99.096479999999985</v>
      </c>
      <c r="W28" s="14">
        <f t="shared" si="24"/>
        <v>-99.096479999999985</v>
      </c>
      <c r="X28" s="14">
        <f t="shared" si="24"/>
        <v>-99.096479999999985</v>
      </c>
    </row>
    <row r="29" spans="1:27" x14ac:dyDescent="0.25">
      <c r="C29" s="2" t="s">
        <v>53</v>
      </c>
      <c r="D29" s="14">
        <v>-251.22</v>
      </c>
      <c r="E29" s="14">
        <v>-323.726</v>
      </c>
      <c r="F29" s="14">
        <v>-422.51799999999997</v>
      </c>
      <c r="G29" s="14">
        <v>-495.512</v>
      </c>
      <c r="H29" s="14">
        <v>-599.60400000000004</v>
      </c>
      <c r="I29" s="14">
        <v>-625.12699999999995</v>
      </c>
      <c r="J29" s="14">
        <v>-639.89099999999996</v>
      </c>
      <c r="K29" s="14">
        <v>-789.89200000000005</v>
      </c>
      <c r="L29" s="14">
        <v>-836.7</v>
      </c>
      <c r="M29" s="14">
        <v>-843.3</v>
      </c>
      <c r="N29" s="15">
        <f t="shared" si="22"/>
        <v>-952.92899999999986</v>
      </c>
      <c r="O29" s="14">
        <f t="shared" si="23"/>
        <v>-967.22293499999978</v>
      </c>
      <c r="P29" s="14">
        <f t="shared" ref="P29:X29" si="25">O29*1</f>
        <v>-967.22293499999978</v>
      </c>
      <c r="Q29" s="14">
        <f t="shared" si="25"/>
        <v>-967.22293499999978</v>
      </c>
      <c r="R29" s="14">
        <f t="shared" si="25"/>
        <v>-967.22293499999978</v>
      </c>
      <c r="S29" s="14">
        <f t="shared" si="25"/>
        <v>-967.22293499999978</v>
      </c>
      <c r="T29" s="14">
        <f t="shared" si="25"/>
        <v>-967.22293499999978</v>
      </c>
      <c r="U29" s="14">
        <f t="shared" si="25"/>
        <v>-967.22293499999978</v>
      </c>
      <c r="V29" s="14">
        <f t="shared" si="25"/>
        <v>-967.22293499999978</v>
      </c>
      <c r="W29" s="14">
        <f t="shared" si="25"/>
        <v>-967.22293499999978</v>
      </c>
      <c r="X29" s="14">
        <f t="shared" si="25"/>
        <v>-967.22293499999978</v>
      </c>
    </row>
    <row r="30" spans="1:27" x14ac:dyDescent="0.25">
      <c r="C30" s="2" t="s">
        <v>54</v>
      </c>
      <c r="D30" s="14">
        <v>-4.5</v>
      </c>
      <c r="E30" s="14">
        <v>-5.3</v>
      </c>
      <c r="F30" s="14">
        <v>-6.7</v>
      </c>
      <c r="G30" s="14">
        <v>-6.9</v>
      </c>
      <c r="H30" s="14">
        <v>-24.776</v>
      </c>
      <c r="I30" s="14">
        <v>-27.497</v>
      </c>
      <c r="J30" s="14">
        <v>-20.295999999999999</v>
      </c>
      <c r="K30" s="14">
        <v>-20.640999999999998</v>
      </c>
      <c r="L30" s="14">
        <v>-21.2</v>
      </c>
      <c r="M30" s="14">
        <v>-31.2</v>
      </c>
      <c r="N30" s="15">
        <f t="shared" si="22"/>
        <v>-35.255999999999993</v>
      </c>
      <c r="O30" s="14">
        <f t="shared" si="23"/>
        <v>-35.784839999999988</v>
      </c>
      <c r="P30" s="14">
        <f t="shared" ref="P30:X30" si="26">O30*1</f>
        <v>-35.784839999999988</v>
      </c>
      <c r="Q30" s="14">
        <f t="shared" si="26"/>
        <v>-35.784839999999988</v>
      </c>
      <c r="R30" s="14">
        <f t="shared" si="26"/>
        <v>-35.784839999999988</v>
      </c>
      <c r="S30" s="14">
        <f t="shared" si="26"/>
        <v>-35.784839999999988</v>
      </c>
      <c r="T30" s="14">
        <f t="shared" si="26"/>
        <v>-35.784839999999988</v>
      </c>
      <c r="U30" s="14">
        <f t="shared" si="26"/>
        <v>-35.784839999999988</v>
      </c>
      <c r="V30" s="14">
        <f t="shared" si="26"/>
        <v>-35.784839999999988</v>
      </c>
      <c r="W30" s="14">
        <f t="shared" si="26"/>
        <v>-35.784839999999988</v>
      </c>
      <c r="X30" s="14">
        <f t="shared" si="26"/>
        <v>-35.784839999999988</v>
      </c>
    </row>
    <row r="31" spans="1:27" x14ac:dyDescent="0.25">
      <c r="C31" s="2" t="s">
        <v>55</v>
      </c>
      <c r="D31" s="14">
        <f>0.128</f>
        <v>0.128</v>
      </c>
      <c r="E31" s="14">
        <f>-5.4+0.169</f>
        <v>-5.2310000000000008</v>
      </c>
      <c r="F31" s="14">
        <v>0.33300000000000002</v>
      </c>
      <c r="G31" s="14">
        <v>0.33300000000000002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5">
        <f t="shared" si="22"/>
        <v>0</v>
      </c>
      <c r="O31" s="14">
        <f t="shared" si="23"/>
        <v>0</v>
      </c>
      <c r="P31" s="14">
        <f t="shared" ref="P31:X31" si="27">O31*1</f>
        <v>0</v>
      </c>
      <c r="Q31" s="14">
        <f t="shared" si="27"/>
        <v>0</v>
      </c>
      <c r="R31" s="14">
        <f t="shared" si="27"/>
        <v>0</v>
      </c>
      <c r="S31" s="14">
        <f t="shared" si="27"/>
        <v>0</v>
      </c>
      <c r="T31" s="14">
        <f t="shared" si="27"/>
        <v>0</v>
      </c>
      <c r="U31" s="14">
        <f t="shared" si="27"/>
        <v>0</v>
      </c>
      <c r="V31" s="14">
        <f t="shared" si="27"/>
        <v>0</v>
      </c>
      <c r="W31" s="14">
        <f t="shared" si="27"/>
        <v>0</v>
      </c>
      <c r="X31" s="14">
        <f t="shared" si="27"/>
        <v>0</v>
      </c>
    </row>
    <row r="32" spans="1:27" x14ac:dyDescent="0.25">
      <c r="C32" s="2" t="s">
        <v>56</v>
      </c>
      <c r="D32" s="14">
        <f t="shared" ref="D32:X32" si="28">SUM(D27:D31)</f>
        <v>-348.392</v>
      </c>
      <c r="E32" s="14">
        <f t="shared" si="28"/>
        <v>-449.71</v>
      </c>
      <c r="F32" s="14">
        <f t="shared" si="28"/>
        <v>-583.10700000000008</v>
      </c>
      <c r="G32" s="14">
        <f t="shared" si="28"/>
        <v>-680.01499999999999</v>
      </c>
      <c r="H32" s="14">
        <f t="shared" si="28"/>
        <v>-809.29200000000003</v>
      </c>
      <c r="I32" s="14">
        <f t="shared" si="28"/>
        <v>-814.12599999999986</v>
      </c>
      <c r="J32" s="14">
        <f t="shared" si="28"/>
        <v>-852.84199999999998</v>
      </c>
      <c r="K32" s="14">
        <f t="shared" si="28"/>
        <v>-1013.592</v>
      </c>
      <c r="L32" s="14">
        <f t="shared" si="28"/>
        <v>-1056.2</v>
      </c>
      <c r="M32" s="14">
        <f t="shared" si="28"/>
        <v>-1103.5</v>
      </c>
      <c r="N32" s="15">
        <f t="shared" si="28"/>
        <v>-1246.9549999999999</v>
      </c>
      <c r="O32" s="14">
        <f t="shared" si="28"/>
        <v>-1265.6593249999999</v>
      </c>
      <c r="P32" s="14">
        <f t="shared" si="28"/>
        <v>-1265.6593249999999</v>
      </c>
      <c r="Q32" s="14">
        <f t="shared" si="28"/>
        <v>-1265.6593249999999</v>
      </c>
      <c r="R32" s="14">
        <f t="shared" si="28"/>
        <v>-1265.6593249999999</v>
      </c>
      <c r="S32" s="14">
        <f t="shared" si="28"/>
        <v>-1265.6593249999999</v>
      </c>
      <c r="T32" s="14">
        <f t="shared" si="28"/>
        <v>-1265.6593249999999</v>
      </c>
      <c r="U32" s="14">
        <f t="shared" si="28"/>
        <v>-1265.6593249999999</v>
      </c>
      <c r="V32" s="14">
        <f t="shared" si="28"/>
        <v>-1265.6593249999999</v>
      </c>
      <c r="W32" s="14">
        <f t="shared" si="28"/>
        <v>-1265.6593249999999</v>
      </c>
      <c r="X32" s="14">
        <f t="shared" si="28"/>
        <v>-1265.6593249999999</v>
      </c>
    </row>
    <row r="33" spans="2:108" x14ac:dyDescent="0.25">
      <c r="C33" s="1" t="s">
        <v>57</v>
      </c>
      <c r="D33" s="12">
        <f t="shared" ref="D33:X33" si="29">D26+D32</f>
        <v>34.199999999999989</v>
      </c>
      <c r="E33" s="12">
        <f t="shared" si="29"/>
        <v>38.838000000000022</v>
      </c>
      <c r="F33" s="12">
        <f t="shared" si="29"/>
        <v>37.115999999999872</v>
      </c>
      <c r="G33" s="12">
        <f t="shared" si="29"/>
        <v>47.928999999999974</v>
      </c>
      <c r="H33" s="12">
        <f t="shared" si="29"/>
        <v>31.183999999999969</v>
      </c>
      <c r="I33" s="12">
        <f t="shared" si="29"/>
        <v>42.429000000000087</v>
      </c>
      <c r="J33" s="12">
        <f t="shared" si="29"/>
        <v>70.563999999999965</v>
      </c>
      <c r="K33" s="12">
        <f t="shared" si="29"/>
        <v>137.66999999999996</v>
      </c>
      <c r="L33" s="12">
        <f t="shared" si="29"/>
        <v>86.099999999999909</v>
      </c>
      <c r="M33" s="12">
        <f t="shared" si="29"/>
        <v>26.299999999999955</v>
      </c>
      <c r="N33" s="13">
        <f t="shared" si="29"/>
        <v>52.314999999999827</v>
      </c>
      <c r="O33" s="12">
        <f t="shared" si="29"/>
        <v>33.610674999999901</v>
      </c>
      <c r="P33" s="12">
        <f t="shared" si="29"/>
        <v>33.610674999999901</v>
      </c>
      <c r="Q33" s="12">
        <f t="shared" si="29"/>
        <v>33.610674999999901</v>
      </c>
      <c r="R33" s="12">
        <f t="shared" si="29"/>
        <v>33.610674999999901</v>
      </c>
      <c r="S33" s="12">
        <f t="shared" si="29"/>
        <v>33.610674999999901</v>
      </c>
      <c r="T33" s="12">
        <f t="shared" si="29"/>
        <v>33.610674999999901</v>
      </c>
      <c r="U33" s="12">
        <f t="shared" si="29"/>
        <v>33.610674999999901</v>
      </c>
      <c r="V33" s="12">
        <f t="shared" si="29"/>
        <v>33.610674999999901</v>
      </c>
      <c r="W33" s="12">
        <f t="shared" si="29"/>
        <v>33.610674999999901</v>
      </c>
      <c r="X33" s="12">
        <f t="shared" si="29"/>
        <v>33.610674999999901</v>
      </c>
    </row>
    <row r="34" spans="2:108" x14ac:dyDescent="0.25">
      <c r="C34" s="2" t="s">
        <v>58</v>
      </c>
      <c r="D34" s="14">
        <v>-1</v>
      </c>
      <c r="E34" s="14">
        <f>0.116-0.985</f>
        <v>-0.86899999999999999</v>
      </c>
      <c r="F34" s="14">
        <f>-1.7-1.7</f>
        <v>-3.4</v>
      </c>
      <c r="G34" s="14">
        <f>-4-2.6</f>
        <v>-6.6</v>
      </c>
      <c r="H34" s="14">
        <f>-1.2-4.3</f>
        <v>-5.5</v>
      </c>
      <c r="I34" s="14">
        <f>0.179-1.8-5</f>
        <v>-6.6210000000000004</v>
      </c>
      <c r="J34" s="14">
        <f>0.113-2.9-3.2</f>
        <v>-5.9870000000000001</v>
      </c>
      <c r="K34" s="14">
        <f>2.1+7-3</f>
        <v>6.1</v>
      </c>
      <c r="L34" s="14">
        <f>1.4-3.9+4.7</f>
        <v>2.2000000000000002</v>
      </c>
      <c r="M34" s="14">
        <f>2.3-17.7+4.3+77.8</f>
        <v>66.7</v>
      </c>
      <c r="N34" s="15">
        <v>-23.6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</row>
    <row r="35" spans="2:108" x14ac:dyDescent="0.25">
      <c r="C35" s="2" t="s">
        <v>59</v>
      </c>
      <c r="D35" s="14">
        <f t="shared" ref="D35:X35" si="30">SUM(D33:D34)</f>
        <v>33.199999999999989</v>
      </c>
      <c r="E35" s="14">
        <f t="shared" si="30"/>
        <v>37.969000000000023</v>
      </c>
      <c r="F35" s="14">
        <f t="shared" si="30"/>
        <v>33.715999999999873</v>
      </c>
      <c r="G35" s="14">
        <f t="shared" si="30"/>
        <v>41.328999999999972</v>
      </c>
      <c r="H35" s="14">
        <f t="shared" si="30"/>
        <v>25.683999999999969</v>
      </c>
      <c r="I35" s="14">
        <f t="shared" si="30"/>
        <v>35.808000000000085</v>
      </c>
      <c r="J35" s="14">
        <f t="shared" si="30"/>
        <v>64.57699999999997</v>
      </c>
      <c r="K35" s="14">
        <f t="shared" si="30"/>
        <v>143.76999999999995</v>
      </c>
      <c r="L35" s="14">
        <f t="shared" si="30"/>
        <v>88.299999999999912</v>
      </c>
      <c r="M35" s="14">
        <f t="shared" si="30"/>
        <v>92.999999999999957</v>
      </c>
      <c r="N35" s="15">
        <f t="shared" si="30"/>
        <v>28.714999999999826</v>
      </c>
      <c r="O35" s="14">
        <f t="shared" si="30"/>
        <v>33.610674999999901</v>
      </c>
      <c r="P35" s="14">
        <f t="shared" si="30"/>
        <v>33.610674999999901</v>
      </c>
      <c r="Q35" s="14">
        <f t="shared" si="30"/>
        <v>33.610674999999901</v>
      </c>
      <c r="R35" s="14">
        <f t="shared" si="30"/>
        <v>33.610674999999901</v>
      </c>
      <c r="S35" s="14">
        <f t="shared" si="30"/>
        <v>33.610674999999901</v>
      </c>
      <c r="T35" s="14">
        <f t="shared" si="30"/>
        <v>33.610674999999901</v>
      </c>
      <c r="U35" s="14">
        <f t="shared" si="30"/>
        <v>33.610674999999901</v>
      </c>
      <c r="V35" s="14">
        <f t="shared" si="30"/>
        <v>33.610674999999901</v>
      </c>
      <c r="W35" s="14">
        <f t="shared" si="30"/>
        <v>33.610674999999901</v>
      </c>
      <c r="X35" s="14">
        <f t="shared" si="30"/>
        <v>33.610674999999901</v>
      </c>
    </row>
    <row r="36" spans="2:108" x14ac:dyDescent="0.25">
      <c r="C36" s="2" t="s">
        <v>60</v>
      </c>
      <c r="D36" s="14">
        <v>-8.5</v>
      </c>
      <c r="E36" s="14">
        <v>-10.5</v>
      </c>
      <c r="F36" s="14">
        <v>-7.2</v>
      </c>
      <c r="G36" s="14">
        <v>-12.1</v>
      </c>
      <c r="H36" s="14">
        <v>-8.1999999999999993</v>
      </c>
      <c r="I36" s="14">
        <v>-8</v>
      </c>
      <c r="J36" s="14">
        <v>-14.711</v>
      </c>
      <c r="K36" s="14">
        <v>-29.195</v>
      </c>
      <c r="L36" s="14">
        <v>-19.899999999999999</v>
      </c>
      <c r="M36" s="14">
        <v>-7.3</v>
      </c>
      <c r="N36" s="15">
        <f>N35*-0.21</f>
        <v>-6.0301499999999635</v>
      </c>
      <c r="O36" s="14">
        <f t="shared" ref="O36:X36" si="31">O35*-0.21</f>
        <v>-7.0582417499999792</v>
      </c>
      <c r="P36" s="14">
        <f t="shared" si="31"/>
        <v>-7.0582417499999792</v>
      </c>
      <c r="Q36" s="14">
        <f t="shared" si="31"/>
        <v>-7.0582417499999792</v>
      </c>
      <c r="R36" s="14">
        <f t="shared" si="31"/>
        <v>-7.0582417499999792</v>
      </c>
      <c r="S36" s="14">
        <f t="shared" si="31"/>
        <v>-7.0582417499999792</v>
      </c>
      <c r="T36" s="14">
        <f t="shared" si="31"/>
        <v>-7.0582417499999792</v>
      </c>
      <c r="U36" s="14">
        <f t="shared" si="31"/>
        <v>-7.0582417499999792</v>
      </c>
      <c r="V36" s="14">
        <f t="shared" si="31"/>
        <v>-7.0582417499999792</v>
      </c>
      <c r="W36" s="14">
        <f t="shared" si="31"/>
        <v>-7.0582417499999792</v>
      </c>
      <c r="X36" s="14">
        <f t="shared" si="31"/>
        <v>-7.0582417499999792</v>
      </c>
    </row>
    <row r="37" spans="2:108" x14ac:dyDescent="0.25">
      <c r="C37" s="1" t="s">
        <v>61</v>
      </c>
      <c r="D37" s="12">
        <f t="shared" ref="D37:X37" si="32">SUM(D35:D36)</f>
        <v>24.699999999999989</v>
      </c>
      <c r="E37" s="12">
        <f t="shared" si="32"/>
        <v>27.469000000000023</v>
      </c>
      <c r="F37" s="12">
        <f t="shared" si="32"/>
        <v>26.515999999999874</v>
      </c>
      <c r="G37" s="12">
        <f t="shared" si="32"/>
        <v>29.228999999999971</v>
      </c>
      <c r="H37" s="12">
        <f t="shared" si="32"/>
        <v>17.48399999999997</v>
      </c>
      <c r="I37" s="12">
        <f t="shared" si="32"/>
        <v>27.808000000000085</v>
      </c>
      <c r="J37" s="12">
        <f t="shared" si="32"/>
        <v>49.865999999999971</v>
      </c>
      <c r="K37" s="12">
        <f t="shared" si="32"/>
        <v>114.57499999999996</v>
      </c>
      <c r="L37" s="12">
        <f t="shared" si="32"/>
        <v>68.39999999999992</v>
      </c>
      <c r="M37" s="12">
        <f t="shared" si="32"/>
        <v>85.69999999999996</v>
      </c>
      <c r="N37" s="13">
        <f t="shared" si="32"/>
        <v>22.684849999999862</v>
      </c>
      <c r="O37" s="12">
        <f t="shared" si="32"/>
        <v>26.552433249999922</v>
      </c>
      <c r="P37" s="12">
        <f t="shared" si="32"/>
        <v>26.552433249999922</v>
      </c>
      <c r="Q37" s="12">
        <f t="shared" si="32"/>
        <v>26.552433249999922</v>
      </c>
      <c r="R37" s="12">
        <f t="shared" si="32"/>
        <v>26.552433249999922</v>
      </c>
      <c r="S37" s="12">
        <f t="shared" si="32"/>
        <v>26.552433249999922</v>
      </c>
      <c r="T37" s="12">
        <f t="shared" si="32"/>
        <v>26.552433249999922</v>
      </c>
      <c r="U37" s="12">
        <f t="shared" si="32"/>
        <v>26.552433249999922</v>
      </c>
      <c r="V37" s="12">
        <f t="shared" si="32"/>
        <v>26.552433249999922</v>
      </c>
      <c r="W37" s="12">
        <f t="shared" si="32"/>
        <v>26.552433249999922</v>
      </c>
      <c r="X37" s="12">
        <f t="shared" si="32"/>
        <v>26.552433249999922</v>
      </c>
      <c r="Y37" s="12">
        <f>X37*(1+$AA$19)</f>
        <v>26.286908917499922</v>
      </c>
      <c r="Z37" s="12">
        <f t="shared" ref="Z37:CK37" si="33">Y37*(1+$AA$19)</f>
        <v>26.024039828324923</v>
      </c>
      <c r="AA37" s="12">
        <f t="shared" si="33"/>
        <v>25.763799430041676</v>
      </c>
      <c r="AB37" s="12">
        <f t="shared" si="33"/>
        <v>25.506161435741259</v>
      </c>
      <c r="AC37" s="12">
        <f t="shared" si="33"/>
        <v>25.251099821383846</v>
      </c>
      <c r="AD37" s="12">
        <f t="shared" si="33"/>
        <v>24.998588823170007</v>
      </c>
      <c r="AE37" s="12">
        <f t="shared" si="33"/>
        <v>24.748602934938308</v>
      </c>
      <c r="AF37" s="12">
        <f t="shared" si="33"/>
        <v>24.501116905588926</v>
      </c>
      <c r="AG37" s="12">
        <f t="shared" si="33"/>
        <v>24.256105736533037</v>
      </c>
      <c r="AH37" s="12">
        <f t="shared" si="33"/>
        <v>24.013544679167705</v>
      </c>
      <c r="AI37" s="12">
        <f t="shared" si="33"/>
        <v>23.773409232376029</v>
      </c>
      <c r="AJ37" s="12">
        <f t="shared" si="33"/>
        <v>23.53567514005227</v>
      </c>
      <c r="AK37" s="12">
        <f t="shared" si="33"/>
        <v>23.300318388651746</v>
      </c>
      <c r="AL37" s="12">
        <f t="shared" si="33"/>
        <v>23.067315204765229</v>
      </c>
      <c r="AM37" s="12">
        <f t="shared" si="33"/>
        <v>22.836642052717576</v>
      </c>
      <c r="AN37" s="12">
        <f t="shared" si="33"/>
        <v>22.608275632190399</v>
      </c>
      <c r="AO37" s="12">
        <f t="shared" si="33"/>
        <v>22.382192875868494</v>
      </c>
      <c r="AP37" s="12">
        <f t="shared" si="33"/>
        <v>22.158370947109809</v>
      </c>
      <c r="AQ37" s="12">
        <f t="shared" si="33"/>
        <v>21.936787237638711</v>
      </c>
      <c r="AR37" s="12">
        <f t="shared" si="33"/>
        <v>21.717419365262323</v>
      </c>
      <c r="AS37" s="12">
        <f t="shared" si="33"/>
        <v>21.500245171609699</v>
      </c>
      <c r="AT37" s="12">
        <f t="shared" si="33"/>
        <v>21.285242719893603</v>
      </c>
      <c r="AU37" s="12">
        <f t="shared" si="33"/>
        <v>21.072390292694667</v>
      </c>
      <c r="AV37" s="12">
        <f t="shared" si="33"/>
        <v>20.86166638976772</v>
      </c>
      <c r="AW37" s="12">
        <f t="shared" si="33"/>
        <v>20.653049725870044</v>
      </c>
      <c r="AX37" s="12">
        <f t="shared" si="33"/>
        <v>20.446519228611344</v>
      </c>
      <c r="AY37" s="12">
        <f t="shared" si="33"/>
        <v>20.242054036325229</v>
      </c>
      <c r="AZ37" s="12">
        <f t="shared" si="33"/>
        <v>20.039633495961976</v>
      </c>
      <c r="BA37" s="12">
        <f t="shared" si="33"/>
        <v>19.839237161002355</v>
      </c>
      <c r="BB37" s="12">
        <f t="shared" si="33"/>
        <v>19.640844789392332</v>
      </c>
      <c r="BC37" s="12">
        <f t="shared" si="33"/>
        <v>19.44443634149841</v>
      </c>
      <c r="BD37" s="12">
        <f t="shared" si="33"/>
        <v>19.249991978083425</v>
      </c>
      <c r="BE37" s="12">
        <f t="shared" si="33"/>
        <v>19.057492058302589</v>
      </c>
      <c r="BF37" s="12">
        <f t="shared" si="33"/>
        <v>18.866917137719565</v>
      </c>
      <c r="BG37" s="12">
        <f t="shared" si="33"/>
        <v>18.678247966342369</v>
      </c>
      <c r="BH37" s="12">
        <f t="shared" si="33"/>
        <v>18.491465486678944</v>
      </c>
      <c r="BI37" s="12">
        <f t="shared" si="33"/>
        <v>18.306550831812153</v>
      </c>
      <c r="BJ37" s="12">
        <f t="shared" si="33"/>
        <v>18.12348532349403</v>
      </c>
      <c r="BK37" s="12">
        <f t="shared" si="33"/>
        <v>17.94225047025909</v>
      </c>
      <c r="BL37" s="12">
        <f t="shared" si="33"/>
        <v>17.7628279655565</v>
      </c>
      <c r="BM37" s="12">
        <f t="shared" si="33"/>
        <v>17.585199685900935</v>
      </c>
      <c r="BN37" s="12">
        <f t="shared" si="33"/>
        <v>17.409347689041926</v>
      </c>
      <c r="BO37" s="12">
        <f t="shared" si="33"/>
        <v>17.235254212151506</v>
      </c>
      <c r="BP37" s="12">
        <f t="shared" si="33"/>
        <v>17.062901670029991</v>
      </c>
      <c r="BQ37" s="12">
        <f t="shared" si="33"/>
        <v>16.892272653329691</v>
      </c>
      <c r="BR37" s="12">
        <f t="shared" si="33"/>
        <v>16.723349926796395</v>
      </c>
      <c r="BS37" s="12">
        <f t="shared" si="33"/>
        <v>16.55611642752843</v>
      </c>
      <c r="BT37" s="12">
        <f t="shared" si="33"/>
        <v>16.390555263253145</v>
      </c>
      <c r="BU37" s="12">
        <f t="shared" si="33"/>
        <v>16.226649710620613</v>
      </c>
      <c r="BV37" s="12">
        <f t="shared" si="33"/>
        <v>16.064383213514407</v>
      </c>
      <c r="BW37" s="12">
        <f t="shared" si="33"/>
        <v>15.903739381379262</v>
      </c>
      <c r="BX37" s="12">
        <f t="shared" si="33"/>
        <v>15.74470198756547</v>
      </c>
      <c r="BY37" s="12">
        <f t="shared" si="33"/>
        <v>15.587254967689816</v>
      </c>
      <c r="BZ37" s="12">
        <f t="shared" si="33"/>
        <v>15.431382418012918</v>
      </c>
      <c r="CA37" s="12">
        <f t="shared" si="33"/>
        <v>15.277068593832789</v>
      </c>
      <c r="CB37" s="12">
        <f t="shared" si="33"/>
        <v>15.12429790789446</v>
      </c>
      <c r="CC37" s="12">
        <f t="shared" si="33"/>
        <v>14.973054928815516</v>
      </c>
      <c r="CD37" s="12">
        <f t="shared" si="33"/>
        <v>14.823324379527362</v>
      </c>
      <c r="CE37" s="12">
        <f t="shared" si="33"/>
        <v>14.675091135732089</v>
      </c>
      <c r="CF37" s="12">
        <f t="shared" si="33"/>
        <v>14.528340224374768</v>
      </c>
      <c r="CG37" s="12">
        <f t="shared" si="33"/>
        <v>14.383056822131019</v>
      </c>
      <c r="CH37" s="12">
        <f t="shared" si="33"/>
        <v>14.23922625390971</v>
      </c>
      <c r="CI37" s="12">
        <f t="shared" si="33"/>
        <v>14.096833991370612</v>
      </c>
      <c r="CJ37" s="12">
        <f t="shared" si="33"/>
        <v>13.955865651456905</v>
      </c>
      <c r="CK37" s="12">
        <f t="shared" si="33"/>
        <v>13.816306994942336</v>
      </c>
      <c r="CL37" s="12">
        <f t="shared" ref="CL37:DD37" si="34">CK37*(1+$AA$19)</f>
        <v>13.678143924992913</v>
      </c>
      <c r="CM37" s="12">
        <f t="shared" si="34"/>
        <v>13.541362485742983</v>
      </c>
      <c r="CN37" s="12">
        <f t="shared" si="34"/>
        <v>13.405948860885553</v>
      </c>
      <c r="CO37" s="12">
        <f t="shared" si="34"/>
        <v>13.271889372276698</v>
      </c>
      <c r="CP37" s="12">
        <f t="shared" si="34"/>
        <v>13.139170478553931</v>
      </c>
      <c r="CQ37" s="12">
        <f t="shared" si="34"/>
        <v>13.007778773768392</v>
      </c>
      <c r="CR37" s="12">
        <f t="shared" si="34"/>
        <v>12.877700986030707</v>
      </c>
      <c r="CS37" s="12">
        <f t="shared" si="34"/>
        <v>12.748923976170399</v>
      </c>
      <c r="CT37" s="12">
        <f t="shared" si="34"/>
        <v>12.621434736408695</v>
      </c>
      <c r="CU37" s="12">
        <f t="shared" si="34"/>
        <v>12.495220389044608</v>
      </c>
      <c r="CV37" s="12">
        <f t="shared" si="34"/>
        <v>12.370268185154162</v>
      </c>
      <c r="CW37" s="12">
        <f t="shared" si="34"/>
        <v>12.24656550330262</v>
      </c>
      <c r="CX37" s="12">
        <f t="shared" si="34"/>
        <v>12.124099848269593</v>
      </c>
      <c r="CY37" s="12">
        <f t="shared" si="34"/>
        <v>12.002858849786897</v>
      </c>
      <c r="CZ37" s="12">
        <f t="shared" si="34"/>
        <v>11.882830261289028</v>
      </c>
      <c r="DA37" s="12">
        <f t="shared" si="34"/>
        <v>11.764001958676138</v>
      </c>
      <c r="DB37" s="12">
        <f t="shared" si="34"/>
        <v>11.646361939089376</v>
      </c>
      <c r="DC37" s="12">
        <f t="shared" si="34"/>
        <v>11.529898319698482</v>
      </c>
      <c r="DD37" s="12">
        <f t="shared" si="34"/>
        <v>11.414599336501498</v>
      </c>
    </row>
    <row r="38" spans="2:108" x14ac:dyDescent="0.25">
      <c r="C38" s="2" t="s">
        <v>49</v>
      </c>
      <c r="D38" s="9">
        <v>5.25</v>
      </c>
      <c r="E38" s="9">
        <v>6.4953960000000004</v>
      </c>
      <c r="F38" s="9">
        <v>7.3533759999999999</v>
      </c>
      <c r="G38" s="9">
        <v>7.4128759999999998</v>
      </c>
      <c r="H38" s="9">
        <v>7.4843409999999997</v>
      </c>
      <c r="I38" s="9">
        <v>7.9431620000000001</v>
      </c>
      <c r="J38" s="9">
        <v>8.5141860000000005</v>
      </c>
      <c r="K38" s="9">
        <v>8.7339190000000002</v>
      </c>
      <c r="L38" s="2">
        <v>8.5</v>
      </c>
      <c r="M38" s="9">
        <v>8.7046100000000006</v>
      </c>
      <c r="N38" s="8">
        <v>9.1117647999999996</v>
      </c>
      <c r="O38" s="9">
        <v>9.1117647999999996</v>
      </c>
      <c r="P38" s="9">
        <v>9.1117647999999996</v>
      </c>
      <c r="Q38" s="9">
        <v>9.1117647999999996</v>
      </c>
      <c r="R38" s="9">
        <v>9.1117647999999996</v>
      </c>
      <c r="S38" s="9">
        <v>9.1117647999999996</v>
      </c>
      <c r="T38" s="9">
        <v>9.1117647999999996</v>
      </c>
      <c r="U38" s="9">
        <v>9.1117647999999996</v>
      </c>
      <c r="V38" s="9">
        <v>9.1117647999999996</v>
      </c>
      <c r="W38" s="9">
        <v>9.1117647999999996</v>
      </c>
      <c r="X38" s="9">
        <v>9.1117647999999996</v>
      </c>
    </row>
    <row r="39" spans="2:108" x14ac:dyDescent="0.25">
      <c r="C39" s="2" t="s">
        <v>48</v>
      </c>
      <c r="D39" s="19">
        <f t="shared" ref="D39:K39" si="35">D37/D38</f>
        <v>4.7047619047619023</v>
      </c>
      <c r="E39" s="19">
        <f t="shared" si="35"/>
        <v>4.2289954299938017</v>
      </c>
      <c r="F39" s="19">
        <f t="shared" si="35"/>
        <v>3.6059627577863385</v>
      </c>
      <c r="G39" s="19">
        <f t="shared" si="35"/>
        <v>3.943004037839021</v>
      </c>
      <c r="H39" s="19">
        <f t="shared" si="35"/>
        <v>2.3360774181721506</v>
      </c>
      <c r="I39" s="19">
        <f t="shared" si="35"/>
        <v>3.5008728262120408</v>
      </c>
      <c r="J39" s="19">
        <f t="shared" si="35"/>
        <v>5.8568135579842826</v>
      </c>
      <c r="K39" s="19">
        <f t="shared" si="35"/>
        <v>13.118395075566873</v>
      </c>
      <c r="L39" s="19">
        <f>L37/L38</f>
        <v>8.0470588235294027</v>
      </c>
      <c r="M39" s="19">
        <f>M37/M38</f>
        <v>9.8453578046575263</v>
      </c>
      <c r="N39" s="22">
        <f t="shared" ref="N39:X39" si="36">N37/N38</f>
        <v>2.4896219884867818</v>
      </c>
      <c r="O39" s="19">
        <f t="shared" si="36"/>
        <v>2.9140823795188306</v>
      </c>
      <c r="P39" s="19">
        <f t="shared" si="36"/>
        <v>2.9140823795188306</v>
      </c>
      <c r="Q39" s="19">
        <f t="shared" si="36"/>
        <v>2.9140823795188306</v>
      </c>
      <c r="R39" s="19">
        <f t="shared" si="36"/>
        <v>2.9140823795188306</v>
      </c>
      <c r="S39" s="19">
        <f t="shared" si="36"/>
        <v>2.9140823795188306</v>
      </c>
      <c r="T39" s="19">
        <f t="shared" si="36"/>
        <v>2.9140823795188306</v>
      </c>
      <c r="U39" s="19">
        <f t="shared" si="36"/>
        <v>2.9140823795188306</v>
      </c>
      <c r="V39" s="19">
        <f t="shared" si="36"/>
        <v>2.9140823795188306</v>
      </c>
      <c r="W39" s="19">
        <f t="shared" si="36"/>
        <v>2.9140823795188306</v>
      </c>
      <c r="X39" s="19">
        <f t="shared" si="36"/>
        <v>2.9140823795188306</v>
      </c>
    </row>
    <row r="40" spans="2:108" x14ac:dyDescent="0.25">
      <c r="H40" s="19"/>
      <c r="I40" s="19"/>
      <c r="J40" s="19"/>
      <c r="K40" s="19"/>
      <c r="L40" s="19"/>
      <c r="M40" s="19"/>
      <c r="N40" s="8"/>
      <c r="O40" s="9"/>
      <c r="P40" s="9"/>
      <c r="Q40" s="9"/>
      <c r="R40" s="9"/>
      <c r="S40" s="9"/>
      <c r="T40" s="9"/>
      <c r="U40" s="9"/>
      <c r="V40" s="9"/>
      <c r="W40" s="9"/>
      <c r="X40" s="9"/>
      <c r="Z40" s="2" t="s">
        <v>131</v>
      </c>
      <c r="AA40" s="29">
        <v>0.08</v>
      </c>
    </row>
    <row r="41" spans="2:108" x14ac:dyDescent="0.25">
      <c r="C41" s="1" t="s">
        <v>43</v>
      </c>
      <c r="E41" s="18">
        <f t="shared" ref="E41" si="37">(E26-D26)/D26</f>
        <v>0.27694253931080637</v>
      </c>
      <c r="F41" s="18">
        <f t="shared" ref="F41" si="38">(F26-E26)/E26</f>
        <v>0.26952315842046215</v>
      </c>
      <c r="G41" s="18">
        <f t="shared" ref="G41" si="39">(G26-F26)/F26</f>
        <v>0.17368107922473047</v>
      </c>
      <c r="H41" s="18">
        <f t="shared" ref="H41" si="40">(H26-G26)/G26</f>
        <v>0.15458881452419423</v>
      </c>
      <c r="I41" s="18">
        <f t="shared" ref="I41" si="41">(I26-H26)/H26</f>
        <v>1.9130825865342913E-2</v>
      </c>
      <c r="J41" s="18">
        <f t="shared" ref="J41" si="42">(J26-I26)/I26</f>
        <v>7.8046360128654901E-2</v>
      </c>
      <c r="K41" s="18">
        <f t="shared" ref="K41" si="43">(K26-J26)/J26</f>
        <v>0.24675603147477926</v>
      </c>
      <c r="L41" s="18">
        <f t="shared" ref="L41" si="44">(L26-K26)/K26</f>
        <v>-7.7845008347361324E-3</v>
      </c>
      <c r="M41" s="18">
        <f>(M26-L26)/L26</f>
        <v>-1.0942834631883043E-2</v>
      </c>
      <c r="N41" s="23">
        <f t="shared" ref="N41" si="45">(N26-M26)/M26</f>
        <v>0.14999999999999983</v>
      </c>
      <c r="O41" s="18">
        <f t="shared" ref="O41" si="46">(O26-N26)/N26</f>
        <v>0</v>
      </c>
      <c r="P41" s="18">
        <f t="shared" ref="P41" si="47">(P26-O26)/O26</f>
        <v>0</v>
      </c>
      <c r="Q41" s="18">
        <f t="shared" ref="Q41" si="48">(Q26-P26)/P26</f>
        <v>0</v>
      </c>
      <c r="R41" s="18">
        <f t="shared" ref="R41" si="49">(R26-Q26)/Q26</f>
        <v>0</v>
      </c>
      <c r="S41" s="18">
        <f t="shared" ref="S41" si="50">(S26-R26)/R26</f>
        <v>0</v>
      </c>
      <c r="T41" s="18">
        <f t="shared" ref="T41" si="51">(T26-S26)/S26</f>
        <v>0</v>
      </c>
      <c r="U41" s="18">
        <f t="shared" ref="U41" si="52">(U26-T26)/T26</f>
        <v>0</v>
      </c>
      <c r="V41" s="18">
        <f t="shared" ref="V41" si="53">(V26-U26)/U26</f>
        <v>0</v>
      </c>
      <c r="W41" s="18">
        <f t="shared" ref="W41" si="54">(W26-V26)/V26</f>
        <v>0</v>
      </c>
      <c r="X41" s="18">
        <f t="shared" ref="X41" si="55">(X26-W26)/W26</f>
        <v>0</v>
      </c>
      <c r="Z41" s="2" t="s">
        <v>132</v>
      </c>
      <c r="AA41" s="29">
        <v>-0.01</v>
      </c>
    </row>
    <row r="42" spans="2:108" x14ac:dyDescent="0.25">
      <c r="C42" s="1" t="s">
        <v>62</v>
      </c>
      <c r="D42" s="18"/>
      <c r="E42" s="18">
        <f t="shared" ref="E42" si="56">(E32-D32)/D32</f>
        <v>0.29081609221796134</v>
      </c>
      <c r="F42" s="18">
        <f t="shared" ref="F42" si="57">(F32-E32)/E32</f>
        <v>0.29662893864935203</v>
      </c>
      <c r="G42" s="18">
        <f t="shared" ref="G42" si="58">(G32-F32)/F32</f>
        <v>0.16619248268328093</v>
      </c>
      <c r="H42" s="18">
        <f t="shared" ref="H42" si="59">(H32-G32)/G32</f>
        <v>0.19010904171231524</v>
      </c>
      <c r="I42" s="18">
        <f t="shared" ref="I42" si="60">(I32-H32)/H32</f>
        <v>5.9731221858115892E-3</v>
      </c>
      <c r="J42" s="18">
        <f t="shared" ref="J42" si="61">(J32-I32)/I32</f>
        <v>4.7555292424022975E-2</v>
      </c>
      <c r="K42" s="18">
        <f t="shared" ref="K42" si="62">(K32-J32)/J32</f>
        <v>0.18848743378023128</v>
      </c>
      <c r="L42" s="18">
        <f t="shared" ref="L42" si="63">(L32-K32)/K32</f>
        <v>4.2036638016085426E-2</v>
      </c>
      <c r="M42" s="18">
        <f>(M32-L32)/L32</f>
        <v>4.4783185002840328E-2</v>
      </c>
      <c r="N42" s="23">
        <f t="shared" ref="N42" si="64">(N32-M32)/M32</f>
        <v>0.12999999999999992</v>
      </c>
      <c r="O42" s="18">
        <f t="shared" ref="O42" si="65">(O32-N32)/N32</f>
        <v>1.4999999999999942E-2</v>
      </c>
      <c r="P42" s="18">
        <f t="shared" ref="P42" si="66">(P32-O32)/O32</f>
        <v>0</v>
      </c>
      <c r="Q42" s="18">
        <f t="shared" ref="Q42" si="67">(Q32-P32)/P32</f>
        <v>0</v>
      </c>
      <c r="R42" s="18">
        <f t="shared" ref="R42" si="68">(R32-Q32)/Q32</f>
        <v>0</v>
      </c>
      <c r="S42" s="18">
        <f t="shared" ref="S42" si="69">(S32-R32)/R32</f>
        <v>0</v>
      </c>
      <c r="T42" s="18">
        <f t="shared" ref="T42" si="70">(T32-S32)/S32</f>
        <v>0</v>
      </c>
      <c r="U42" s="18">
        <f t="shared" ref="U42" si="71">(U32-T32)/T32</f>
        <v>0</v>
      </c>
      <c r="V42" s="18">
        <f t="shared" ref="V42" si="72">(V32-U32)/U32</f>
        <v>0</v>
      </c>
      <c r="W42" s="18">
        <f t="shared" ref="W42" si="73">(W32-V32)/V32</f>
        <v>0</v>
      </c>
      <c r="X42" s="18">
        <f t="shared" ref="X42" si="74">(X32-W32)/W32</f>
        <v>0</v>
      </c>
      <c r="Z42" s="28" t="s">
        <v>133</v>
      </c>
      <c r="AA42" s="30">
        <f>NPV(AA40,O37:DD37)</f>
        <v>313.36646686126869</v>
      </c>
    </row>
    <row r="43" spans="2:108" x14ac:dyDescent="0.25">
      <c r="C43" s="2" t="s">
        <v>44</v>
      </c>
      <c r="D43" s="20">
        <f t="shared" ref="D43:L43" si="75">D33/D26</f>
        <v>8.9390264302442263E-2</v>
      </c>
      <c r="E43" s="20">
        <f t="shared" si="75"/>
        <v>7.9496794583132108E-2</v>
      </c>
      <c r="F43" s="20">
        <f t="shared" si="75"/>
        <v>5.9842991956118807E-2</v>
      </c>
      <c r="G43" s="20">
        <f t="shared" si="75"/>
        <v>6.5841603200246138E-2</v>
      </c>
      <c r="H43" s="20">
        <f t="shared" si="75"/>
        <v>3.7102784612529055E-2</v>
      </c>
      <c r="I43" s="20">
        <f t="shared" si="75"/>
        <v>4.9534472392315836E-2</v>
      </c>
      <c r="J43" s="20">
        <f t="shared" si="75"/>
        <v>7.641709064051995E-2</v>
      </c>
      <c r="K43" s="20">
        <f t="shared" si="75"/>
        <v>0.11958181543384561</v>
      </c>
      <c r="L43" s="20">
        <f t="shared" si="75"/>
        <v>7.5374244944410321E-2</v>
      </c>
      <c r="M43" s="20">
        <f>M33/M26</f>
        <v>2.3278456363958182E-2</v>
      </c>
      <c r="N43" s="21">
        <f t="shared" ref="N43:X43" si="76">N33/N26</f>
        <v>4.0264917992410998E-2</v>
      </c>
      <c r="O43" s="20">
        <f t="shared" si="76"/>
        <v>2.586889176229722E-2</v>
      </c>
      <c r="P43" s="20">
        <f t="shared" si="76"/>
        <v>2.586889176229722E-2</v>
      </c>
      <c r="Q43" s="20">
        <f t="shared" si="76"/>
        <v>2.586889176229722E-2</v>
      </c>
      <c r="R43" s="20">
        <f t="shared" si="76"/>
        <v>2.586889176229722E-2</v>
      </c>
      <c r="S43" s="20">
        <f t="shared" si="76"/>
        <v>2.586889176229722E-2</v>
      </c>
      <c r="T43" s="20">
        <f t="shared" si="76"/>
        <v>2.586889176229722E-2</v>
      </c>
      <c r="U43" s="20">
        <f t="shared" si="76"/>
        <v>2.586889176229722E-2</v>
      </c>
      <c r="V43" s="20">
        <f t="shared" si="76"/>
        <v>2.586889176229722E-2</v>
      </c>
      <c r="W43" s="20">
        <f t="shared" si="76"/>
        <v>2.586889176229722E-2</v>
      </c>
      <c r="X43" s="20">
        <f t="shared" si="76"/>
        <v>2.586889176229722E-2</v>
      </c>
      <c r="Z43" s="2" t="s">
        <v>2</v>
      </c>
      <c r="AA43" s="9">
        <v>9.1116480000000006</v>
      </c>
    </row>
    <row r="44" spans="2:108" x14ac:dyDescent="0.25">
      <c r="H44" s="10"/>
      <c r="I44" s="10"/>
      <c r="J44" s="10"/>
      <c r="K44" s="10"/>
      <c r="L44" s="10"/>
      <c r="M44" s="10"/>
      <c r="N44" s="4"/>
      <c r="Z44" s="2" t="s">
        <v>134</v>
      </c>
      <c r="AA44" s="31">
        <f>AA42/AA43</f>
        <v>34.39185390626028</v>
      </c>
    </row>
    <row r="45" spans="2:108" s="28" customFormat="1" x14ac:dyDescent="0.25">
      <c r="B45" s="33"/>
      <c r="H45" s="34"/>
      <c r="I45" s="34"/>
      <c r="J45" s="34"/>
      <c r="K45" s="34"/>
      <c r="L45" s="34"/>
      <c r="M45" s="34"/>
      <c r="N45" s="33"/>
      <c r="Z45" s="35" t="s">
        <v>135</v>
      </c>
      <c r="AA45" s="36">
        <f>(AA44-Modell!$B$4)/Modell!$B$4</f>
        <v>-0.35716160922877982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Info</vt:lpstr>
      <vt:lpstr>Modell</vt:lpstr>
      <vt:lpstr>Nøkkeltall</vt:lpstr>
      <vt:lpstr>Nedsideberegning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2025-02-09T20:32:11Z</dcterms:created>
  <dcterms:modified xsi:type="dcterms:W3CDTF">2025-08-01T18:11:05Z</dcterms:modified>
</cp:coreProperties>
</file>