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C678244A-EFD7-DF43-86CF-BED49E48F343}" xr6:coauthVersionLast="47" xr6:coauthVersionMax="47" xr10:uidLastSave="{00000000-0000-0000-0000-000000000000}"/>
  <bookViews>
    <workbookView xWindow="0" yWindow="740" windowWidth="29400" windowHeight="17040" activeTab="1" xr2:uid="{5AE0DF26-B7DD-1242-A60E-253C73A930AF}"/>
  </bookViews>
  <sheets>
    <sheet name="Info" sheetId="1" r:id="rId1"/>
    <sheet name="Modell" sheetId="2" r:id="rId2"/>
    <sheet name="T&amp;T" sheetId="4" r:id="rId3"/>
    <sheet name="Mobile thermal sol" sheetId="6" r:id="rId4"/>
    <sheet name="Ringfender power trans" sheetId="7" r:id="rId5"/>
    <sheet name="Land" sheetId="5" r:id="rId6"/>
    <sheet name="Nøkkeltall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7" l="1"/>
  <c r="V29" i="7"/>
  <c r="V27" i="7"/>
  <c r="V25" i="7"/>
  <c r="V23" i="7"/>
  <c r="V21" i="7"/>
  <c r="V19" i="7"/>
  <c r="V17" i="7"/>
  <c r="V15" i="7"/>
  <c r="V13" i="7"/>
  <c r="Q31" i="7"/>
  <c r="Q29" i="7"/>
  <c r="Q27" i="7"/>
  <c r="Q25" i="7"/>
  <c r="Q23" i="7"/>
  <c r="Q21" i="7"/>
  <c r="Q22" i="7"/>
  <c r="Q19" i="7"/>
  <c r="Q17" i="7"/>
  <c r="Q15" i="7"/>
  <c r="Q13" i="7"/>
  <c r="L31" i="7"/>
  <c r="L29" i="7"/>
  <c r="L27" i="7"/>
  <c r="L25" i="7"/>
  <c r="L23" i="7"/>
  <c r="L21" i="7"/>
  <c r="L19" i="7"/>
  <c r="L17" i="7"/>
  <c r="L15" i="7"/>
  <c r="L13" i="7"/>
  <c r="V27" i="6"/>
  <c r="V25" i="6"/>
  <c r="V23" i="6"/>
  <c r="V22" i="6"/>
  <c r="V21" i="6"/>
  <c r="V19" i="6"/>
  <c r="V17" i="6"/>
  <c r="V15" i="6"/>
  <c r="V13" i="6"/>
  <c r="Q21" i="6"/>
  <c r="Q27" i="6"/>
  <c r="Q25" i="6"/>
  <c r="Q23" i="6"/>
  <c r="Q19" i="6"/>
  <c r="Q17" i="6"/>
  <c r="Q15" i="6"/>
  <c r="Q13" i="6"/>
  <c r="L27" i="6"/>
  <c r="L25" i="6"/>
  <c r="L23" i="6"/>
  <c r="L21" i="6"/>
  <c r="L19" i="6"/>
  <c r="L17" i="6"/>
  <c r="L15" i="6"/>
  <c r="L13" i="6"/>
  <c r="V29" i="4"/>
  <c r="V27" i="4"/>
  <c r="V25" i="4"/>
  <c r="V23" i="4"/>
  <c r="V21" i="4"/>
  <c r="V19" i="4"/>
  <c r="V17" i="4"/>
  <c r="V15" i="4"/>
  <c r="V13" i="4"/>
  <c r="Q29" i="4"/>
  <c r="Q27" i="4"/>
  <c r="Q25" i="4"/>
  <c r="Q23" i="4"/>
  <c r="Q21" i="4"/>
  <c r="Q19" i="4"/>
  <c r="Q17" i="4"/>
  <c r="Q15" i="4"/>
  <c r="Q13" i="4"/>
  <c r="L29" i="4"/>
  <c r="L27" i="4"/>
  <c r="L25" i="4"/>
  <c r="L23" i="4"/>
  <c r="L21" i="4"/>
  <c r="L19" i="4"/>
  <c r="L17" i="4"/>
  <c r="L15" i="4"/>
  <c r="L13" i="4"/>
  <c r="W22" i="2"/>
  <c r="X22" i="2"/>
  <c r="V12" i="2"/>
  <c r="W12" i="2"/>
  <c r="V22" i="5"/>
  <c r="V23" i="5" s="1"/>
  <c r="V20" i="5"/>
  <c r="V21" i="5" s="1"/>
  <c r="V18" i="5"/>
  <c r="V19" i="5" s="1"/>
  <c r="V16" i="5"/>
  <c r="V17" i="5" s="1"/>
  <c r="V14" i="5"/>
  <c r="V15" i="5" s="1"/>
  <c r="V12" i="5"/>
  <c r="V13" i="5" s="1"/>
  <c r="V10" i="5"/>
  <c r="V11" i="5" s="1"/>
  <c r="V8" i="5"/>
  <c r="V9" i="5" s="1"/>
  <c r="V6" i="5"/>
  <c r="V7" i="5" s="1"/>
  <c r="V4" i="5"/>
  <c r="V5" i="5" s="1"/>
  <c r="Q22" i="5"/>
  <c r="Q23" i="5" s="1"/>
  <c r="Q20" i="5"/>
  <c r="Q21" i="5" s="1"/>
  <c r="Q18" i="5"/>
  <c r="Q19" i="5" s="1"/>
  <c r="Q16" i="5"/>
  <c r="Q17" i="5" s="1"/>
  <c r="Q15" i="5"/>
  <c r="Q14" i="5"/>
  <c r="Q12" i="5"/>
  <c r="Q13" i="5" s="1"/>
  <c r="Q10" i="5"/>
  <c r="Q11" i="5" s="1"/>
  <c r="Q8" i="5"/>
  <c r="Q9" i="5" s="1"/>
  <c r="Q7" i="5"/>
  <c r="Q6" i="5"/>
  <c r="Q4" i="5"/>
  <c r="Q5" i="5" s="1"/>
  <c r="L15" i="5"/>
  <c r="L23" i="5"/>
  <c r="L21" i="5"/>
  <c r="L19" i="5"/>
  <c r="L17" i="5"/>
  <c r="L13" i="5"/>
  <c r="L11" i="5"/>
  <c r="L9" i="5"/>
  <c r="L7" i="5"/>
  <c r="L4" i="5"/>
  <c r="L5" i="5"/>
  <c r="L22" i="5"/>
  <c r="L20" i="5"/>
  <c r="L18" i="5"/>
  <c r="L16" i="5"/>
  <c r="L14" i="5"/>
  <c r="L12" i="5"/>
  <c r="L10" i="5"/>
  <c r="L8" i="5"/>
  <c r="L6" i="5"/>
  <c r="G22" i="5"/>
  <c r="G20" i="5"/>
  <c r="G18" i="5"/>
  <c r="G16" i="5"/>
  <c r="G14" i="5"/>
  <c r="G12" i="5"/>
  <c r="G10" i="5"/>
  <c r="G8" i="5"/>
  <c r="G6" i="5"/>
  <c r="G4" i="5"/>
  <c r="V30" i="7"/>
  <c r="V28" i="7"/>
  <c r="V26" i="7"/>
  <c r="V24" i="7"/>
  <c r="V22" i="7"/>
  <c r="V20" i="7"/>
  <c r="V18" i="7"/>
  <c r="V16" i="7"/>
  <c r="V14" i="7"/>
  <c r="V12" i="7"/>
  <c r="V10" i="7"/>
  <c r="V11" i="7" s="1"/>
  <c r="V8" i="7"/>
  <c r="V9" i="7" s="1"/>
  <c r="V7" i="7"/>
  <c r="V6" i="7"/>
  <c r="V5" i="7"/>
  <c r="Q30" i="7"/>
  <c r="Q28" i="7"/>
  <c r="Q26" i="7"/>
  <c r="Q24" i="7"/>
  <c r="Q20" i="7"/>
  <c r="Q18" i="7"/>
  <c r="Q16" i="7"/>
  <c r="Q14" i="7"/>
  <c r="Q12" i="7"/>
  <c r="Q10" i="7"/>
  <c r="Q11" i="7" s="1"/>
  <c r="Q8" i="7"/>
  <c r="Q9" i="7" s="1"/>
  <c r="Q7" i="7"/>
  <c r="Q6" i="7"/>
  <c r="Q5" i="7"/>
  <c r="L6" i="7"/>
  <c r="L30" i="7"/>
  <c r="L28" i="7"/>
  <c r="L26" i="7"/>
  <c r="L24" i="7"/>
  <c r="L22" i="7"/>
  <c r="L20" i="7"/>
  <c r="L18" i="7"/>
  <c r="L16" i="7"/>
  <c r="L14" i="7"/>
  <c r="L12" i="7"/>
  <c r="L10" i="7"/>
  <c r="L11" i="7" s="1"/>
  <c r="L8" i="7"/>
  <c r="L9" i="7" s="1"/>
  <c r="L7" i="7"/>
  <c r="L5" i="7"/>
  <c r="G30" i="7"/>
  <c r="G28" i="7"/>
  <c r="G26" i="7"/>
  <c r="G24" i="7"/>
  <c r="G22" i="7"/>
  <c r="G20" i="7"/>
  <c r="G18" i="7"/>
  <c r="G16" i="7"/>
  <c r="G14" i="7"/>
  <c r="G12" i="7"/>
  <c r="G11" i="7"/>
  <c r="G9" i="7"/>
  <c r="G10" i="7"/>
  <c r="G8" i="7"/>
  <c r="G7" i="7"/>
  <c r="G5" i="7"/>
  <c r="V26" i="6"/>
  <c r="V24" i="6"/>
  <c r="V20" i="6"/>
  <c r="V18" i="6"/>
  <c r="V16" i="6"/>
  <c r="V14" i="6"/>
  <c r="V12" i="6"/>
  <c r="V10" i="6"/>
  <c r="V11" i="6" s="1"/>
  <c r="V8" i="6"/>
  <c r="V9" i="6" s="1"/>
  <c r="V7" i="6"/>
  <c r="V6" i="6"/>
  <c r="V5" i="6"/>
  <c r="Q26" i="6"/>
  <c r="Q24" i="6"/>
  <c r="Q22" i="6"/>
  <c r="Q20" i="6"/>
  <c r="Q18" i="6"/>
  <c r="Q16" i="6"/>
  <c r="Q14" i="6"/>
  <c r="Q12" i="6"/>
  <c r="Q10" i="6"/>
  <c r="Q11" i="6" s="1"/>
  <c r="Q8" i="6"/>
  <c r="Q9" i="6" s="1"/>
  <c r="Q7" i="6"/>
  <c r="Q5" i="6"/>
  <c r="Q6" i="6" s="1"/>
  <c r="L6" i="6"/>
  <c r="L26" i="6"/>
  <c r="L24" i="6"/>
  <c r="L22" i="6"/>
  <c r="L20" i="6"/>
  <c r="L18" i="6"/>
  <c r="L16" i="6"/>
  <c r="L14" i="6"/>
  <c r="L12" i="6"/>
  <c r="L10" i="6"/>
  <c r="L11" i="6" s="1"/>
  <c r="L8" i="6"/>
  <c r="L9" i="6" s="1"/>
  <c r="L7" i="6"/>
  <c r="L5" i="6"/>
  <c r="G26" i="6"/>
  <c r="G24" i="6"/>
  <c r="G22" i="6"/>
  <c r="G20" i="6"/>
  <c r="G18" i="6"/>
  <c r="G16" i="6"/>
  <c r="G14" i="6"/>
  <c r="G12" i="6"/>
  <c r="G11" i="6"/>
  <c r="G9" i="6"/>
  <c r="G10" i="6"/>
  <c r="G8" i="6"/>
  <c r="G7" i="6"/>
  <c r="G5" i="6"/>
  <c r="V28" i="4"/>
  <c r="V26" i="4"/>
  <c r="V24" i="4"/>
  <c r="V22" i="4"/>
  <c r="V20" i="4"/>
  <c r="V18" i="4"/>
  <c r="V16" i="4"/>
  <c r="V14" i="4"/>
  <c r="V12" i="4"/>
  <c r="V10" i="4"/>
  <c r="V11" i="4" s="1"/>
  <c r="V8" i="4"/>
  <c r="V9" i="4" s="1"/>
  <c r="V7" i="4"/>
  <c r="V5" i="4"/>
  <c r="V6" i="4" s="1"/>
  <c r="O27" i="4"/>
  <c r="M27" i="4"/>
  <c r="N27" i="4"/>
  <c r="P27" i="4"/>
  <c r="Q28" i="4"/>
  <c r="Q26" i="4"/>
  <c r="Q24" i="4"/>
  <c r="Q22" i="4"/>
  <c r="Q20" i="4"/>
  <c r="Q18" i="4"/>
  <c r="Q16" i="4"/>
  <c r="Q14" i="4"/>
  <c r="Q12" i="4"/>
  <c r="Q10" i="4"/>
  <c r="Q11" i="4" s="1"/>
  <c r="Q8" i="4"/>
  <c r="Q9" i="4" s="1"/>
  <c r="Q7" i="4"/>
  <c r="Q6" i="4"/>
  <c r="Q5" i="4"/>
  <c r="L6" i="4"/>
  <c r="L28" i="4"/>
  <c r="L26" i="4"/>
  <c r="L24" i="4"/>
  <c r="L22" i="4"/>
  <c r="L20" i="4"/>
  <c r="L18" i="4"/>
  <c r="L16" i="4"/>
  <c r="L14" i="4"/>
  <c r="L12" i="4"/>
  <c r="L10" i="4"/>
  <c r="L11" i="4" s="1"/>
  <c r="L8" i="4"/>
  <c r="L9" i="4" s="1"/>
  <c r="L7" i="4"/>
  <c r="L5" i="4"/>
  <c r="G28" i="4"/>
  <c r="G26" i="4"/>
  <c r="G24" i="4"/>
  <c r="G22" i="4"/>
  <c r="G20" i="4"/>
  <c r="G18" i="4"/>
  <c r="G16" i="4"/>
  <c r="G14" i="4"/>
  <c r="G12" i="4"/>
  <c r="G11" i="4"/>
  <c r="G9" i="4"/>
  <c r="G10" i="4"/>
  <c r="G8" i="4"/>
  <c r="G7" i="4"/>
  <c r="J25" i="4"/>
  <c r="K25" i="4"/>
  <c r="J29" i="4"/>
  <c r="G5" i="4"/>
  <c r="E30" i="4"/>
  <c r="S5" i="5"/>
  <c r="U5" i="5"/>
  <c r="T5" i="5"/>
  <c r="R5" i="5"/>
  <c r="P5" i="5"/>
  <c r="O5" i="5"/>
  <c r="N5" i="5"/>
  <c r="M5" i="5"/>
  <c r="K5" i="5"/>
  <c r="J5" i="5"/>
  <c r="I5" i="5"/>
  <c r="H5" i="5"/>
  <c r="M25" i="7"/>
  <c r="P13" i="7"/>
  <c r="U13" i="7"/>
  <c r="T13" i="7"/>
  <c r="S13" i="7"/>
  <c r="R13" i="7"/>
  <c r="O13" i="7"/>
  <c r="N13" i="7"/>
  <c r="M13" i="7"/>
  <c r="K13" i="7"/>
  <c r="J13" i="7"/>
  <c r="I13" i="7"/>
  <c r="H13" i="7"/>
  <c r="K15" i="7"/>
  <c r="S32" i="7"/>
  <c r="R32" i="7"/>
  <c r="P32" i="7"/>
  <c r="O32" i="7"/>
  <c r="N32" i="7"/>
  <c r="M32" i="7"/>
  <c r="K32" i="7"/>
  <c r="J32" i="7"/>
  <c r="I32" i="7"/>
  <c r="H32" i="7"/>
  <c r="F32" i="7"/>
  <c r="E32" i="7"/>
  <c r="D32" i="7"/>
  <c r="C32" i="7"/>
  <c r="U31" i="7"/>
  <c r="T31" i="7"/>
  <c r="S31" i="7"/>
  <c r="R31" i="7"/>
  <c r="P31" i="7"/>
  <c r="O31" i="7"/>
  <c r="N31" i="7"/>
  <c r="M31" i="7"/>
  <c r="K31" i="7"/>
  <c r="J31" i="7"/>
  <c r="I31" i="7"/>
  <c r="H31" i="7"/>
  <c r="U29" i="7"/>
  <c r="T29" i="7"/>
  <c r="S29" i="7"/>
  <c r="R29" i="7"/>
  <c r="P29" i="7"/>
  <c r="O29" i="7"/>
  <c r="N29" i="7"/>
  <c r="M29" i="7"/>
  <c r="K29" i="7"/>
  <c r="J29" i="7"/>
  <c r="I29" i="7"/>
  <c r="H29" i="7"/>
  <c r="U27" i="7"/>
  <c r="T27" i="7"/>
  <c r="S27" i="7"/>
  <c r="R27" i="7"/>
  <c r="P27" i="7"/>
  <c r="O27" i="7"/>
  <c r="N27" i="7"/>
  <c r="M27" i="7"/>
  <c r="K27" i="7"/>
  <c r="J27" i="7"/>
  <c r="I27" i="7"/>
  <c r="H27" i="7"/>
  <c r="U25" i="7"/>
  <c r="T25" i="7"/>
  <c r="S25" i="7"/>
  <c r="R25" i="7"/>
  <c r="P25" i="7"/>
  <c r="O25" i="7"/>
  <c r="N25" i="7"/>
  <c r="K25" i="7"/>
  <c r="J25" i="7"/>
  <c r="I25" i="7"/>
  <c r="H25" i="7"/>
  <c r="U23" i="7"/>
  <c r="T23" i="7"/>
  <c r="S23" i="7"/>
  <c r="R23" i="7"/>
  <c r="P23" i="7"/>
  <c r="O23" i="7"/>
  <c r="N23" i="7"/>
  <c r="M23" i="7"/>
  <c r="K23" i="7"/>
  <c r="J23" i="7"/>
  <c r="I23" i="7"/>
  <c r="H23" i="7"/>
  <c r="U21" i="7"/>
  <c r="T21" i="7"/>
  <c r="S21" i="7"/>
  <c r="R21" i="7"/>
  <c r="P21" i="7"/>
  <c r="O21" i="7"/>
  <c r="N21" i="7"/>
  <c r="M21" i="7"/>
  <c r="K21" i="7"/>
  <c r="J21" i="7"/>
  <c r="I21" i="7"/>
  <c r="H21" i="7"/>
  <c r="U19" i="7"/>
  <c r="T19" i="7"/>
  <c r="S19" i="7"/>
  <c r="R19" i="7"/>
  <c r="P19" i="7"/>
  <c r="O19" i="7"/>
  <c r="N19" i="7"/>
  <c r="M19" i="7"/>
  <c r="K19" i="7"/>
  <c r="J19" i="7"/>
  <c r="I19" i="7"/>
  <c r="H19" i="7"/>
  <c r="U17" i="7"/>
  <c r="T17" i="7"/>
  <c r="S17" i="7"/>
  <c r="R17" i="7"/>
  <c r="P17" i="7"/>
  <c r="O17" i="7"/>
  <c r="N17" i="7"/>
  <c r="M17" i="7"/>
  <c r="K17" i="7"/>
  <c r="J17" i="7"/>
  <c r="I17" i="7"/>
  <c r="H17" i="7"/>
  <c r="U15" i="7"/>
  <c r="T15" i="7"/>
  <c r="S15" i="7"/>
  <c r="R15" i="7"/>
  <c r="P15" i="7"/>
  <c r="O15" i="7"/>
  <c r="N15" i="7"/>
  <c r="M15" i="7"/>
  <c r="J15" i="7"/>
  <c r="I15" i="7"/>
  <c r="H15" i="7"/>
  <c r="U6" i="7"/>
  <c r="T6" i="7"/>
  <c r="S6" i="7"/>
  <c r="R6" i="7"/>
  <c r="P6" i="7"/>
  <c r="O6" i="7"/>
  <c r="N6" i="7"/>
  <c r="M6" i="7"/>
  <c r="K6" i="7"/>
  <c r="J6" i="7"/>
  <c r="I6" i="7"/>
  <c r="H6" i="7"/>
  <c r="C28" i="6"/>
  <c r="D28" i="6"/>
  <c r="E28" i="6"/>
  <c r="F28" i="6"/>
  <c r="H28" i="6"/>
  <c r="I28" i="6"/>
  <c r="J28" i="6"/>
  <c r="K28" i="6"/>
  <c r="M28" i="6"/>
  <c r="N28" i="6"/>
  <c r="O28" i="6"/>
  <c r="P28" i="6"/>
  <c r="R28" i="6"/>
  <c r="T28" i="6"/>
  <c r="U28" i="6"/>
  <c r="S28" i="6"/>
  <c r="U27" i="6"/>
  <c r="T27" i="6"/>
  <c r="S27" i="6"/>
  <c r="R27" i="6"/>
  <c r="P27" i="6"/>
  <c r="O27" i="6"/>
  <c r="N27" i="6"/>
  <c r="M27" i="6"/>
  <c r="K27" i="6"/>
  <c r="J27" i="6"/>
  <c r="I27" i="6"/>
  <c r="H27" i="6"/>
  <c r="U25" i="6"/>
  <c r="T25" i="6"/>
  <c r="S25" i="6"/>
  <c r="R25" i="6"/>
  <c r="P25" i="6"/>
  <c r="O25" i="6"/>
  <c r="N25" i="6"/>
  <c r="M25" i="6"/>
  <c r="K25" i="6"/>
  <c r="J25" i="6"/>
  <c r="I25" i="6"/>
  <c r="H25" i="6"/>
  <c r="U23" i="6"/>
  <c r="T23" i="6"/>
  <c r="S23" i="6"/>
  <c r="R23" i="6"/>
  <c r="P23" i="6"/>
  <c r="O23" i="6"/>
  <c r="N23" i="6"/>
  <c r="M23" i="6"/>
  <c r="K23" i="6"/>
  <c r="J23" i="6"/>
  <c r="I23" i="6"/>
  <c r="H23" i="6"/>
  <c r="U21" i="6"/>
  <c r="T21" i="6"/>
  <c r="S21" i="6"/>
  <c r="R21" i="6"/>
  <c r="P21" i="6"/>
  <c r="O21" i="6"/>
  <c r="N21" i="6"/>
  <c r="M21" i="6"/>
  <c r="K21" i="6"/>
  <c r="J21" i="6"/>
  <c r="I21" i="6"/>
  <c r="H21" i="6"/>
  <c r="U19" i="6"/>
  <c r="T19" i="6"/>
  <c r="S19" i="6"/>
  <c r="R19" i="6"/>
  <c r="P19" i="6"/>
  <c r="O19" i="6"/>
  <c r="N19" i="6"/>
  <c r="M19" i="6"/>
  <c r="K19" i="6"/>
  <c r="J19" i="6"/>
  <c r="I19" i="6"/>
  <c r="H19" i="6"/>
  <c r="U17" i="6"/>
  <c r="T17" i="6"/>
  <c r="S17" i="6"/>
  <c r="R17" i="6"/>
  <c r="P17" i="6"/>
  <c r="O17" i="6"/>
  <c r="N17" i="6"/>
  <c r="M17" i="6"/>
  <c r="K17" i="6"/>
  <c r="J17" i="6"/>
  <c r="I17" i="6"/>
  <c r="H17" i="6"/>
  <c r="U15" i="6"/>
  <c r="T15" i="6"/>
  <c r="S15" i="6"/>
  <c r="R15" i="6"/>
  <c r="P15" i="6"/>
  <c r="O15" i="6"/>
  <c r="N15" i="6"/>
  <c r="M15" i="6"/>
  <c r="K15" i="6"/>
  <c r="J15" i="6"/>
  <c r="I15" i="6"/>
  <c r="H15" i="6"/>
  <c r="U13" i="6"/>
  <c r="T13" i="6"/>
  <c r="S13" i="6"/>
  <c r="R13" i="6"/>
  <c r="P13" i="6"/>
  <c r="O13" i="6"/>
  <c r="N13" i="6"/>
  <c r="M13" i="6"/>
  <c r="K13" i="6"/>
  <c r="J13" i="6"/>
  <c r="I13" i="6"/>
  <c r="H13" i="6"/>
  <c r="U6" i="6"/>
  <c r="T6" i="6"/>
  <c r="S6" i="6"/>
  <c r="R6" i="6"/>
  <c r="P6" i="6"/>
  <c r="O6" i="6"/>
  <c r="N6" i="6"/>
  <c r="M6" i="6"/>
  <c r="K6" i="6"/>
  <c r="J6" i="6"/>
  <c r="I6" i="6"/>
  <c r="H6" i="6"/>
  <c r="K19" i="4"/>
  <c r="K21" i="4"/>
  <c r="C30" i="4"/>
  <c r="D30" i="4"/>
  <c r="F30" i="4"/>
  <c r="H30" i="4"/>
  <c r="I30" i="4"/>
  <c r="J30" i="4"/>
  <c r="K30" i="4"/>
  <c r="M30" i="4"/>
  <c r="N30" i="4"/>
  <c r="O30" i="4"/>
  <c r="P30" i="4"/>
  <c r="R30" i="4"/>
  <c r="T30" i="4"/>
  <c r="U30" i="4"/>
  <c r="U29" i="4"/>
  <c r="T29" i="4"/>
  <c r="S29" i="4"/>
  <c r="R29" i="4"/>
  <c r="P29" i="4"/>
  <c r="O29" i="4"/>
  <c r="N29" i="4"/>
  <c r="M29" i="4"/>
  <c r="K29" i="4"/>
  <c r="I29" i="4"/>
  <c r="H29" i="4"/>
  <c r="U27" i="4"/>
  <c r="T27" i="4"/>
  <c r="S27" i="4"/>
  <c r="R27" i="4"/>
  <c r="K27" i="4"/>
  <c r="J27" i="4"/>
  <c r="I27" i="4"/>
  <c r="H27" i="4"/>
  <c r="U25" i="4"/>
  <c r="T25" i="4"/>
  <c r="S25" i="4"/>
  <c r="R25" i="4"/>
  <c r="P25" i="4"/>
  <c r="O25" i="4"/>
  <c r="N25" i="4"/>
  <c r="M25" i="4"/>
  <c r="I25" i="4"/>
  <c r="H25" i="4"/>
  <c r="U23" i="4"/>
  <c r="T23" i="4"/>
  <c r="S23" i="4"/>
  <c r="R23" i="4"/>
  <c r="P23" i="4"/>
  <c r="O23" i="4"/>
  <c r="N23" i="4"/>
  <c r="M23" i="4"/>
  <c r="K23" i="4"/>
  <c r="J23" i="4"/>
  <c r="I23" i="4"/>
  <c r="H23" i="4"/>
  <c r="U21" i="4"/>
  <c r="T21" i="4"/>
  <c r="S21" i="4"/>
  <c r="R21" i="4"/>
  <c r="P21" i="4"/>
  <c r="O21" i="4"/>
  <c r="N21" i="4"/>
  <c r="M21" i="4"/>
  <c r="J21" i="4"/>
  <c r="I21" i="4"/>
  <c r="H21" i="4"/>
  <c r="U19" i="4"/>
  <c r="T19" i="4"/>
  <c r="S19" i="4"/>
  <c r="R19" i="4"/>
  <c r="P19" i="4"/>
  <c r="O19" i="4"/>
  <c r="N19" i="4"/>
  <c r="M19" i="4"/>
  <c r="J19" i="4"/>
  <c r="I19" i="4"/>
  <c r="H19" i="4"/>
  <c r="U17" i="4"/>
  <c r="T17" i="4"/>
  <c r="S17" i="4"/>
  <c r="R17" i="4"/>
  <c r="P17" i="4"/>
  <c r="O17" i="4"/>
  <c r="N17" i="4"/>
  <c r="M17" i="4"/>
  <c r="K17" i="4"/>
  <c r="J17" i="4"/>
  <c r="I17" i="4"/>
  <c r="H17" i="4"/>
  <c r="U15" i="4"/>
  <c r="T15" i="4"/>
  <c r="S15" i="4"/>
  <c r="R15" i="4"/>
  <c r="P15" i="4"/>
  <c r="O15" i="4"/>
  <c r="N15" i="4"/>
  <c r="M15" i="4"/>
  <c r="K15" i="4"/>
  <c r="J15" i="4"/>
  <c r="I15" i="4"/>
  <c r="H15" i="4"/>
  <c r="H13" i="4"/>
  <c r="I13" i="4"/>
  <c r="J13" i="4"/>
  <c r="K13" i="4"/>
  <c r="M13" i="4"/>
  <c r="N13" i="4"/>
  <c r="O13" i="4"/>
  <c r="P13" i="4"/>
  <c r="R13" i="4"/>
  <c r="T13" i="4"/>
  <c r="U13" i="4"/>
  <c r="S13" i="4"/>
  <c r="S30" i="4"/>
  <c r="H6" i="4"/>
  <c r="I6" i="4"/>
  <c r="J6" i="4"/>
  <c r="K6" i="4"/>
  <c r="M6" i="4"/>
  <c r="N6" i="4"/>
  <c r="O6" i="4"/>
  <c r="P6" i="4"/>
  <c r="R6" i="4"/>
  <c r="T6" i="4"/>
  <c r="U6" i="4"/>
  <c r="S6" i="4"/>
  <c r="R15" i="5"/>
  <c r="J23" i="5"/>
  <c r="U23" i="5"/>
  <c r="T23" i="5"/>
  <c r="S23" i="5"/>
  <c r="R23" i="5"/>
  <c r="P23" i="5"/>
  <c r="O23" i="5"/>
  <c r="N23" i="5"/>
  <c r="M23" i="5"/>
  <c r="K23" i="5"/>
  <c r="I23" i="5"/>
  <c r="H23" i="5"/>
  <c r="U21" i="5"/>
  <c r="T21" i="5"/>
  <c r="S21" i="5"/>
  <c r="R21" i="5"/>
  <c r="P21" i="5"/>
  <c r="O21" i="5"/>
  <c r="N21" i="5"/>
  <c r="M21" i="5"/>
  <c r="K21" i="5"/>
  <c r="J21" i="5"/>
  <c r="I21" i="5"/>
  <c r="H21" i="5"/>
  <c r="U19" i="5"/>
  <c r="T19" i="5"/>
  <c r="S19" i="5"/>
  <c r="R19" i="5"/>
  <c r="P19" i="5"/>
  <c r="O19" i="5"/>
  <c r="N19" i="5"/>
  <c r="M19" i="5"/>
  <c r="K19" i="5"/>
  <c r="J19" i="5"/>
  <c r="I19" i="5"/>
  <c r="H19" i="5"/>
  <c r="U17" i="5"/>
  <c r="T17" i="5"/>
  <c r="S17" i="5"/>
  <c r="R17" i="5"/>
  <c r="P17" i="5"/>
  <c r="O17" i="5"/>
  <c r="N17" i="5"/>
  <c r="M17" i="5"/>
  <c r="K17" i="5"/>
  <c r="J17" i="5"/>
  <c r="I17" i="5"/>
  <c r="H17" i="5"/>
  <c r="U15" i="5"/>
  <c r="T15" i="5"/>
  <c r="S15" i="5"/>
  <c r="P15" i="5"/>
  <c r="O15" i="5"/>
  <c r="N15" i="5"/>
  <c r="M15" i="5"/>
  <c r="K15" i="5"/>
  <c r="J15" i="5"/>
  <c r="I15" i="5"/>
  <c r="H15" i="5"/>
  <c r="U13" i="5"/>
  <c r="T13" i="5"/>
  <c r="S13" i="5"/>
  <c r="R13" i="5"/>
  <c r="P13" i="5"/>
  <c r="O13" i="5"/>
  <c r="N13" i="5"/>
  <c r="M13" i="5"/>
  <c r="K13" i="5"/>
  <c r="J13" i="5"/>
  <c r="I13" i="5"/>
  <c r="H13" i="5"/>
  <c r="U11" i="5"/>
  <c r="T11" i="5"/>
  <c r="S11" i="5"/>
  <c r="R11" i="5"/>
  <c r="P11" i="5"/>
  <c r="O11" i="5"/>
  <c r="N11" i="5"/>
  <c r="M11" i="5"/>
  <c r="K11" i="5"/>
  <c r="J11" i="5"/>
  <c r="I11" i="5"/>
  <c r="H11" i="5"/>
  <c r="U9" i="5"/>
  <c r="T9" i="5"/>
  <c r="S9" i="5"/>
  <c r="R9" i="5"/>
  <c r="P9" i="5"/>
  <c r="O9" i="5"/>
  <c r="N9" i="5"/>
  <c r="M9" i="5"/>
  <c r="K9" i="5"/>
  <c r="J9" i="5"/>
  <c r="I9" i="5"/>
  <c r="H9" i="5"/>
  <c r="U7" i="5"/>
  <c r="T7" i="5"/>
  <c r="S7" i="5"/>
  <c r="R7" i="5"/>
  <c r="P7" i="5"/>
  <c r="O7" i="5"/>
  <c r="N7" i="5"/>
  <c r="M7" i="5"/>
  <c r="K7" i="5"/>
  <c r="J7" i="5"/>
  <c r="I7" i="5"/>
  <c r="H7" i="5"/>
  <c r="C24" i="5"/>
  <c r="D24" i="5"/>
  <c r="E24" i="5"/>
  <c r="F24" i="5"/>
  <c r="H24" i="5"/>
  <c r="I24" i="5"/>
  <c r="J24" i="5"/>
  <c r="K24" i="5"/>
  <c r="M24" i="5"/>
  <c r="N24" i="5"/>
  <c r="O24" i="5"/>
  <c r="P24" i="5"/>
  <c r="R24" i="5"/>
  <c r="S24" i="5"/>
  <c r="AI7" i="2"/>
  <c r="AJ7" i="2"/>
  <c r="AK7" i="2"/>
  <c r="AL7" i="2"/>
  <c r="AM7" i="2"/>
  <c r="AN7" i="2"/>
  <c r="AO7" i="2"/>
  <c r="AP7" i="2"/>
  <c r="AI8" i="2"/>
  <c r="AJ8" i="2"/>
  <c r="AK8" i="2"/>
  <c r="AL8" i="2"/>
  <c r="AM8" i="2"/>
  <c r="AN8" i="2"/>
  <c r="AO8" i="2"/>
  <c r="AP8" i="2"/>
  <c r="AI9" i="2"/>
  <c r="AJ9" i="2"/>
  <c r="AK9" i="2"/>
  <c r="AL9" i="2"/>
  <c r="AM9" i="2"/>
  <c r="AN9" i="2"/>
  <c r="AO9" i="2"/>
  <c r="AP9" i="2"/>
  <c r="AI10" i="2"/>
  <c r="AJ10" i="2"/>
  <c r="AK10" i="2"/>
  <c r="AL10" i="2"/>
  <c r="AM10" i="2"/>
  <c r="AN10" i="2"/>
  <c r="AO10" i="2"/>
  <c r="AP10" i="2"/>
  <c r="AI11" i="2"/>
  <c r="AJ11" i="2"/>
  <c r="AK11" i="2"/>
  <c r="AL11" i="2"/>
  <c r="AM11" i="2"/>
  <c r="AN11" i="2"/>
  <c r="AO11" i="2"/>
  <c r="AP11" i="2"/>
  <c r="AH8" i="2"/>
  <c r="AH9" i="2"/>
  <c r="AH10" i="2"/>
  <c r="AH11" i="2"/>
  <c r="AH7" i="2"/>
  <c r="AG8" i="2"/>
  <c r="AG9" i="2"/>
  <c r="AG10" i="2"/>
  <c r="AG11" i="2"/>
  <c r="AG12" i="2" s="1"/>
  <c r="AG13" i="2" s="1"/>
  <c r="AG15" i="2" s="1"/>
  <c r="AG7" i="2"/>
  <c r="AI4" i="2"/>
  <c r="AJ4" i="2"/>
  <c r="AK4" i="2"/>
  <c r="AL4" i="2"/>
  <c r="AM4" i="2"/>
  <c r="AN4" i="2"/>
  <c r="AN5" i="2" s="1"/>
  <c r="AN6" i="2" s="1"/>
  <c r="AO4" i="2"/>
  <c r="AO5" i="2" s="1"/>
  <c r="AP4" i="2"/>
  <c r="AP5" i="2" s="1"/>
  <c r="AH4" i="2"/>
  <c r="AG4" i="2"/>
  <c r="AF16" i="2"/>
  <c r="AF8" i="2"/>
  <c r="AF9" i="2"/>
  <c r="AF10" i="2"/>
  <c r="AF11" i="2"/>
  <c r="AF7" i="2"/>
  <c r="AG5" i="2"/>
  <c r="AH5" i="2"/>
  <c r="AI5" i="2"/>
  <c r="AI6" i="2" s="1"/>
  <c r="AJ5" i="2"/>
  <c r="AJ12" i="2" s="1"/>
  <c r="AJ13" i="2" s="1"/>
  <c r="AJ15" i="2" s="1"/>
  <c r="AK5" i="2"/>
  <c r="AK12" i="2" s="1"/>
  <c r="AK13" i="2" s="1"/>
  <c r="AK15" i="2" s="1"/>
  <c r="AL5" i="2"/>
  <c r="AL6" i="2" s="1"/>
  <c r="AM5" i="2"/>
  <c r="AM6" i="2" s="1"/>
  <c r="AF5" i="2"/>
  <c r="AF12" i="2" s="1"/>
  <c r="AF13" i="2" s="1"/>
  <c r="AF15" i="2" s="1"/>
  <c r="AF17" i="2" s="1"/>
  <c r="AF19" i="2" s="1"/>
  <c r="D6" i="3" s="1"/>
  <c r="AF4" i="2"/>
  <c r="AF6" i="2"/>
  <c r="AG6" i="2"/>
  <c r="AH6" i="2"/>
  <c r="AJ6" i="2"/>
  <c r="AH12" i="2"/>
  <c r="AH13" i="2" s="1"/>
  <c r="AH15" i="2" s="1"/>
  <c r="AI12" i="2"/>
  <c r="AI13" i="2" s="1"/>
  <c r="AI15" i="2" s="1"/>
  <c r="AI16" i="2" s="1"/>
  <c r="AP12" i="2" l="1"/>
  <c r="AP13" i="2" s="1"/>
  <c r="AP15" i="2" s="1"/>
  <c r="AO12" i="2"/>
  <c r="AO13" i="2" s="1"/>
  <c r="AO15" i="2" s="1"/>
  <c r="AO16" i="2" s="1"/>
  <c r="AO17" i="2" s="1"/>
  <c r="AO19" i="2" s="1"/>
  <c r="AP16" i="2"/>
  <c r="AP17" i="2" s="1"/>
  <c r="AP6" i="2"/>
  <c r="AO6" i="2"/>
  <c r="AK6" i="2"/>
  <c r="AK16" i="2"/>
  <c r="AK17" i="2" s="1"/>
  <c r="AK19" i="2" s="1"/>
  <c r="AJ16" i="2"/>
  <c r="AJ17" i="2" s="1"/>
  <c r="AJ19" i="2" s="1"/>
  <c r="AH16" i="2"/>
  <c r="AH17" i="2" s="1"/>
  <c r="AH19" i="2" s="1"/>
  <c r="F6" i="3" s="1"/>
  <c r="AG16" i="2"/>
  <c r="AG17" i="2" s="1"/>
  <c r="AG19" i="2" s="1"/>
  <c r="E6" i="3" s="1"/>
  <c r="AI17" i="2"/>
  <c r="AI19" i="2" s="1"/>
  <c r="AN12" i="2"/>
  <c r="AN13" i="2" s="1"/>
  <c r="AN15" i="2" s="1"/>
  <c r="AM12" i="2"/>
  <c r="AM13" i="2" s="1"/>
  <c r="AM15" i="2" s="1"/>
  <c r="AL12" i="2"/>
  <c r="AL13" i="2" s="1"/>
  <c r="AL15" i="2" s="1"/>
  <c r="AQ17" i="2" l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AP19" i="2"/>
  <c r="AL16" i="2"/>
  <c r="AL17" i="2" s="1"/>
  <c r="AM16" i="2"/>
  <c r="AM17" i="2" s="1"/>
  <c r="AM19" i="2" s="1"/>
  <c r="AN16" i="2"/>
  <c r="AN17" i="2" s="1"/>
  <c r="AN19" i="2" s="1"/>
  <c r="D75" i="2"/>
  <c r="H78" i="2"/>
  <c r="H76" i="2"/>
  <c r="H75" i="2"/>
  <c r="AF22" i="2"/>
  <c r="AG22" i="2"/>
  <c r="AH22" i="2"/>
  <c r="AI22" i="2"/>
  <c r="AJ22" i="2"/>
  <c r="AK22" i="2"/>
  <c r="AL22" i="2"/>
  <c r="AM22" i="2"/>
  <c r="AN22" i="2"/>
  <c r="AO22" i="2"/>
  <c r="AP22" i="2"/>
  <c r="Y22" i="2"/>
  <c r="Z22" i="2"/>
  <c r="AA22" i="2"/>
  <c r="AB22" i="2"/>
  <c r="AC22" i="2"/>
  <c r="AD22" i="2"/>
  <c r="AE22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V23" i="2"/>
  <c r="W23" i="2"/>
  <c r="R22" i="2"/>
  <c r="S22" i="2"/>
  <c r="R23" i="2"/>
  <c r="S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F12" i="2"/>
  <c r="F13" i="2" s="1"/>
  <c r="F15" i="2" s="1"/>
  <c r="F17" i="2" s="1"/>
  <c r="F6" i="2"/>
  <c r="G12" i="2"/>
  <c r="G13" i="2" s="1"/>
  <c r="G15" i="2" s="1"/>
  <c r="G17" i="2" s="1"/>
  <c r="G6" i="2"/>
  <c r="D12" i="2"/>
  <c r="D13" i="2" s="1"/>
  <c r="D15" i="2" s="1"/>
  <c r="D17" i="2" s="1"/>
  <c r="D6" i="2"/>
  <c r="H12" i="2"/>
  <c r="H13" i="2" s="1"/>
  <c r="H15" i="2" s="1"/>
  <c r="H17" i="2" s="1"/>
  <c r="H6" i="2"/>
  <c r="E12" i="2"/>
  <c r="E13" i="2" s="1"/>
  <c r="E15" i="2" s="1"/>
  <c r="E17" i="2" s="1"/>
  <c r="E6" i="2"/>
  <c r="I12" i="2"/>
  <c r="I13" i="2" s="1"/>
  <c r="I15" i="2" s="1"/>
  <c r="I17" i="2" s="1"/>
  <c r="I6" i="2"/>
  <c r="J12" i="2"/>
  <c r="J22" i="2" s="1"/>
  <c r="J6" i="2"/>
  <c r="N12" i="2"/>
  <c r="N13" i="2" s="1"/>
  <c r="N15" i="2" s="1"/>
  <c r="N17" i="2" s="1"/>
  <c r="N6" i="2"/>
  <c r="H22" i="2"/>
  <c r="K12" i="2"/>
  <c r="K13" i="2"/>
  <c r="K15" i="2" s="1"/>
  <c r="K17" i="2" s="1"/>
  <c r="K6" i="2"/>
  <c r="O12" i="2"/>
  <c r="O13" i="2" s="1"/>
  <c r="O15" i="2" s="1"/>
  <c r="O17" i="2" s="1"/>
  <c r="O6" i="2"/>
  <c r="L75" i="2"/>
  <c r="P78" i="2"/>
  <c r="P75" i="2"/>
  <c r="L12" i="2"/>
  <c r="L13" i="2" s="1"/>
  <c r="L15" i="2" s="1"/>
  <c r="L17" i="2" s="1"/>
  <c r="L6" i="2"/>
  <c r="P12" i="2"/>
  <c r="P13" i="2" s="1"/>
  <c r="P15" i="2" s="1"/>
  <c r="P17" i="2" s="1"/>
  <c r="P6" i="2"/>
  <c r="AL19" i="2" l="1"/>
  <c r="AS22" i="2"/>
  <c r="AS24" i="2" s="1"/>
  <c r="AS25" i="2" s="1"/>
  <c r="K22" i="2"/>
  <c r="P22" i="2"/>
  <c r="O22" i="2"/>
  <c r="L22" i="2"/>
  <c r="I22" i="2"/>
  <c r="J13" i="2"/>
  <c r="J15" i="2" s="1"/>
  <c r="J17" i="2" s="1"/>
  <c r="N22" i="2"/>
  <c r="V24" i="2"/>
  <c r="W24" i="2"/>
  <c r="W21" i="2"/>
  <c r="X21" i="2"/>
  <c r="V19" i="2"/>
  <c r="W19" i="2"/>
  <c r="Z21" i="2"/>
  <c r="Y21" i="2"/>
  <c r="X12" i="2"/>
  <c r="X13" i="2" s="1"/>
  <c r="X15" i="2" s="1"/>
  <c r="X17" i="2" s="1"/>
  <c r="X19" i="2" s="1"/>
  <c r="X6" i="2"/>
  <c r="Y12" i="2"/>
  <c r="Y13" i="2" s="1"/>
  <c r="Y15" i="2" s="1"/>
  <c r="Y17" i="2" s="1"/>
  <c r="Y19" i="2" s="1"/>
  <c r="Y6" i="2"/>
  <c r="X24" i="2" l="1"/>
  <c r="Y24" i="2"/>
  <c r="B8" i="2"/>
  <c r="B7" i="2"/>
  <c r="M78" i="2"/>
  <c r="M81" i="2" s="1"/>
  <c r="M75" i="2"/>
  <c r="M76" i="2" s="1"/>
  <c r="D76" i="2"/>
  <c r="E76" i="2"/>
  <c r="E92" i="2" s="1"/>
  <c r="F76" i="2"/>
  <c r="G76" i="2"/>
  <c r="G92" i="2" s="1"/>
  <c r="H92" i="2"/>
  <c r="I76" i="2"/>
  <c r="I92" i="2" s="1"/>
  <c r="J76" i="2"/>
  <c r="J92" i="2" s="1"/>
  <c r="K76" i="2"/>
  <c r="K92" i="2" s="1"/>
  <c r="L76" i="2"/>
  <c r="L92" i="2" s="1"/>
  <c r="N76" i="2"/>
  <c r="N92" i="2" s="1"/>
  <c r="O76" i="2"/>
  <c r="O92" i="2" s="1"/>
  <c r="P76" i="2"/>
  <c r="P92" i="2" s="1"/>
  <c r="D81" i="2"/>
  <c r="E81" i="2"/>
  <c r="F81" i="2"/>
  <c r="G81" i="2"/>
  <c r="H81" i="2"/>
  <c r="I81" i="2"/>
  <c r="J81" i="2"/>
  <c r="K81" i="2"/>
  <c r="L81" i="2"/>
  <c r="N81" i="2"/>
  <c r="O81" i="2"/>
  <c r="P81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Q78" i="2"/>
  <c r="Q81" i="2" s="1"/>
  <c r="Q75" i="2"/>
  <c r="Q76" i="2" s="1"/>
  <c r="R67" i="2"/>
  <c r="S67" i="2"/>
  <c r="D67" i="2"/>
  <c r="E67" i="2"/>
  <c r="F67" i="2"/>
  <c r="G67" i="2"/>
  <c r="H67" i="2"/>
  <c r="I67" i="2"/>
  <c r="J67" i="2"/>
  <c r="K67" i="2"/>
  <c r="L67" i="2"/>
  <c r="N67" i="2"/>
  <c r="O67" i="2"/>
  <c r="P67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Q51" i="2"/>
  <c r="Q46" i="2"/>
  <c r="M12" i="2"/>
  <c r="M6" i="2"/>
  <c r="P19" i="2"/>
  <c r="O19" i="2"/>
  <c r="N19" i="2"/>
  <c r="L19" i="2"/>
  <c r="K19" i="2"/>
  <c r="J19" i="2"/>
  <c r="I19" i="2"/>
  <c r="H19" i="2"/>
  <c r="G19" i="2"/>
  <c r="F19" i="2"/>
  <c r="E19" i="2"/>
  <c r="D19" i="2"/>
  <c r="S19" i="2"/>
  <c r="R19" i="2"/>
  <c r="Q12" i="2"/>
  <c r="Q6" i="2"/>
  <c r="H21" i="2"/>
  <c r="I21" i="2"/>
  <c r="J21" i="2"/>
  <c r="K21" i="2"/>
  <c r="L21" i="2"/>
  <c r="M21" i="2"/>
  <c r="N21" i="2"/>
  <c r="O21" i="2"/>
  <c r="P21" i="2"/>
  <c r="Q21" i="2"/>
  <c r="R21" i="2"/>
  <c r="S21" i="2"/>
  <c r="R24" i="2"/>
  <c r="P24" i="2"/>
  <c r="O24" i="2"/>
  <c r="N24" i="2"/>
  <c r="L24" i="2"/>
  <c r="K24" i="2"/>
  <c r="J24" i="2"/>
  <c r="I24" i="2"/>
  <c r="H24" i="2"/>
  <c r="G24" i="2"/>
  <c r="F24" i="2"/>
  <c r="E24" i="2"/>
  <c r="D24" i="2"/>
  <c r="S24" i="2"/>
  <c r="AF24" i="2"/>
  <c r="AG24" i="2"/>
  <c r="AH24" i="2"/>
  <c r="AI24" i="2"/>
  <c r="AJ24" i="2"/>
  <c r="AK24" i="2"/>
  <c r="AL24" i="2"/>
  <c r="AM24" i="2"/>
  <c r="AN24" i="2"/>
  <c r="AO24" i="2"/>
  <c r="AP24" i="2"/>
  <c r="AF21" i="2"/>
  <c r="AG21" i="2"/>
  <c r="AH21" i="2"/>
  <c r="AI21" i="2"/>
  <c r="AJ21" i="2"/>
  <c r="AK21" i="2"/>
  <c r="AL21" i="2"/>
  <c r="AM21" i="2"/>
  <c r="AN21" i="2"/>
  <c r="AO21" i="2"/>
  <c r="AP21" i="2"/>
  <c r="AA21" i="2"/>
  <c r="AB21" i="2"/>
  <c r="AC21" i="2"/>
  <c r="AD21" i="2"/>
  <c r="AE21" i="2"/>
  <c r="Z83" i="2"/>
  <c r="Z86" i="2" s="1"/>
  <c r="Z78" i="2"/>
  <c r="Z81" i="2" s="1"/>
  <c r="Z75" i="2"/>
  <c r="Z76" i="2" s="1"/>
  <c r="AA86" i="2"/>
  <c r="AA78" i="2"/>
  <c r="AA81" i="2" s="1"/>
  <c r="AA75" i="2"/>
  <c r="AA76" i="2" s="1"/>
  <c r="Z12" i="2"/>
  <c r="Z13" i="2" s="1"/>
  <c r="Z6" i="2"/>
  <c r="AA12" i="2"/>
  <c r="AA13" i="2" s="1"/>
  <c r="AA15" i="2" s="1"/>
  <c r="AA17" i="2" s="1"/>
  <c r="AA19" i="2" s="1"/>
  <c r="AA6" i="2"/>
  <c r="AB83" i="2"/>
  <c r="AB86" i="2" s="1"/>
  <c r="AB78" i="2"/>
  <c r="AB81" i="2" s="1"/>
  <c r="AB75" i="2"/>
  <c r="AB76" i="2" s="1"/>
  <c r="AC83" i="2"/>
  <c r="AC86" i="2" s="1"/>
  <c r="AC75" i="2"/>
  <c r="AC76" i="2" s="1"/>
  <c r="AB12" i="2"/>
  <c r="AB13" i="2" s="1"/>
  <c r="AB15" i="2" s="1"/>
  <c r="AB17" i="2" s="1"/>
  <c r="AB19" i="2" s="1"/>
  <c r="AB6" i="2"/>
  <c r="AC12" i="2"/>
  <c r="AC13" i="2" s="1"/>
  <c r="AC15" i="2" s="1"/>
  <c r="AC17" i="2" s="1"/>
  <c r="AC19" i="2" s="1"/>
  <c r="AC6" i="2"/>
  <c r="AD75" i="2"/>
  <c r="AD72" i="2"/>
  <c r="AD86" i="2"/>
  <c r="AC81" i="2"/>
  <c r="AD81" i="2"/>
  <c r="AE86" i="2"/>
  <c r="AE78" i="2"/>
  <c r="AE81" i="2" s="1"/>
  <c r="AE75" i="2"/>
  <c r="AE72" i="2"/>
  <c r="AD12" i="2"/>
  <c r="AD13" i="2" s="1"/>
  <c r="AD15" i="2" s="1"/>
  <c r="AD6" i="2"/>
  <c r="AE12" i="2"/>
  <c r="AE13" i="2" s="1"/>
  <c r="AE15" i="2" s="1"/>
  <c r="AE17" i="2" s="1"/>
  <c r="AE19" i="2" s="1"/>
  <c r="AE6" i="2"/>
  <c r="M13" i="2" l="1"/>
  <c r="M67" i="2" s="1"/>
  <c r="M22" i="2"/>
  <c r="Q13" i="2"/>
  <c r="Q67" i="2" s="1"/>
  <c r="Q22" i="2"/>
  <c r="E64" i="2"/>
  <c r="AB92" i="2"/>
  <c r="AE76" i="2"/>
  <c r="AE92" i="2" s="1"/>
  <c r="D64" i="2"/>
  <c r="N64" i="2"/>
  <c r="Z15" i="2"/>
  <c r="Z17" i="2" s="1"/>
  <c r="Z19" i="2" s="1"/>
  <c r="Z24" i="2"/>
  <c r="F90" i="2"/>
  <c r="D90" i="2"/>
  <c r="N90" i="2"/>
  <c r="L90" i="2"/>
  <c r="AC24" i="2"/>
  <c r="AE24" i="2"/>
  <c r="L64" i="2"/>
  <c r="AA67" i="2"/>
  <c r="Q64" i="2"/>
  <c r="Q92" i="2"/>
  <c r="Q90" i="2"/>
  <c r="D92" i="2"/>
  <c r="E90" i="2"/>
  <c r="Z67" i="2"/>
  <c r="AB24" i="2"/>
  <c r="AD24" i="2"/>
  <c r="AD76" i="2"/>
  <c r="AD92" i="2" s="1"/>
  <c r="AA24" i="2"/>
  <c r="F64" i="2"/>
  <c r="F92" i="2"/>
  <c r="M90" i="2"/>
  <c r="M92" i="2"/>
  <c r="P90" i="2"/>
  <c r="O90" i="2"/>
  <c r="K90" i="2"/>
  <c r="J90" i="2"/>
  <c r="H90" i="2"/>
  <c r="I90" i="2"/>
  <c r="G90" i="2"/>
  <c r="M64" i="2"/>
  <c r="H64" i="2"/>
  <c r="K64" i="2"/>
  <c r="J64" i="2"/>
  <c r="I64" i="2"/>
  <c r="P64" i="2"/>
  <c r="O64" i="2"/>
  <c r="G64" i="2"/>
  <c r="M15" i="2"/>
  <c r="M17" i="2" s="1"/>
  <c r="M19" i="2" s="1"/>
  <c r="M24" i="2"/>
  <c r="Q24" i="2"/>
  <c r="Q15" i="2"/>
  <c r="Q17" i="2" s="1"/>
  <c r="Q19" i="2" s="1"/>
  <c r="AC67" i="2"/>
  <c r="AB67" i="2"/>
  <c r="Z90" i="2"/>
  <c r="AA90" i="2"/>
  <c r="AA92" i="2"/>
  <c r="AC90" i="2"/>
  <c r="Z92" i="2"/>
  <c r="AB90" i="2"/>
  <c r="AC92" i="2"/>
  <c r="AD17" i="2"/>
  <c r="AD19" i="2" s="1"/>
  <c r="AE90" i="2" l="1"/>
  <c r="AD90" i="2"/>
  <c r="B6" i="2" l="1"/>
  <c r="B9" i="2" s="1"/>
  <c r="D5" i="3" l="1"/>
  <c r="F5" i="3"/>
  <c r="E5" i="3"/>
</calcChain>
</file>

<file path=xl/sharedStrings.xml><?xml version="1.0" encoding="utf-8"?>
<sst xmlns="http://schemas.openxmlformats.org/spreadsheetml/2006/main" count="306" uniqueCount="153">
  <si>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</si>
  <si>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</si>
  <si>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</si>
  <si>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</si>
  <si>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</si>
  <si>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</si>
  <si>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</si>
  <si>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</si>
  <si>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</si>
  <si>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</si>
  <si>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</si>
  <si>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</si>
  <si>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</si>
  <si>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</si>
  <si>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</si>
  <si>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</si>
  <si>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</si>
  <si>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</si>
  <si>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</si>
  <si>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</si>
  <si>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</si>
  <si>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</si>
  <si>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</si>
  <si>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</si>
  <si>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</si>
  <si>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</si>
  <si>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</si>
  <si>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</si>
  <si>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</si>
  <si>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EV/EBIT</t>
  </si>
  <si>
    <t>P/E</t>
  </si>
  <si>
    <t>Q225</t>
  </si>
  <si>
    <t>FY 2019</t>
  </si>
  <si>
    <t>FY 2020</t>
  </si>
  <si>
    <t>FY 2021</t>
  </si>
  <si>
    <t>Q325</t>
  </si>
  <si>
    <t>Q425</t>
  </si>
  <si>
    <t>Q125</t>
  </si>
  <si>
    <t>SEK million</t>
  </si>
  <si>
    <t>MC SEKm</t>
  </si>
  <si>
    <t>Cash SEKm</t>
  </si>
  <si>
    <t>Debt SEKm</t>
  </si>
  <si>
    <t>EV SEKm</t>
  </si>
  <si>
    <t>Revenue y/y</t>
  </si>
  <si>
    <t>EBIT margin</t>
  </si>
  <si>
    <t>ROE</t>
  </si>
  <si>
    <t>12.2%</t>
  </si>
  <si>
    <t>Revenues</t>
  </si>
  <si>
    <t>COGS</t>
  </si>
  <si>
    <t>Gross profit</t>
  </si>
  <si>
    <t>Selling expenses</t>
  </si>
  <si>
    <t>Adminstrative expenses</t>
  </si>
  <si>
    <t>R&amp;D</t>
  </si>
  <si>
    <t>Other operating inome</t>
  </si>
  <si>
    <t>Other opex</t>
  </si>
  <si>
    <t>Total opex</t>
  </si>
  <si>
    <t>Operating income (EBIT)</t>
  </si>
  <si>
    <t>Financial items</t>
  </si>
  <si>
    <t>PTP</t>
  </si>
  <si>
    <t>Tax</t>
  </si>
  <si>
    <t>Net income</t>
  </si>
  <si>
    <t>Share</t>
  </si>
  <si>
    <t>EPS</t>
  </si>
  <si>
    <t>Model OP</t>
  </si>
  <si>
    <t>Reported OP</t>
  </si>
  <si>
    <t>D/A</t>
  </si>
  <si>
    <t>Gains from divestements</t>
  </si>
  <si>
    <t>Other items not affecting liq</t>
  </si>
  <si>
    <t>Interest received</t>
  </si>
  <si>
    <t>Interest paid</t>
  </si>
  <si>
    <t>Tax paid</t>
  </si>
  <si>
    <t>WC</t>
  </si>
  <si>
    <t>CFFO</t>
  </si>
  <si>
    <t>Capex</t>
  </si>
  <si>
    <t>Divestment of property</t>
  </si>
  <si>
    <t>Net settlements, business combination</t>
  </si>
  <si>
    <t>CFFI</t>
  </si>
  <si>
    <t>Loans raised and changes to existing loans</t>
  </si>
  <si>
    <t>Amortization of lease liability</t>
  </si>
  <si>
    <t>Dividend paid</t>
  </si>
  <si>
    <t>CFFF</t>
  </si>
  <si>
    <t>FX</t>
  </si>
  <si>
    <t>CIC</t>
  </si>
  <si>
    <t>FCF</t>
  </si>
  <si>
    <t xml:space="preserve">Cash flow SEKm </t>
  </si>
  <si>
    <t>Balanse SEKm</t>
  </si>
  <si>
    <t>Brands and other intangiable assets</t>
  </si>
  <si>
    <t>Goodwill</t>
  </si>
  <si>
    <t>Land and buildings</t>
  </si>
  <si>
    <t>Plant and machinery</t>
  </si>
  <si>
    <t>Equipment, tools, fixtures</t>
  </si>
  <si>
    <t>Construction in progress</t>
  </si>
  <si>
    <t>Right-of-use assets</t>
  </si>
  <si>
    <t>Non-current receivables</t>
  </si>
  <si>
    <t>Deferred tax asset</t>
  </si>
  <si>
    <t>Raw materials and consumables</t>
  </si>
  <si>
    <t>Work in progress</t>
  </si>
  <si>
    <t>Finished products and merchandise</t>
  </si>
  <si>
    <t>Trade receivables</t>
  </si>
  <si>
    <t>Current tax assets</t>
  </si>
  <si>
    <t>Other receivables</t>
  </si>
  <si>
    <t>Prepaid expenses and accrued income</t>
  </si>
  <si>
    <t>Current capex</t>
  </si>
  <si>
    <t>Cash</t>
  </si>
  <si>
    <t>Total assets</t>
  </si>
  <si>
    <t>Share capital</t>
  </si>
  <si>
    <t>Other contributed capital</t>
  </si>
  <si>
    <t>Reserves</t>
  </si>
  <si>
    <t>Retained earnings</t>
  </si>
  <si>
    <t>Total equity</t>
  </si>
  <si>
    <t>Provisions for pensions and other</t>
  </si>
  <si>
    <t>Deferred tax liabilities</t>
  </si>
  <si>
    <t>Other provisons</t>
  </si>
  <si>
    <t>Lease liability</t>
  </si>
  <si>
    <t>Liabilities to banks</t>
  </si>
  <si>
    <t>Other non-current liabilities</t>
  </si>
  <si>
    <t>Trade payable</t>
  </si>
  <si>
    <t>Current tax liabilites</t>
  </si>
  <si>
    <t>Other liabilites</t>
  </si>
  <si>
    <t>Accrued expenses and deferred income</t>
  </si>
  <si>
    <t>Total debt</t>
  </si>
  <si>
    <t>Total E/D</t>
  </si>
  <si>
    <t>FY 2017</t>
  </si>
  <si>
    <t>FY 2018</t>
  </si>
  <si>
    <t>FY 2015</t>
  </si>
  <si>
    <t>FY 2016</t>
  </si>
  <si>
    <t>OPEX Y/Y</t>
  </si>
  <si>
    <t>Gross margin</t>
  </si>
  <si>
    <t>Discount</t>
  </si>
  <si>
    <t>TV</t>
  </si>
  <si>
    <t>NPV</t>
  </si>
  <si>
    <t>NPV/Share</t>
  </si>
  <si>
    <t>Opp/nedside</t>
  </si>
  <si>
    <t>Sweden</t>
  </si>
  <si>
    <t>Other Nordic countries</t>
  </si>
  <si>
    <t>Germany</t>
  </si>
  <si>
    <t>Other European countries</t>
  </si>
  <si>
    <t>US</t>
  </si>
  <si>
    <t>Rest of North America</t>
  </si>
  <si>
    <t>Brazil</t>
  </si>
  <si>
    <t>Australia/New Zealand</t>
  </si>
  <si>
    <t xml:space="preserve">China </t>
  </si>
  <si>
    <t>Rest of world</t>
  </si>
  <si>
    <t>Group</t>
  </si>
  <si>
    <t>Growth %</t>
  </si>
  <si>
    <t>Revenue</t>
  </si>
  <si>
    <t>EBITDA</t>
  </si>
  <si>
    <t>EBITA</t>
  </si>
  <si>
    <t>EBITA margin %</t>
  </si>
  <si>
    <t>EBIT</t>
  </si>
  <si>
    <t>Truck and Trailer</t>
  </si>
  <si>
    <t>Mobile Thermal sol</t>
  </si>
  <si>
    <t>Press release: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</si>
</sst>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#,##0.0000"/>
  </numFmts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2" fillId="0" borderId="1" xfId="0" applyFont="1" applyBorder="1" applyAlignment="1">
      <alignment horizontal="right"/>
    </xf>
    <xf numFmtId="10" fontId="1" fillId="0" borderId="0" xfId="0" applyNumberFormat="1" applyFont="1"/>
    <xf numFmtId="10" fontId="2" fillId="0" borderId="0" xfId="0" applyNumberFormat="1" applyFont="1"/>
    <xf numFmtId="10" fontId="2" fillId="0" borderId="1" xfId="0" applyNumberFormat="1" applyFont="1" applyBorder="1"/>
    <xf numFmtId="10" fontId="2" fillId="0" borderId="0" xfId="0" applyNumberFormat="1" applyFont="1" applyAlignment="1">
      <alignment horizontal="right"/>
    </xf>
    <xf numFmtId="10" fontId="1" fillId="0" borderId="1" xfId="0" applyNumberFormat="1" applyFont="1" applyBorder="1"/>
    <xf numFmtId="166" fontId="1" fillId="0" borderId="0" xfId="0" applyNumberFormat="1" applyFont="1"/>
    <xf numFmtId="0" fontId="5" fillId="0" borderId="2" xfId="0" applyFont="1" applyBorder="1"/>
    <xf numFmtId="165" fontId="6" fillId="0" borderId="2" xfId="0" applyNumberFormat="1" applyFont="1" applyBorder="1"/>
    <xf numFmtId="3" fontId="4" fillId="0" borderId="1" xfId="0" applyNumberFormat="1" applyFont="1" applyBorder="1"/>
    <xf numFmtId="0" fontId="2" fillId="0" borderId="3" xfId="0" applyFont="1" applyBorder="1"/>
    <xf numFmtId="9" fontId="2" fillId="0" borderId="0" xfId="0" applyNumberFormat="1" applyFont="1"/>
    <xf numFmtId="8" fontId="2" fillId="0" borderId="3" xfId="0" applyNumberFormat="1" applyFont="1" applyBorder="1"/>
    <xf numFmtId="0" fontId="8" fillId="0" borderId="0" xfId="0" applyFont="1"/>
    <xf numFmtId="10" fontId="8" fillId="0" borderId="0" xfId="0" applyNumberFormat="1" applyFont="1"/>
    <xf numFmtId="0" fontId="1" fillId="0" borderId="3" xfId="0" applyFont="1" applyBorder="1"/>
    <xf numFmtId="0" fontId="4" fillId="0" borderId="3" xfId="0" applyFont="1" applyBorder="1"/>
    <xf numFmtId="10" fontId="4" fillId="0" borderId="3" xfId="0" applyNumberFormat="1" applyFont="1" applyBorder="1"/>
    <xf numFmtId="10" fontId="4" fillId="0" borderId="0" xfId="0" applyNumberFormat="1" applyFont="1"/>
    <xf numFmtId="1" fontId="1" fillId="0" borderId="3" xfId="0" applyNumberFormat="1" applyFont="1" applyBorder="1"/>
    <xf numFmtId="0" fontId="1" fillId="0" borderId="5" xfId="0" applyFont="1" applyBorder="1" applyAlignment="1">
      <alignment horizontal="right"/>
    </xf>
    <xf numFmtId="0" fontId="2" fillId="0" borderId="5" xfId="0" applyFont="1" applyBorder="1"/>
    <xf numFmtId="0" fontId="1" fillId="0" borderId="5" xfId="0" applyFont="1" applyBorder="1"/>
    <xf numFmtId="0" fontId="9" fillId="0" borderId="5" xfId="0" applyFont="1" applyBorder="1"/>
    <xf numFmtId="10" fontId="3" fillId="0" borderId="5" xfId="0" applyNumberFormat="1" applyFont="1" applyBorder="1"/>
    <xf numFmtId="10" fontId="3" fillId="0" borderId="4" xfId="0" applyNumberFormat="1" applyFont="1" applyBorder="1"/>
    <xf numFmtId="0" fontId="1" fillId="0" borderId="4" xfId="0" applyFont="1" applyBorder="1"/>
    <xf numFmtId="10" fontId="9" fillId="0" borderId="5" xfId="0" applyNumberFormat="1" applyFont="1" applyBorder="1"/>
    <xf numFmtId="10" fontId="8" fillId="0" borderId="5" xfId="0" applyNumberFormat="1" applyFont="1" applyBorder="1"/>
    <xf numFmtId="0" fontId="2" fillId="0" borderId="4" xfId="0" applyFont="1" applyBorder="1"/>
    <xf numFmtId="0" fontId="8" fillId="0" borderId="5" xfId="0" applyFont="1" applyBorder="1"/>
    <xf numFmtId="0" fontId="0" fillId="0" borderId="4" xfId="0" applyBorder="1"/>
    <xf numFmtId="1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774700</xdr:colOff>
      <xdr:row>0</xdr:row>
      <xdr:rowOff>0</xdr:rowOff>
    </xdr:from>
    <xdr:to>
      <xdr:col>16</xdr:col>
      <xdr:colOff>361896</xdr:colOff>
      <xdr:row>22</xdr:row>
      <xdr:rowOff>12700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2E31234-F161-F3EF-5B36-8298AFF28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1200" y="0"/>
          <a:ext cx="10318696" cy="532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5:A13"/>
  <sheetViews>
    <sheetView showGridLines="0" workbookViewId="0">
      <selection activeCell="A14" sqref="A14"/>
    </sheetView>
  </sheetViews>
  <sheetFormatPr baseColWidth="10" defaultRowHeight="19" x14ac:dyDescent="0.25"/>
  <cols>
    <col min="1" max="16384" width="10.83203125" style="2"/>
  </cols>
  <sheetData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13" spans="1:1" x14ac:dyDescent="0.25">
      <c r="A13" s="1" t="s">
        <v>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DX92"/>
  <sheetViews>
    <sheetView showGridLines="0" tabSelected="1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S17" sqref="S17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36.8320312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83203125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2"/>
    <col min="17" max="17" width="10.83203125" style="4"/>
    <col min="18" max="19" width="10.83203125" style="2"/>
    <col min="20" max="20" width="12" style="2" bestFit="1" customWidth="1"/>
    <col min="21" max="31" width="10.83203125" style="2"/>
    <col min="32" max="32" width="10.83203125" style="4"/>
    <col min="33" max="43" width="10.83203125" style="2"/>
    <col min="44" max="44" width="14.1640625" style="2" bestFit="1" customWidth="1"/>
    <col min="45" max="45" width="14" style="2" bestFit="1" customWidth="1"/>
    <col min="46" max="16384" width="10.83203125" style="2"/>
  </cols>
  <sheetData>
    <row r="1" spans="1:42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AB1" s="1"/>
    </row>
    <row r="3" spans="1:42" x14ac:dyDescent="0.25">
      <c r="A3" s="1" t="s">
        <v>0</v>
      </c>
      <c r="C3" s="2" t="s">
        <v>38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37</v>
      </c>
      <c r="Q3" s="16" t="s">
        <v>31</v>
      </c>
      <c r="R3" s="7" t="s">
        <v>35</v>
      </c>
      <c r="S3" s="7" t="s">
        <v>36</v>
      </c>
      <c r="V3" s="7" t="s">
        <v>124</v>
      </c>
      <c r="W3" s="7" t="s">
        <v>125</v>
      </c>
      <c r="X3" s="7" t="s">
        <v>122</v>
      </c>
      <c r="Y3" s="7" t="s">
        <v>123</v>
      </c>
      <c r="Z3" s="7" t="s">
        <v>32</v>
      </c>
      <c r="AA3" s="7" t="s">
        <v>33</v>
      </c>
      <c r="AB3" s="7" t="s">
        <v>34</v>
      </c>
      <c r="AC3" s="7" t="s">
        <v>15</v>
      </c>
      <c r="AD3" s="7" t="s">
        <v>16</v>
      </c>
      <c r="AE3" s="7" t="s">
        <v>17</v>
      </c>
      <c r="AF3" s="16" t="s">
        <v>18</v>
      </c>
      <c r="AG3" s="7" t="s">
        <v>19</v>
      </c>
      <c r="AH3" s="7" t="s">
        <v>20</v>
      </c>
      <c r="AI3" s="7" t="s">
        <v>21</v>
      </c>
      <c r="AJ3" s="7" t="s">
        <v>22</v>
      </c>
      <c r="AK3" s="7" t="s">
        <v>23</v>
      </c>
      <c r="AL3" s="7" t="s">
        <v>24</v>
      </c>
      <c r="AM3" s="7" t="s">
        <v>25</v>
      </c>
      <c r="AN3" s="7" t="s">
        <v>26</v>
      </c>
      <c r="AO3" s="7" t="s">
        <v>27</v>
      </c>
      <c r="AP3" s="7" t="s">
        <v>28</v>
      </c>
    </row>
    <row r="4" spans="1:42" x14ac:dyDescent="0.25">
      <c r="A4" s="2" t="s">
        <v>1</v>
      </c>
      <c r="B4" s="4">
        <v>277</v>
      </c>
      <c r="C4" s="1" t="s">
        <v>47</v>
      </c>
      <c r="D4" s="11">
        <v>1155.5</v>
      </c>
      <c r="E4" s="11">
        <v>1141.3</v>
      </c>
      <c r="F4" s="11">
        <v>1091.5999999999999</v>
      </c>
      <c r="G4" s="11">
        <v>1191.5</v>
      </c>
      <c r="H4" s="11">
        <v>1399.9</v>
      </c>
      <c r="I4" s="11">
        <v>1450.2</v>
      </c>
      <c r="J4" s="11">
        <v>1439.9</v>
      </c>
      <c r="K4" s="11">
        <v>1449.9</v>
      </c>
      <c r="L4" s="11">
        <v>1535</v>
      </c>
      <c r="M4" s="11">
        <v>1494.3</v>
      </c>
      <c r="N4" s="11">
        <v>1272.9000000000001</v>
      </c>
      <c r="O4" s="11">
        <v>1276.5999999999999</v>
      </c>
      <c r="P4" s="11">
        <v>1351.3</v>
      </c>
      <c r="Q4" s="12">
        <v>1362.4</v>
      </c>
      <c r="R4" s="13"/>
      <c r="S4" s="13"/>
      <c r="T4" s="13"/>
      <c r="U4" s="13"/>
      <c r="V4" s="11">
        <v>1315.3</v>
      </c>
      <c r="W4" s="11">
        <v>1543.9</v>
      </c>
      <c r="X4" s="11">
        <v>3002.0450000000001</v>
      </c>
      <c r="Y4" s="11">
        <v>3492.4490000000001</v>
      </c>
      <c r="Z4" s="11">
        <v>3725.442</v>
      </c>
      <c r="AA4" s="11">
        <v>3147.1570000000002</v>
      </c>
      <c r="AB4" s="11">
        <v>3611.2240000000002</v>
      </c>
      <c r="AC4" s="11">
        <v>4579.9780000000001</v>
      </c>
      <c r="AD4" s="11">
        <v>5739.7560000000003</v>
      </c>
      <c r="AE4" s="11">
        <v>5578.8590000000004</v>
      </c>
      <c r="AF4" s="12">
        <f>AE4*0.9</f>
        <v>5020.9731000000002</v>
      </c>
      <c r="AG4" s="11">
        <f>AF4*1.05</f>
        <v>5272.0217550000007</v>
      </c>
      <c r="AH4" s="11">
        <f>AG4*1.075</f>
        <v>5667.4233866250006</v>
      </c>
      <c r="AI4" s="11">
        <f t="shared" ref="AI4:AP4" si="0">AH4*1.075</f>
        <v>6092.4801406218758</v>
      </c>
      <c r="AJ4" s="11">
        <f t="shared" si="0"/>
        <v>6549.4161511685161</v>
      </c>
      <c r="AK4" s="11">
        <f t="shared" si="0"/>
        <v>7040.6223625061548</v>
      </c>
      <c r="AL4" s="11">
        <f t="shared" si="0"/>
        <v>7568.6690396941158</v>
      </c>
      <c r="AM4" s="11">
        <f t="shared" si="0"/>
        <v>8136.3192176711746</v>
      </c>
      <c r="AN4" s="11">
        <f t="shared" si="0"/>
        <v>8746.5431589965119</v>
      </c>
      <c r="AO4" s="11">
        <f t="shared" si="0"/>
        <v>9402.5338959212495</v>
      </c>
      <c r="AP4" s="11">
        <f t="shared" si="0"/>
        <v>10107.723938115343</v>
      </c>
    </row>
    <row r="5" spans="1:42" x14ac:dyDescent="0.25">
      <c r="A5" s="2" t="s">
        <v>2</v>
      </c>
      <c r="B5" s="5">
        <v>25.003</v>
      </c>
      <c r="C5" s="2" t="s">
        <v>48</v>
      </c>
      <c r="D5" s="13">
        <v>-794</v>
      </c>
      <c r="E5" s="13">
        <v>-806.9</v>
      </c>
      <c r="F5" s="13">
        <v>-787.1</v>
      </c>
      <c r="G5" s="13">
        <v>-844.7</v>
      </c>
      <c r="H5" s="13">
        <v>-973</v>
      </c>
      <c r="I5" s="13">
        <v>-993.3</v>
      </c>
      <c r="J5" s="13">
        <v>-1002.2</v>
      </c>
      <c r="K5" s="13">
        <v>-984.7</v>
      </c>
      <c r="L5" s="13">
        <v>-1034.5</v>
      </c>
      <c r="M5" s="13">
        <v>-1001.5</v>
      </c>
      <c r="N5" s="13">
        <v>-871.7</v>
      </c>
      <c r="O5" s="13">
        <v>-859.1</v>
      </c>
      <c r="P5" s="13">
        <v>-916</v>
      </c>
      <c r="Q5" s="14">
        <v>-923.9</v>
      </c>
      <c r="R5" s="13"/>
      <c r="S5" s="13"/>
      <c r="T5" s="13"/>
      <c r="U5" s="13"/>
      <c r="V5" s="13"/>
      <c r="W5" s="13"/>
      <c r="X5" s="13">
        <v>-1934.143</v>
      </c>
      <c r="Y5" s="13">
        <v>-2301.5720000000001</v>
      </c>
      <c r="Z5" s="13">
        <v>-2471.5500000000002</v>
      </c>
      <c r="AA5" s="13">
        <v>-2083.607</v>
      </c>
      <c r="AB5" s="13">
        <v>-2446.404</v>
      </c>
      <c r="AC5" s="13">
        <v>-3232.6909999999998</v>
      </c>
      <c r="AD5" s="13">
        <v>-3980.7640000000001</v>
      </c>
      <c r="AE5" s="13">
        <v>-3773.1819999999998</v>
      </c>
      <c r="AF5" s="14">
        <f>AF4*-0.67</f>
        <v>-3364.0519770000005</v>
      </c>
      <c r="AG5" s="13">
        <f t="shared" ref="AG5:AP5" si="1">AG4*-0.67</f>
        <v>-3532.2545758500005</v>
      </c>
      <c r="AH5" s="13">
        <f t="shared" si="1"/>
        <v>-3797.1736690387506</v>
      </c>
      <c r="AI5" s="13">
        <f t="shared" si="1"/>
        <v>-4081.9616942166572</v>
      </c>
      <c r="AJ5" s="13">
        <f t="shared" si="1"/>
        <v>-4388.1088212829063</v>
      </c>
      <c r="AK5" s="13">
        <f t="shared" si="1"/>
        <v>-4717.2169828791239</v>
      </c>
      <c r="AL5" s="13">
        <f t="shared" si="1"/>
        <v>-5071.0082565950579</v>
      </c>
      <c r="AM5" s="13">
        <f t="shared" si="1"/>
        <v>-5451.3338758396876</v>
      </c>
      <c r="AN5" s="13">
        <f t="shared" si="1"/>
        <v>-5860.1839165276633</v>
      </c>
      <c r="AO5" s="13">
        <f t="shared" si="1"/>
        <v>-6299.6977102672372</v>
      </c>
      <c r="AP5" s="13">
        <f t="shared" si="1"/>
        <v>-6772.1750385372807</v>
      </c>
    </row>
    <row r="6" spans="1:42" x14ac:dyDescent="0.25">
      <c r="A6" s="2" t="s">
        <v>39</v>
      </c>
      <c r="B6" s="5">
        <f>B4*B5</f>
        <v>6925.8310000000001</v>
      </c>
      <c r="C6" s="2" t="s">
        <v>49</v>
      </c>
      <c r="D6" s="13">
        <f t="shared" ref="D6:Q6" si="2">SUM(D4:D5)</f>
        <v>361.5</v>
      </c>
      <c r="E6" s="13">
        <f t="shared" si="2"/>
        <v>334.4</v>
      </c>
      <c r="F6" s="13">
        <f t="shared" si="2"/>
        <v>304.49999999999989</v>
      </c>
      <c r="G6" s="13">
        <f t="shared" si="2"/>
        <v>346.79999999999995</v>
      </c>
      <c r="H6" s="13">
        <f t="shared" si="2"/>
        <v>426.90000000000009</v>
      </c>
      <c r="I6" s="13">
        <f t="shared" si="2"/>
        <v>456.90000000000009</v>
      </c>
      <c r="J6" s="13">
        <f t="shared" si="2"/>
        <v>437.70000000000005</v>
      </c>
      <c r="K6" s="13">
        <f t="shared" si="2"/>
        <v>465.20000000000005</v>
      </c>
      <c r="L6" s="13">
        <f t="shared" si="2"/>
        <v>500.5</v>
      </c>
      <c r="M6" s="13">
        <f t="shared" si="2"/>
        <v>492.79999999999995</v>
      </c>
      <c r="N6" s="13">
        <f t="shared" si="2"/>
        <v>401.20000000000005</v>
      </c>
      <c r="O6" s="13">
        <f t="shared" si="2"/>
        <v>417.49999999999989</v>
      </c>
      <c r="P6" s="13">
        <f t="shared" si="2"/>
        <v>435.29999999999995</v>
      </c>
      <c r="Q6" s="14">
        <f t="shared" si="2"/>
        <v>438.50000000000011</v>
      </c>
      <c r="R6" s="13"/>
      <c r="S6" s="13"/>
      <c r="T6" s="13"/>
      <c r="U6" s="13"/>
      <c r="V6" s="13"/>
      <c r="W6" s="13"/>
      <c r="X6" s="13">
        <f t="shared" ref="X6:AE6" si="3">SUM(X4:X5)</f>
        <v>1067.902</v>
      </c>
      <c r="Y6" s="13">
        <f t="shared" si="3"/>
        <v>1190.877</v>
      </c>
      <c r="Z6" s="13">
        <f t="shared" si="3"/>
        <v>1253.8919999999998</v>
      </c>
      <c r="AA6" s="13">
        <f t="shared" si="3"/>
        <v>1063.5500000000002</v>
      </c>
      <c r="AB6" s="13">
        <f t="shared" si="3"/>
        <v>1164.8200000000002</v>
      </c>
      <c r="AC6" s="13">
        <f t="shared" si="3"/>
        <v>1347.2870000000003</v>
      </c>
      <c r="AD6" s="13">
        <f t="shared" si="3"/>
        <v>1758.9920000000002</v>
      </c>
      <c r="AE6" s="13">
        <f t="shared" si="3"/>
        <v>1805.6770000000006</v>
      </c>
      <c r="AF6" s="14">
        <f t="shared" ref="AF6:AP6" si="4">SUM(AF4:AF5)</f>
        <v>1656.9211229999996</v>
      </c>
      <c r="AG6" s="13">
        <f t="shared" si="4"/>
        <v>1739.7671791500002</v>
      </c>
      <c r="AH6" s="13">
        <f t="shared" si="4"/>
        <v>1870.24971758625</v>
      </c>
      <c r="AI6" s="13">
        <f t="shared" si="4"/>
        <v>2010.5184464052186</v>
      </c>
      <c r="AJ6" s="13">
        <f t="shared" si="4"/>
        <v>2161.3073298856098</v>
      </c>
      <c r="AK6" s="13">
        <f t="shared" si="4"/>
        <v>2323.4053796270309</v>
      </c>
      <c r="AL6" s="13">
        <f t="shared" si="4"/>
        <v>2497.6607830990579</v>
      </c>
      <c r="AM6" s="13">
        <f t="shared" si="4"/>
        <v>2684.9853418314869</v>
      </c>
      <c r="AN6" s="13">
        <f t="shared" si="4"/>
        <v>2886.3592424688486</v>
      </c>
      <c r="AO6" s="13">
        <f t="shared" si="4"/>
        <v>3102.8361856540123</v>
      </c>
      <c r="AP6" s="13">
        <f t="shared" si="4"/>
        <v>3335.5488995780624</v>
      </c>
    </row>
    <row r="7" spans="1:42" x14ac:dyDescent="0.25">
      <c r="A7" s="2" t="s">
        <v>40</v>
      </c>
      <c r="B7" s="5">
        <f>Q45</f>
        <v>906.1</v>
      </c>
      <c r="C7" s="2" t="s">
        <v>50</v>
      </c>
      <c r="D7" s="13">
        <v>-94</v>
      </c>
      <c r="E7" s="13">
        <v>-97.8</v>
      </c>
      <c r="F7" s="13">
        <v>-97.8</v>
      </c>
      <c r="G7" s="13">
        <v>-102.8</v>
      </c>
      <c r="H7" s="13">
        <v>-102</v>
      </c>
      <c r="I7" s="13">
        <v>-105.7</v>
      </c>
      <c r="J7" s="13">
        <v>-102.9</v>
      </c>
      <c r="K7" s="13">
        <v>-117.6</v>
      </c>
      <c r="L7" s="13">
        <v>-105.9</v>
      </c>
      <c r="M7" s="13">
        <v>-123.6</v>
      </c>
      <c r="N7" s="13">
        <v>-105.9</v>
      </c>
      <c r="O7" s="13">
        <v>-123.4</v>
      </c>
      <c r="P7" s="13">
        <v>-116</v>
      </c>
      <c r="Q7" s="14">
        <v>-115.3</v>
      </c>
      <c r="R7" s="13"/>
      <c r="S7" s="13"/>
      <c r="T7" s="13"/>
      <c r="U7" s="13"/>
      <c r="V7" s="13"/>
      <c r="W7" s="13"/>
      <c r="X7" s="13">
        <v>-332.08199999999999</v>
      </c>
      <c r="Y7" s="13">
        <v>-381.68</v>
      </c>
      <c r="Z7" s="13">
        <v>-380</v>
      </c>
      <c r="AA7" s="13">
        <v>-321.72000000000003</v>
      </c>
      <c r="AB7" s="13">
        <v>-315.24299999999999</v>
      </c>
      <c r="AC7" s="13">
        <v>-392.50900000000001</v>
      </c>
      <c r="AD7" s="13">
        <v>-428.40499999999997</v>
      </c>
      <c r="AE7" s="13">
        <v>-458.87099999999998</v>
      </c>
      <c r="AF7" s="14">
        <f>AE7*1</f>
        <v>-458.87099999999998</v>
      </c>
      <c r="AG7" s="13">
        <f>AF7*1.05</f>
        <v>-481.81455</v>
      </c>
      <c r="AH7" s="13">
        <f>AG7*1.075</f>
        <v>-517.95064124999999</v>
      </c>
      <c r="AI7" s="13">
        <f t="shared" ref="AI7:AP7" si="5">AH7*1.075</f>
        <v>-556.79693934374995</v>
      </c>
      <c r="AJ7" s="13">
        <f t="shared" si="5"/>
        <v>-598.55670979453123</v>
      </c>
      <c r="AK7" s="13">
        <f t="shared" si="5"/>
        <v>-643.44846302912106</v>
      </c>
      <c r="AL7" s="13">
        <f t="shared" si="5"/>
        <v>-691.70709775630507</v>
      </c>
      <c r="AM7" s="13">
        <f t="shared" si="5"/>
        <v>-743.58513008802788</v>
      </c>
      <c r="AN7" s="13">
        <f t="shared" si="5"/>
        <v>-799.35401484462989</v>
      </c>
      <c r="AO7" s="13">
        <f t="shared" si="5"/>
        <v>-859.30556595797714</v>
      </c>
      <c r="AP7" s="13">
        <f t="shared" si="5"/>
        <v>-923.75348340482537</v>
      </c>
    </row>
    <row r="8" spans="1:42" x14ac:dyDescent="0.25">
      <c r="A8" s="2" t="s">
        <v>41</v>
      </c>
      <c r="B8" s="5">
        <f>Q56</f>
        <v>1255.3</v>
      </c>
      <c r="C8" s="2" t="s">
        <v>51</v>
      </c>
      <c r="D8" s="13">
        <v>-77.400000000000006</v>
      </c>
      <c r="E8" s="13">
        <v>-85.9</v>
      </c>
      <c r="F8" s="13">
        <v>-81.400000000000006</v>
      </c>
      <c r="G8" s="13">
        <v>-92</v>
      </c>
      <c r="H8" s="13">
        <v>-89.6</v>
      </c>
      <c r="I8" s="13">
        <v>-98</v>
      </c>
      <c r="J8" s="13">
        <v>-80.2</v>
      </c>
      <c r="K8" s="13">
        <v>-102.1</v>
      </c>
      <c r="L8" s="13">
        <v>-107.8</v>
      </c>
      <c r="M8" s="13">
        <v>-109.6</v>
      </c>
      <c r="N8" s="13">
        <v>-97.3</v>
      </c>
      <c r="O8" s="13">
        <v>-105.4</v>
      </c>
      <c r="P8" s="13">
        <v>-109</v>
      </c>
      <c r="Q8" s="14">
        <v>-116.1</v>
      </c>
      <c r="R8" s="13"/>
      <c r="S8" s="13"/>
      <c r="T8" s="13"/>
      <c r="U8" s="13"/>
      <c r="V8" s="13"/>
      <c r="W8" s="13"/>
      <c r="X8" s="13">
        <v>-253.46700000000001</v>
      </c>
      <c r="Y8" s="13">
        <v>-264.959</v>
      </c>
      <c r="Z8" s="13">
        <v>-274.94600000000003</v>
      </c>
      <c r="AA8" s="13">
        <v>-242.57400000000001</v>
      </c>
      <c r="AB8" s="13">
        <v>-269.31700000000001</v>
      </c>
      <c r="AC8" s="13">
        <v>-336.66399999999999</v>
      </c>
      <c r="AD8" s="13">
        <v>-369.21</v>
      </c>
      <c r="AE8" s="13">
        <v>-419.99400000000003</v>
      </c>
      <c r="AF8" s="14">
        <f t="shared" ref="AF8:AF11" si="6">AE8*1</f>
        <v>-419.99400000000003</v>
      </c>
      <c r="AG8" s="13">
        <f t="shared" ref="AG8:AG11" si="7">AF8*1.05</f>
        <v>-440.99370000000005</v>
      </c>
      <c r="AH8" s="13">
        <f t="shared" ref="AH8:AP11" si="8">AG8*1.075</f>
        <v>-474.06822750000003</v>
      </c>
      <c r="AI8" s="13">
        <f t="shared" si="8"/>
        <v>-509.62334456249999</v>
      </c>
      <c r="AJ8" s="13">
        <f t="shared" si="8"/>
        <v>-547.84509540468753</v>
      </c>
      <c r="AK8" s="13">
        <f t="shared" si="8"/>
        <v>-588.93347756003902</v>
      </c>
      <c r="AL8" s="13">
        <f t="shared" si="8"/>
        <v>-633.10348837704191</v>
      </c>
      <c r="AM8" s="13">
        <f t="shared" si="8"/>
        <v>-680.58625000532004</v>
      </c>
      <c r="AN8" s="13">
        <f t="shared" si="8"/>
        <v>-731.63021875571906</v>
      </c>
      <c r="AO8" s="13">
        <f t="shared" si="8"/>
        <v>-786.50248516239799</v>
      </c>
      <c r="AP8" s="13">
        <f t="shared" si="8"/>
        <v>-845.49017154957778</v>
      </c>
    </row>
    <row r="9" spans="1:42" x14ac:dyDescent="0.25">
      <c r="A9" s="3" t="s">
        <v>42</v>
      </c>
      <c r="B9" s="6">
        <f>B6-B7+B8</f>
        <v>7275.0309999999999</v>
      </c>
      <c r="C9" s="2" t="s">
        <v>52</v>
      </c>
      <c r="D9" s="13">
        <v>-32</v>
      </c>
      <c r="E9" s="13">
        <v>-34.700000000000003</v>
      </c>
      <c r="F9" s="13">
        <v>-33.200000000000003</v>
      </c>
      <c r="G9" s="13">
        <v>-34.5</v>
      </c>
      <c r="H9" s="13">
        <v>-34.6</v>
      </c>
      <c r="I9" s="13">
        <v>-37.200000000000003</v>
      </c>
      <c r="J9" s="13">
        <v>-35.799999999999997</v>
      </c>
      <c r="K9" s="13">
        <v>-34.6</v>
      </c>
      <c r="L9" s="13">
        <v>-40.1</v>
      </c>
      <c r="M9" s="13">
        <v>-44.8</v>
      </c>
      <c r="N9" s="13">
        <v>-38.9</v>
      </c>
      <c r="O9" s="13">
        <v>-39.1</v>
      </c>
      <c r="P9" s="13">
        <v>-41.1</v>
      </c>
      <c r="Q9" s="14">
        <v>-37.799999999999997</v>
      </c>
      <c r="R9" s="13"/>
      <c r="S9" s="13"/>
      <c r="T9" s="13"/>
      <c r="U9" s="13"/>
      <c r="V9" s="13"/>
      <c r="W9" s="13"/>
      <c r="X9" s="13">
        <v>-106.39400000000001</v>
      </c>
      <c r="Y9" s="13">
        <v>-136.40299999999999</v>
      </c>
      <c r="Z9" s="13">
        <v>-136.66800000000001</v>
      </c>
      <c r="AA9" s="13">
        <v>-113.634</v>
      </c>
      <c r="AB9" s="13">
        <v>-109.994</v>
      </c>
      <c r="AC9" s="13">
        <v>-134.38</v>
      </c>
      <c r="AD9" s="13">
        <v>-141.93799999999999</v>
      </c>
      <c r="AE9" s="13">
        <v>-162.875</v>
      </c>
      <c r="AF9" s="14">
        <f t="shared" si="6"/>
        <v>-162.875</v>
      </c>
      <c r="AG9" s="13">
        <f t="shared" si="7"/>
        <v>-171.01875000000001</v>
      </c>
      <c r="AH9" s="13">
        <f t="shared" si="8"/>
        <v>-183.84515625</v>
      </c>
      <c r="AI9" s="13">
        <f t="shared" si="8"/>
        <v>-197.63354296874999</v>
      </c>
      <c r="AJ9" s="13">
        <f t="shared" si="8"/>
        <v>-212.45605869140624</v>
      </c>
      <c r="AK9" s="13">
        <f t="shared" si="8"/>
        <v>-228.39026309326169</v>
      </c>
      <c r="AL9" s="13">
        <f t="shared" si="8"/>
        <v>-245.51953282525631</v>
      </c>
      <c r="AM9" s="13">
        <f t="shared" si="8"/>
        <v>-263.93349778715054</v>
      </c>
      <c r="AN9" s="13">
        <f t="shared" si="8"/>
        <v>-283.72851012118684</v>
      </c>
      <c r="AO9" s="13">
        <f t="shared" si="8"/>
        <v>-305.00814838027583</v>
      </c>
      <c r="AP9" s="13">
        <f t="shared" si="8"/>
        <v>-327.88375950879652</v>
      </c>
    </row>
    <row r="10" spans="1:42" x14ac:dyDescent="0.25">
      <c r="C10" s="2" t="s">
        <v>53</v>
      </c>
      <c r="D10" s="2">
        <v>0</v>
      </c>
      <c r="E10" s="2">
        <v>23.3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13">
        <v>4.9000000000000004</v>
      </c>
      <c r="M10" s="13">
        <v>0</v>
      </c>
      <c r="N10" s="13">
        <v>5</v>
      </c>
      <c r="O10" s="13">
        <v>21.6</v>
      </c>
      <c r="P10" s="13">
        <v>0</v>
      </c>
      <c r="Q10" s="14">
        <v>0</v>
      </c>
      <c r="R10" s="13"/>
      <c r="S10" s="13"/>
      <c r="T10" s="13"/>
      <c r="U10" s="13"/>
      <c r="V10" s="13"/>
      <c r="W10" s="13"/>
      <c r="X10" s="13">
        <v>3.4329999999999998</v>
      </c>
      <c r="Y10" s="13">
        <v>25.547999999999998</v>
      </c>
      <c r="Z10" s="13">
        <v>8.6999999999999993</v>
      </c>
      <c r="AA10" s="13">
        <v>7.89</v>
      </c>
      <c r="AB10" s="13">
        <v>9.5</v>
      </c>
      <c r="AC10" s="13">
        <v>74.739000000000004</v>
      </c>
      <c r="AD10" s="13">
        <v>22.364999999999998</v>
      </c>
      <c r="AE10" s="13">
        <v>33</v>
      </c>
      <c r="AF10" s="14">
        <f t="shared" si="6"/>
        <v>33</v>
      </c>
      <c r="AG10" s="13">
        <f t="shared" si="7"/>
        <v>34.65</v>
      </c>
      <c r="AH10" s="13">
        <f t="shared" si="8"/>
        <v>37.248749999999994</v>
      </c>
      <c r="AI10" s="13">
        <f t="shared" si="8"/>
        <v>40.042406249999992</v>
      </c>
      <c r="AJ10" s="13">
        <f t="shared" si="8"/>
        <v>43.045586718749988</v>
      </c>
      <c r="AK10" s="13">
        <f t="shared" si="8"/>
        <v>46.274005722656234</v>
      </c>
      <c r="AL10" s="13">
        <f t="shared" si="8"/>
        <v>49.744556151855448</v>
      </c>
      <c r="AM10" s="13">
        <f t="shared" si="8"/>
        <v>53.475397863244602</v>
      </c>
      <c r="AN10" s="13">
        <f t="shared" si="8"/>
        <v>57.486052702987948</v>
      </c>
      <c r="AO10" s="13">
        <f t="shared" si="8"/>
        <v>61.797506655712041</v>
      </c>
      <c r="AP10" s="13">
        <f t="shared" si="8"/>
        <v>66.432319654890435</v>
      </c>
    </row>
    <row r="11" spans="1:42" x14ac:dyDescent="0.25">
      <c r="C11" s="2" t="s">
        <v>54</v>
      </c>
      <c r="D11" s="2">
        <v>-1.7</v>
      </c>
      <c r="E11" s="2">
        <v>0</v>
      </c>
      <c r="F11" s="2">
        <v>12.4</v>
      </c>
      <c r="G11" s="2">
        <v>9.4</v>
      </c>
      <c r="H11" s="2">
        <v>-6.1</v>
      </c>
      <c r="I11" s="2">
        <v>-11.9</v>
      </c>
      <c r="J11" s="13">
        <v>-1.7</v>
      </c>
      <c r="K11" s="13">
        <v>-1.9</v>
      </c>
      <c r="L11" s="13">
        <v>0</v>
      </c>
      <c r="M11" s="13">
        <v>-5.7</v>
      </c>
      <c r="N11" s="13">
        <v>0</v>
      </c>
      <c r="O11" s="13">
        <v>0</v>
      </c>
      <c r="P11" s="13">
        <v>-3.5</v>
      </c>
      <c r="Q11" s="14">
        <v>-2.2000000000000002</v>
      </c>
      <c r="R11" s="13"/>
      <c r="S11" s="13"/>
      <c r="T11" s="13"/>
      <c r="U11" s="13"/>
      <c r="V11" s="13"/>
      <c r="W11" s="13"/>
      <c r="X11" s="13">
        <v>-28.295999999999999</v>
      </c>
      <c r="Y11" s="13">
        <v>-15.836</v>
      </c>
      <c r="Z11" s="13">
        <v>-35.938000000000002</v>
      </c>
      <c r="AA11" s="13">
        <v>-40.14</v>
      </c>
      <c r="AB11" s="13">
        <v>-23.81</v>
      </c>
      <c r="AC11" s="13">
        <v>-31.254999999999999</v>
      </c>
      <c r="AD11" s="13">
        <v>-14.244999999999999</v>
      </c>
      <c r="AE11" s="13">
        <v>-1.1000000000000001</v>
      </c>
      <c r="AF11" s="14">
        <f t="shared" si="6"/>
        <v>-1.1000000000000001</v>
      </c>
      <c r="AG11" s="13">
        <f t="shared" si="7"/>
        <v>-1.1550000000000002</v>
      </c>
      <c r="AH11" s="13">
        <f t="shared" si="8"/>
        <v>-1.2416250000000002</v>
      </c>
      <c r="AI11" s="13">
        <f t="shared" si="8"/>
        <v>-1.3347468750000002</v>
      </c>
      <c r="AJ11" s="13">
        <f t="shared" si="8"/>
        <v>-1.4348528906250002</v>
      </c>
      <c r="AK11" s="13">
        <f t="shared" si="8"/>
        <v>-1.5424668574218752</v>
      </c>
      <c r="AL11" s="13">
        <f t="shared" si="8"/>
        <v>-1.6581518717285157</v>
      </c>
      <c r="AM11" s="13">
        <f t="shared" si="8"/>
        <v>-1.7825132621081543</v>
      </c>
      <c r="AN11" s="13">
        <f t="shared" si="8"/>
        <v>-1.9162017567662657</v>
      </c>
      <c r="AO11" s="13">
        <f t="shared" si="8"/>
        <v>-2.0599168885237353</v>
      </c>
      <c r="AP11" s="13">
        <f t="shared" si="8"/>
        <v>-2.2144106551630154</v>
      </c>
    </row>
    <row r="12" spans="1:42" x14ac:dyDescent="0.25">
      <c r="C12" s="2" t="s">
        <v>55</v>
      </c>
      <c r="D12" s="13">
        <f t="shared" ref="D12:Q12" si="9">D5+D7+D8+D9+D10+D11</f>
        <v>-999.1</v>
      </c>
      <c r="E12" s="13">
        <f t="shared" si="9"/>
        <v>-1002</v>
      </c>
      <c r="F12" s="13">
        <f t="shared" si="9"/>
        <v>-987.1</v>
      </c>
      <c r="G12" s="13">
        <f t="shared" si="9"/>
        <v>-1064.5999999999999</v>
      </c>
      <c r="H12" s="13">
        <f t="shared" si="9"/>
        <v>-1205.2999999999997</v>
      </c>
      <c r="I12" s="13">
        <f t="shared" si="9"/>
        <v>-1246.1000000000001</v>
      </c>
      <c r="J12" s="13">
        <f t="shared" si="9"/>
        <v>-1222.8000000000002</v>
      </c>
      <c r="K12" s="13">
        <f t="shared" si="9"/>
        <v>-1240.8999999999999</v>
      </c>
      <c r="L12" s="13">
        <f t="shared" si="9"/>
        <v>-1283.3999999999999</v>
      </c>
      <c r="M12" s="13">
        <f t="shared" si="9"/>
        <v>-1285.1999999999998</v>
      </c>
      <c r="N12" s="13">
        <f t="shared" si="9"/>
        <v>-1108.8000000000002</v>
      </c>
      <c r="O12" s="13">
        <f t="shared" si="9"/>
        <v>-1105.4000000000001</v>
      </c>
      <c r="P12" s="13">
        <f t="shared" si="9"/>
        <v>-1185.5999999999999</v>
      </c>
      <c r="Q12" s="14">
        <f t="shared" si="9"/>
        <v>-1195.3</v>
      </c>
      <c r="R12" s="13"/>
      <c r="S12" s="13"/>
      <c r="T12" s="13"/>
      <c r="U12" s="13"/>
      <c r="V12" s="13">
        <f>V13-V4</f>
        <v>-1180.5999999999999</v>
      </c>
      <c r="W12" s="13">
        <f>W13-W4</f>
        <v>-1347.7</v>
      </c>
      <c r="X12" s="13">
        <f t="shared" ref="X12:AE12" si="10">X5+X7+X8+X9+X10+X11</f>
        <v>-2650.9490000000001</v>
      </c>
      <c r="Y12" s="13">
        <f t="shared" si="10"/>
        <v>-3074.9019999999996</v>
      </c>
      <c r="Z12" s="13">
        <f t="shared" si="10"/>
        <v>-3290.4020000000005</v>
      </c>
      <c r="AA12" s="13">
        <f t="shared" si="10"/>
        <v>-2793.7850000000003</v>
      </c>
      <c r="AB12" s="13">
        <f t="shared" si="10"/>
        <v>-3155.268</v>
      </c>
      <c r="AC12" s="13">
        <f t="shared" si="10"/>
        <v>-4052.7599999999998</v>
      </c>
      <c r="AD12" s="13">
        <f t="shared" si="10"/>
        <v>-4912.1970000000001</v>
      </c>
      <c r="AE12" s="13">
        <f t="shared" si="10"/>
        <v>-4783.0219999999999</v>
      </c>
      <c r="AF12" s="14">
        <f t="shared" ref="AF12:AP12" si="11">AF5+AF7+AF8+AF9+AF10+AF11</f>
        <v>-4373.8919770000011</v>
      </c>
      <c r="AG12" s="13">
        <f t="shared" si="11"/>
        <v>-4592.5865758500013</v>
      </c>
      <c r="AH12" s="13">
        <f t="shared" si="11"/>
        <v>-4937.0305690387513</v>
      </c>
      <c r="AI12" s="13">
        <f t="shared" si="11"/>
        <v>-5307.3078617166575</v>
      </c>
      <c r="AJ12" s="13">
        <f t="shared" si="11"/>
        <v>-5705.3559513454056</v>
      </c>
      <c r="AK12" s="13">
        <f t="shared" si="11"/>
        <v>-6133.2576476963104</v>
      </c>
      <c r="AL12" s="13">
        <f t="shared" si="11"/>
        <v>-6593.2519712735348</v>
      </c>
      <c r="AM12" s="13">
        <f t="shared" si="11"/>
        <v>-7087.7458691190495</v>
      </c>
      <c r="AN12" s="13">
        <f t="shared" si="11"/>
        <v>-7619.3268093029774</v>
      </c>
      <c r="AO12" s="13">
        <f t="shared" si="11"/>
        <v>-8190.7763200006993</v>
      </c>
      <c r="AP12" s="13">
        <f t="shared" si="11"/>
        <v>-8805.0845440007524</v>
      </c>
    </row>
    <row r="13" spans="1:42" x14ac:dyDescent="0.25">
      <c r="C13" s="1" t="s">
        <v>56</v>
      </c>
      <c r="D13" s="11">
        <f t="shared" ref="D13:Q13" si="12">D4+D12</f>
        <v>156.39999999999998</v>
      </c>
      <c r="E13" s="11">
        <f t="shared" si="12"/>
        <v>139.29999999999995</v>
      </c>
      <c r="F13" s="11">
        <f t="shared" si="12"/>
        <v>104.49999999999989</v>
      </c>
      <c r="G13" s="11">
        <f t="shared" si="12"/>
        <v>126.90000000000009</v>
      </c>
      <c r="H13" s="11">
        <f t="shared" si="12"/>
        <v>194.60000000000036</v>
      </c>
      <c r="I13" s="11">
        <f t="shared" si="12"/>
        <v>204.09999999999991</v>
      </c>
      <c r="J13" s="11">
        <f t="shared" si="12"/>
        <v>217.09999999999991</v>
      </c>
      <c r="K13" s="11">
        <f t="shared" si="12"/>
        <v>209.00000000000023</v>
      </c>
      <c r="L13" s="11">
        <f t="shared" si="12"/>
        <v>251.60000000000014</v>
      </c>
      <c r="M13" s="11">
        <f t="shared" si="12"/>
        <v>209.10000000000014</v>
      </c>
      <c r="N13" s="11">
        <f t="shared" si="12"/>
        <v>164.09999999999991</v>
      </c>
      <c r="O13" s="11">
        <f t="shared" si="12"/>
        <v>171.19999999999982</v>
      </c>
      <c r="P13" s="11">
        <f t="shared" si="12"/>
        <v>165.70000000000005</v>
      </c>
      <c r="Q13" s="12">
        <f t="shared" si="12"/>
        <v>167.10000000000014</v>
      </c>
      <c r="R13" s="11"/>
      <c r="S13" s="11"/>
      <c r="T13" s="11"/>
      <c r="U13" s="11"/>
      <c r="V13" s="11">
        <v>134.69999999999999</v>
      </c>
      <c r="W13" s="11">
        <v>196.2</v>
      </c>
      <c r="X13" s="11">
        <f t="shared" ref="X13:AE13" si="13">X4+X12</f>
        <v>351.096</v>
      </c>
      <c r="Y13" s="11">
        <f t="shared" si="13"/>
        <v>417.54700000000048</v>
      </c>
      <c r="Z13" s="11">
        <f t="shared" si="13"/>
        <v>435.03999999999951</v>
      </c>
      <c r="AA13" s="11">
        <f t="shared" si="13"/>
        <v>353.37199999999984</v>
      </c>
      <c r="AB13" s="11">
        <f t="shared" si="13"/>
        <v>455.95600000000013</v>
      </c>
      <c r="AC13" s="11">
        <f t="shared" si="13"/>
        <v>527.2180000000003</v>
      </c>
      <c r="AD13" s="11">
        <f t="shared" si="13"/>
        <v>827.5590000000002</v>
      </c>
      <c r="AE13" s="11">
        <f t="shared" si="13"/>
        <v>795.83700000000044</v>
      </c>
      <c r="AF13" s="12">
        <f t="shared" ref="AF13:AP13" si="14">AF4+AF12</f>
        <v>647.08112299999902</v>
      </c>
      <c r="AG13" s="11">
        <f t="shared" si="14"/>
        <v>679.43517914999939</v>
      </c>
      <c r="AH13" s="11">
        <f t="shared" si="14"/>
        <v>730.39281758624929</v>
      </c>
      <c r="AI13" s="11">
        <f t="shared" si="14"/>
        <v>785.17227890521826</v>
      </c>
      <c r="AJ13" s="11">
        <f t="shared" si="14"/>
        <v>844.06019982311045</v>
      </c>
      <c r="AK13" s="11">
        <f t="shared" si="14"/>
        <v>907.36471480984437</v>
      </c>
      <c r="AL13" s="11">
        <f t="shared" si="14"/>
        <v>975.41706842058102</v>
      </c>
      <c r="AM13" s="11">
        <f t="shared" si="14"/>
        <v>1048.573348552125</v>
      </c>
      <c r="AN13" s="11">
        <f t="shared" si="14"/>
        <v>1127.2163496935345</v>
      </c>
      <c r="AO13" s="11">
        <f t="shared" si="14"/>
        <v>1211.7575759205502</v>
      </c>
      <c r="AP13" s="11">
        <f t="shared" si="14"/>
        <v>1302.6393941145907</v>
      </c>
    </row>
    <row r="14" spans="1:42" x14ac:dyDescent="0.25">
      <c r="C14" s="2" t="s">
        <v>57</v>
      </c>
      <c r="D14" s="13">
        <v>-8.5</v>
      </c>
      <c r="E14" s="13">
        <v>-6.3</v>
      </c>
      <c r="F14" s="13">
        <v>-3.2</v>
      </c>
      <c r="G14" s="13">
        <v>-21.4</v>
      </c>
      <c r="H14" s="13">
        <v>-14.4</v>
      </c>
      <c r="I14" s="13">
        <v>-22.9</v>
      </c>
      <c r="J14" s="13">
        <v>-0.2</v>
      </c>
      <c r="K14" s="13">
        <v>-25.5</v>
      </c>
      <c r="L14" s="13">
        <v>-1.3</v>
      </c>
      <c r="M14" s="13">
        <v>2.5</v>
      </c>
      <c r="N14" s="13">
        <v>-16.3</v>
      </c>
      <c r="O14" s="13">
        <v>1.3</v>
      </c>
      <c r="P14" s="13">
        <v>-14.3</v>
      </c>
      <c r="Q14" s="14">
        <v>-30.5</v>
      </c>
      <c r="R14" s="13"/>
      <c r="S14" s="13"/>
      <c r="T14" s="13"/>
      <c r="U14" s="13"/>
      <c r="V14" s="13"/>
      <c r="W14" s="13"/>
      <c r="X14" s="13">
        <v>-35.488999999999997</v>
      </c>
      <c r="Y14" s="13">
        <v>-44.5</v>
      </c>
      <c r="Z14" s="13">
        <v>-38.011000000000003</v>
      </c>
      <c r="AA14" s="13">
        <v>-26.9</v>
      </c>
      <c r="AB14" s="13">
        <v>-14.561</v>
      </c>
      <c r="AC14" s="13">
        <v>-39.421999999999997</v>
      </c>
      <c r="AD14" s="13">
        <v>-61.273000000000003</v>
      </c>
      <c r="AE14" s="13">
        <v>-13.724</v>
      </c>
      <c r="AF14" s="14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</row>
    <row r="15" spans="1:42" x14ac:dyDescent="0.25">
      <c r="C15" s="2" t="s">
        <v>58</v>
      </c>
      <c r="D15" s="13">
        <f t="shared" ref="D15:Q15" si="15">SUM(D13:D14)</f>
        <v>147.89999999999998</v>
      </c>
      <c r="E15" s="13">
        <f t="shared" si="15"/>
        <v>132.99999999999994</v>
      </c>
      <c r="F15" s="13">
        <f t="shared" si="15"/>
        <v>101.29999999999988</v>
      </c>
      <c r="G15" s="13">
        <f t="shared" si="15"/>
        <v>105.50000000000009</v>
      </c>
      <c r="H15" s="13">
        <f t="shared" si="15"/>
        <v>180.20000000000036</v>
      </c>
      <c r="I15" s="13">
        <f t="shared" si="15"/>
        <v>181.1999999999999</v>
      </c>
      <c r="J15" s="13">
        <f t="shared" si="15"/>
        <v>216.89999999999992</v>
      </c>
      <c r="K15" s="13">
        <f t="shared" si="15"/>
        <v>183.50000000000023</v>
      </c>
      <c r="L15" s="13">
        <f t="shared" si="15"/>
        <v>250.30000000000013</v>
      </c>
      <c r="M15" s="13">
        <f t="shared" si="15"/>
        <v>211.60000000000014</v>
      </c>
      <c r="N15" s="13">
        <f t="shared" si="15"/>
        <v>147.7999999999999</v>
      </c>
      <c r="O15" s="13">
        <f t="shared" si="15"/>
        <v>172.49999999999983</v>
      </c>
      <c r="P15" s="13">
        <f t="shared" si="15"/>
        <v>151.40000000000003</v>
      </c>
      <c r="Q15" s="14">
        <f t="shared" si="15"/>
        <v>136.60000000000014</v>
      </c>
      <c r="R15" s="13"/>
      <c r="S15" s="13"/>
      <c r="T15" s="13"/>
      <c r="U15" s="13"/>
      <c r="V15" s="13"/>
      <c r="W15" s="13"/>
      <c r="X15" s="13">
        <f t="shared" ref="X15:AE15" si="16">SUM(X13:X14)</f>
        <v>315.60700000000003</v>
      </c>
      <c r="Y15" s="13">
        <f t="shared" si="16"/>
        <v>373.04700000000048</v>
      </c>
      <c r="Z15" s="13">
        <f t="shared" si="16"/>
        <v>397.02899999999948</v>
      </c>
      <c r="AA15" s="13">
        <f t="shared" si="16"/>
        <v>326.47199999999987</v>
      </c>
      <c r="AB15" s="13">
        <f t="shared" si="16"/>
        <v>441.39500000000015</v>
      </c>
      <c r="AC15" s="13">
        <f t="shared" si="16"/>
        <v>487.79600000000028</v>
      </c>
      <c r="AD15" s="13">
        <f t="shared" si="16"/>
        <v>766.28600000000017</v>
      </c>
      <c r="AE15" s="13">
        <f t="shared" si="16"/>
        <v>782.1130000000004</v>
      </c>
      <c r="AF15" s="14">
        <f t="shared" ref="AF15:AP15" si="17">SUM(AF13:AF14)</f>
        <v>647.08112299999902</v>
      </c>
      <c r="AG15" s="13">
        <f t="shared" si="17"/>
        <v>679.43517914999939</v>
      </c>
      <c r="AH15" s="13">
        <f t="shared" si="17"/>
        <v>730.39281758624929</v>
      </c>
      <c r="AI15" s="13">
        <f t="shared" si="17"/>
        <v>785.17227890521826</v>
      </c>
      <c r="AJ15" s="13">
        <f t="shared" si="17"/>
        <v>844.06019982311045</v>
      </c>
      <c r="AK15" s="13">
        <f t="shared" si="17"/>
        <v>907.36471480984437</v>
      </c>
      <c r="AL15" s="13">
        <f t="shared" si="17"/>
        <v>975.41706842058102</v>
      </c>
      <c r="AM15" s="13">
        <f t="shared" si="17"/>
        <v>1048.573348552125</v>
      </c>
      <c r="AN15" s="13">
        <f t="shared" si="17"/>
        <v>1127.2163496935345</v>
      </c>
      <c r="AO15" s="13">
        <f t="shared" si="17"/>
        <v>1211.7575759205502</v>
      </c>
      <c r="AP15" s="13">
        <f t="shared" si="17"/>
        <v>1302.6393941145907</v>
      </c>
    </row>
    <row r="16" spans="1:42" x14ac:dyDescent="0.25">
      <c r="C16" s="2" t="s">
        <v>59</v>
      </c>
      <c r="D16" s="13">
        <v>-33.5</v>
      </c>
      <c r="E16" s="13">
        <v>-32.4</v>
      </c>
      <c r="F16" s="13">
        <v>-38.700000000000003</v>
      </c>
      <c r="G16" s="13">
        <v>-14.9</v>
      </c>
      <c r="H16" s="13">
        <v>-38.4</v>
      </c>
      <c r="I16" s="13">
        <v>-43</v>
      </c>
      <c r="J16" s="13">
        <v>-58</v>
      </c>
      <c r="K16" s="13">
        <v>-53.9</v>
      </c>
      <c r="L16" s="13">
        <v>-54.5</v>
      </c>
      <c r="M16" s="13">
        <v>-43.8</v>
      </c>
      <c r="N16" s="13">
        <v>-35.5</v>
      </c>
      <c r="O16" s="13">
        <v>-60.2</v>
      </c>
      <c r="P16" s="13">
        <v>-37</v>
      </c>
      <c r="Q16" s="14">
        <v>-36.6</v>
      </c>
      <c r="R16" s="13"/>
      <c r="S16" s="13"/>
      <c r="T16" s="13"/>
      <c r="U16" s="13"/>
      <c r="V16" s="13"/>
      <c r="W16" s="13"/>
      <c r="X16" s="13">
        <v>-95.114999999999995</v>
      </c>
      <c r="Y16" s="13">
        <v>-100.17700000000001</v>
      </c>
      <c r="Z16" s="13">
        <v>-97.489000000000004</v>
      </c>
      <c r="AA16" s="13">
        <v>-99.759</v>
      </c>
      <c r="AB16" s="13">
        <v>-104.324</v>
      </c>
      <c r="AC16" s="13">
        <v>-119.523</v>
      </c>
      <c r="AD16" s="13">
        <v>-194.21100000000001</v>
      </c>
      <c r="AE16" s="13">
        <v>-194</v>
      </c>
      <c r="AF16" s="14">
        <f>AF15*-0.206</f>
        <v>-133.2987113379998</v>
      </c>
      <c r="AG16" s="13">
        <f t="shared" ref="AG16:AP16" si="18">AG15*-0.206</f>
        <v>-139.96364690489986</v>
      </c>
      <c r="AH16" s="13">
        <f t="shared" si="18"/>
        <v>-150.46092042276734</v>
      </c>
      <c r="AI16" s="13">
        <f t="shared" si="18"/>
        <v>-161.74548945447495</v>
      </c>
      <c r="AJ16" s="13">
        <f t="shared" si="18"/>
        <v>-173.87640116356076</v>
      </c>
      <c r="AK16" s="13">
        <f t="shared" si="18"/>
        <v>-186.91713125082794</v>
      </c>
      <c r="AL16" s="13">
        <f t="shared" si="18"/>
        <v>-200.93591609463968</v>
      </c>
      <c r="AM16" s="13">
        <f t="shared" si="18"/>
        <v>-216.00610980173775</v>
      </c>
      <c r="AN16" s="13">
        <f t="shared" si="18"/>
        <v>-232.20656803686811</v>
      </c>
      <c r="AO16" s="13">
        <f t="shared" si="18"/>
        <v>-249.6220606396333</v>
      </c>
      <c r="AP16" s="13">
        <f t="shared" si="18"/>
        <v>-268.34371518760565</v>
      </c>
    </row>
    <row r="17" spans="3:128" x14ac:dyDescent="0.25">
      <c r="C17" s="1" t="s">
        <v>60</v>
      </c>
      <c r="D17" s="11">
        <f t="shared" ref="D17:Q17" si="19">SUM(D15:D16)</f>
        <v>114.39999999999998</v>
      </c>
      <c r="E17" s="11">
        <f t="shared" si="19"/>
        <v>100.59999999999994</v>
      </c>
      <c r="F17" s="11">
        <f t="shared" si="19"/>
        <v>62.599999999999881</v>
      </c>
      <c r="G17" s="11">
        <f t="shared" si="19"/>
        <v>90.60000000000008</v>
      </c>
      <c r="H17" s="11">
        <f t="shared" si="19"/>
        <v>141.80000000000035</v>
      </c>
      <c r="I17" s="11">
        <f t="shared" si="19"/>
        <v>138.1999999999999</v>
      </c>
      <c r="J17" s="11">
        <f t="shared" si="19"/>
        <v>158.89999999999992</v>
      </c>
      <c r="K17" s="11">
        <f t="shared" si="19"/>
        <v>129.60000000000022</v>
      </c>
      <c r="L17" s="11">
        <f t="shared" si="19"/>
        <v>195.80000000000013</v>
      </c>
      <c r="M17" s="11">
        <f t="shared" si="19"/>
        <v>167.80000000000013</v>
      </c>
      <c r="N17" s="11">
        <f t="shared" si="19"/>
        <v>112.2999999999999</v>
      </c>
      <c r="O17" s="11">
        <f t="shared" si="19"/>
        <v>112.29999999999983</v>
      </c>
      <c r="P17" s="11">
        <f t="shared" si="19"/>
        <v>114.40000000000003</v>
      </c>
      <c r="Q17" s="12">
        <f t="shared" si="19"/>
        <v>100.00000000000014</v>
      </c>
      <c r="R17" s="11"/>
      <c r="S17" s="11"/>
      <c r="T17" s="22"/>
      <c r="U17" s="11"/>
      <c r="V17" s="11">
        <v>95.5</v>
      </c>
      <c r="W17" s="11">
        <v>120.8</v>
      </c>
      <c r="X17" s="11">
        <f t="shared" ref="X17:AE17" si="20">SUM(X15:X16)</f>
        <v>220.49200000000002</v>
      </c>
      <c r="Y17" s="11">
        <f t="shared" si="20"/>
        <v>272.87000000000046</v>
      </c>
      <c r="Z17" s="11">
        <f t="shared" si="20"/>
        <v>299.53999999999951</v>
      </c>
      <c r="AA17" s="11">
        <f t="shared" si="20"/>
        <v>226.71299999999985</v>
      </c>
      <c r="AB17" s="11">
        <f t="shared" si="20"/>
        <v>337.07100000000014</v>
      </c>
      <c r="AC17" s="11">
        <f t="shared" si="20"/>
        <v>368.27300000000025</v>
      </c>
      <c r="AD17" s="11">
        <f t="shared" si="20"/>
        <v>572.07500000000016</v>
      </c>
      <c r="AE17" s="11">
        <f t="shared" si="20"/>
        <v>588.1130000000004</v>
      </c>
      <c r="AF17" s="12">
        <f t="shared" ref="AF17:AP17" si="21">SUM(AF15:AF16)</f>
        <v>513.78241166199928</v>
      </c>
      <c r="AG17" s="11">
        <f t="shared" si="21"/>
        <v>539.47153224509952</v>
      </c>
      <c r="AH17" s="11">
        <f t="shared" si="21"/>
        <v>579.93189716348195</v>
      </c>
      <c r="AI17" s="11">
        <f t="shared" si="21"/>
        <v>623.42678945074329</v>
      </c>
      <c r="AJ17" s="11">
        <f t="shared" si="21"/>
        <v>670.18379865954967</v>
      </c>
      <c r="AK17" s="11">
        <f t="shared" si="21"/>
        <v>720.44758355901649</v>
      </c>
      <c r="AL17" s="11">
        <f t="shared" si="21"/>
        <v>774.48115232594137</v>
      </c>
      <c r="AM17" s="11">
        <f t="shared" si="21"/>
        <v>832.56723875038733</v>
      </c>
      <c r="AN17" s="11">
        <f t="shared" si="21"/>
        <v>895.00978165666641</v>
      </c>
      <c r="AO17" s="11">
        <f t="shared" si="21"/>
        <v>962.13551528091682</v>
      </c>
      <c r="AP17" s="11">
        <f t="shared" si="21"/>
        <v>1034.2956789269851</v>
      </c>
      <c r="AQ17" s="11">
        <f>AP17*(1+$AS$21)</f>
        <v>1023.9527221377153</v>
      </c>
      <c r="AR17" s="11">
        <f t="shared" ref="AR17:DC17" si="22">AQ17*(1+$AS$21)</f>
        <v>1013.7131949163381</v>
      </c>
      <c r="AS17" s="11">
        <f t="shared" si="22"/>
        <v>1003.5760629671747</v>
      </c>
      <c r="AT17" s="11">
        <f t="shared" si="22"/>
        <v>993.54030233750302</v>
      </c>
      <c r="AU17" s="11">
        <f t="shared" si="22"/>
        <v>983.60489931412803</v>
      </c>
      <c r="AV17" s="11">
        <f t="shared" si="22"/>
        <v>973.76885032098676</v>
      </c>
      <c r="AW17" s="11">
        <f t="shared" si="22"/>
        <v>964.03116181777693</v>
      </c>
      <c r="AX17" s="11">
        <f t="shared" si="22"/>
        <v>954.39085019959919</v>
      </c>
      <c r="AY17" s="11">
        <f t="shared" si="22"/>
        <v>944.84694169760314</v>
      </c>
      <c r="AZ17" s="11">
        <f t="shared" si="22"/>
        <v>935.39847228062706</v>
      </c>
      <c r="BA17" s="11">
        <f t="shared" si="22"/>
        <v>926.04448755782073</v>
      </c>
      <c r="BB17" s="11">
        <f t="shared" si="22"/>
        <v>916.78404268224256</v>
      </c>
      <c r="BC17" s="11">
        <f t="shared" si="22"/>
        <v>907.61620225542015</v>
      </c>
      <c r="BD17" s="11">
        <f t="shared" si="22"/>
        <v>898.54004023286598</v>
      </c>
      <c r="BE17" s="11">
        <f t="shared" si="22"/>
        <v>889.55463983053733</v>
      </c>
      <c r="BF17" s="11">
        <f t="shared" si="22"/>
        <v>880.659093432232</v>
      </c>
      <c r="BG17" s="11">
        <f t="shared" si="22"/>
        <v>871.85250249790965</v>
      </c>
      <c r="BH17" s="11">
        <f t="shared" si="22"/>
        <v>863.1339774729305</v>
      </c>
      <c r="BI17" s="11">
        <f t="shared" si="22"/>
        <v>854.50263769820117</v>
      </c>
      <c r="BJ17" s="11">
        <f t="shared" si="22"/>
        <v>845.95761132121913</v>
      </c>
      <c r="BK17" s="11">
        <f t="shared" si="22"/>
        <v>837.49803520800697</v>
      </c>
      <c r="BL17" s="11">
        <f t="shared" si="22"/>
        <v>829.12305485592685</v>
      </c>
      <c r="BM17" s="11">
        <f t="shared" si="22"/>
        <v>820.83182430736758</v>
      </c>
      <c r="BN17" s="11">
        <f t="shared" si="22"/>
        <v>812.62350606429391</v>
      </c>
      <c r="BO17" s="11">
        <f t="shared" si="22"/>
        <v>804.49727100365101</v>
      </c>
      <c r="BP17" s="11">
        <f t="shared" si="22"/>
        <v>796.45229829361449</v>
      </c>
      <c r="BQ17" s="11">
        <f t="shared" si="22"/>
        <v>788.48777531067833</v>
      </c>
      <c r="BR17" s="11">
        <f t="shared" si="22"/>
        <v>780.60289755757151</v>
      </c>
      <c r="BS17" s="11">
        <f t="shared" si="22"/>
        <v>772.7968685819958</v>
      </c>
      <c r="BT17" s="11">
        <f t="shared" si="22"/>
        <v>765.06889989617582</v>
      </c>
      <c r="BU17" s="11">
        <f t="shared" si="22"/>
        <v>757.41821089721407</v>
      </c>
      <c r="BV17" s="11">
        <f t="shared" si="22"/>
        <v>749.84402878824187</v>
      </c>
      <c r="BW17" s="11">
        <f t="shared" si="22"/>
        <v>742.34558850035944</v>
      </c>
      <c r="BX17" s="11">
        <f t="shared" si="22"/>
        <v>734.92213261535585</v>
      </c>
      <c r="BY17" s="11">
        <f t="shared" si="22"/>
        <v>727.57291128920224</v>
      </c>
      <c r="BZ17" s="11">
        <f t="shared" si="22"/>
        <v>720.29718217631023</v>
      </c>
      <c r="CA17" s="11">
        <f t="shared" si="22"/>
        <v>713.09421035454716</v>
      </c>
      <c r="CB17" s="11">
        <f t="shared" si="22"/>
        <v>705.96326825100164</v>
      </c>
      <c r="CC17" s="11">
        <f t="shared" si="22"/>
        <v>698.90363556849161</v>
      </c>
      <c r="CD17" s="11">
        <f t="shared" si="22"/>
        <v>691.91459921280671</v>
      </c>
      <c r="CE17" s="11">
        <f t="shared" si="22"/>
        <v>684.99545322067866</v>
      </c>
      <c r="CF17" s="11">
        <f t="shared" si="22"/>
        <v>678.14549868847189</v>
      </c>
      <c r="CG17" s="11">
        <f t="shared" si="22"/>
        <v>671.36404370158721</v>
      </c>
      <c r="CH17" s="11">
        <f t="shared" si="22"/>
        <v>664.65040326457131</v>
      </c>
      <c r="CI17" s="11">
        <f t="shared" si="22"/>
        <v>658.00389923192563</v>
      </c>
      <c r="CJ17" s="11">
        <f t="shared" si="22"/>
        <v>651.42386023960637</v>
      </c>
      <c r="CK17" s="11">
        <f t="shared" si="22"/>
        <v>644.90962163721031</v>
      </c>
      <c r="CL17" s="11">
        <f t="shared" si="22"/>
        <v>638.46052542083817</v>
      </c>
      <c r="CM17" s="11">
        <f t="shared" si="22"/>
        <v>632.07592016662977</v>
      </c>
      <c r="CN17" s="11">
        <f t="shared" si="22"/>
        <v>625.75516096496347</v>
      </c>
      <c r="CO17" s="11">
        <f t="shared" si="22"/>
        <v>619.49760935531378</v>
      </c>
      <c r="CP17" s="11">
        <f t="shared" si="22"/>
        <v>613.30263326176066</v>
      </c>
      <c r="CQ17" s="11">
        <f t="shared" si="22"/>
        <v>607.16960692914301</v>
      </c>
      <c r="CR17" s="11">
        <f t="shared" si="22"/>
        <v>601.09791085985159</v>
      </c>
      <c r="CS17" s="11">
        <f t="shared" si="22"/>
        <v>595.08693175125302</v>
      </c>
      <c r="CT17" s="11">
        <f t="shared" si="22"/>
        <v>589.13606243374045</v>
      </c>
      <c r="CU17" s="11">
        <f t="shared" si="22"/>
        <v>583.24470180940307</v>
      </c>
      <c r="CV17" s="11">
        <f t="shared" si="22"/>
        <v>577.41225479130901</v>
      </c>
      <c r="CW17" s="11">
        <f t="shared" si="22"/>
        <v>571.63813224339594</v>
      </c>
      <c r="CX17" s="11">
        <f t="shared" si="22"/>
        <v>565.92175092096193</v>
      </c>
      <c r="CY17" s="11">
        <f t="shared" si="22"/>
        <v>560.26253341175232</v>
      </c>
      <c r="CZ17" s="11">
        <f t="shared" si="22"/>
        <v>554.65990807763478</v>
      </c>
      <c r="DA17" s="11">
        <f t="shared" si="22"/>
        <v>549.11330899685845</v>
      </c>
      <c r="DB17" s="11">
        <f t="shared" si="22"/>
        <v>543.62217590688988</v>
      </c>
      <c r="DC17" s="11">
        <f t="shared" si="22"/>
        <v>538.18595414782101</v>
      </c>
      <c r="DD17" s="11">
        <f t="shared" ref="DD17:DX17" si="23">DC17*(1+$AS$21)</f>
        <v>532.8040946063428</v>
      </c>
      <c r="DE17" s="11">
        <f t="shared" si="23"/>
        <v>527.47605366027938</v>
      </c>
      <c r="DF17" s="11">
        <f t="shared" si="23"/>
        <v>522.20129312367658</v>
      </c>
      <c r="DG17" s="11">
        <f t="shared" si="23"/>
        <v>516.97928019243977</v>
      </c>
      <c r="DH17" s="11">
        <f t="shared" si="23"/>
        <v>511.80948739051536</v>
      </c>
      <c r="DI17" s="11">
        <f t="shared" si="23"/>
        <v>506.69139251661022</v>
      </c>
      <c r="DJ17" s="11">
        <f t="shared" si="23"/>
        <v>501.62447859144413</v>
      </c>
      <c r="DK17" s="11">
        <f t="shared" si="23"/>
        <v>496.60823380552966</v>
      </c>
      <c r="DL17" s="11">
        <f t="shared" si="23"/>
        <v>491.64215146747438</v>
      </c>
      <c r="DM17" s="11">
        <f t="shared" si="23"/>
        <v>486.72572995279961</v>
      </c>
      <c r="DN17" s="11">
        <f t="shared" si="23"/>
        <v>481.85847265327163</v>
      </c>
      <c r="DO17" s="11">
        <f t="shared" si="23"/>
        <v>477.03988792673891</v>
      </c>
      <c r="DP17" s="11">
        <f t="shared" si="23"/>
        <v>472.2694890474715</v>
      </c>
      <c r="DQ17" s="11">
        <f t="shared" si="23"/>
        <v>467.54679415699678</v>
      </c>
      <c r="DR17" s="11">
        <f t="shared" si="23"/>
        <v>462.87132621542679</v>
      </c>
      <c r="DS17" s="11">
        <f t="shared" si="23"/>
        <v>458.2426129532725</v>
      </c>
      <c r="DT17" s="11">
        <f t="shared" si="23"/>
        <v>453.66018682373976</v>
      </c>
      <c r="DU17" s="11">
        <f t="shared" si="23"/>
        <v>449.12358495550234</v>
      </c>
      <c r="DV17" s="11">
        <f t="shared" si="23"/>
        <v>444.6323491059473</v>
      </c>
      <c r="DW17" s="11">
        <f t="shared" si="23"/>
        <v>440.1860256148878</v>
      </c>
      <c r="DX17" s="11">
        <f t="shared" si="23"/>
        <v>435.7841653587389</v>
      </c>
    </row>
    <row r="18" spans="3:128" x14ac:dyDescent="0.25">
      <c r="C18" s="2" t="s">
        <v>61</v>
      </c>
      <c r="D18" s="9">
        <v>25.004000000000001</v>
      </c>
      <c r="E18" s="9">
        <v>25.004000000000001</v>
      </c>
      <c r="F18" s="9">
        <v>25.004000000000001</v>
      </c>
      <c r="G18" s="9">
        <v>25.004000000000001</v>
      </c>
      <c r="H18" s="9">
        <v>25.004000000000001</v>
      </c>
      <c r="I18" s="9">
        <v>25.004000000000001</v>
      </c>
      <c r="J18" s="9">
        <v>25.004000000000001</v>
      </c>
      <c r="K18" s="9">
        <v>25.004000000000001</v>
      </c>
      <c r="L18" s="9">
        <v>25.004000000000001</v>
      </c>
      <c r="M18" s="9">
        <v>25.004000000000001</v>
      </c>
      <c r="N18" s="9">
        <v>25.004000000000001</v>
      </c>
      <c r="O18" s="9">
        <v>25.004000000000001</v>
      </c>
      <c r="P18" s="9">
        <v>25.004000000000001</v>
      </c>
      <c r="Q18" s="8">
        <v>25.004000000000001</v>
      </c>
      <c r="R18" s="9">
        <v>25.004000000000001</v>
      </c>
      <c r="S18" s="9">
        <v>25.004000000000001</v>
      </c>
      <c r="V18" s="9">
        <v>12.502000000000001</v>
      </c>
      <c r="W18" s="9">
        <v>12.502000000000001</v>
      </c>
      <c r="X18" s="9">
        <v>25.004000000000001</v>
      </c>
      <c r="Y18" s="9">
        <v>25.004000000000001</v>
      </c>
      <c r="Z18" s="9">
        <v>25.004000000000001</v>
      </c>
      <c r="AA18" s="9">
        <v>25.004000000000001</v>
      </c>
      <c r="AB18" s="9">
        <v>25.004000000000001</v>
      </c>
      <c r="AC18" s="9">
        <v>25.004000000000001</v>
      </c>
      <c r="AD18" s="9">
        <v>25.004000000000001</v>
      </c>
      <c r="AE18" s="9">
        <v>25.004000000000001</v>
      </c>
      <c r="AF18" s="8">
        <v>25.004000000000001</v>
      </c>
      <c r="AG18" s="9">
        <v>25.004000000000001</v>
      </c>
      <c r="AH18" s="9">
        <v>25.004000000000001</v>
      </c>
      <c r="AI18" s="9">
        <v>25.004000000000001</v>
      </c>
      <c r="AJ18" s="9">
        <v>25.004000000000001</v>
      </c>
      <c r="AK18" s="9">
        <v>25.004000000000001</v>
      </c>
      <c r="AL18" s="9">
        <v>25.004000000000001</v>
      </c>
      <c r="AM18" s="9">
        <v>25.004000000000001</v>
      </c>
      <c r="AN18" s="9">
        <v>25.004000000000001</v>
      </c>
      <c r="AO18" s="9">
        <v>25.004000000000001</v>
      </c>
      <c r="AP18" s="9">
        <v>25.004000000000001</v>
      </c>
    </row>
    <row r="19" spans="3:128" x14ac:dyDescent="0.25">
      <c r="C19" s="2" t="s">
        <v>62</v>
      </c>
      <c r="D19" s="9">
        <f t="shared" ref="D19" si="24">D17/D18</f>
        <v>4.5752679571268589</v>
      </c>
      <c r="E19" s="9">
        <f t="shared" ref="E19" si="25">E17/E18</f>
        <v>4.0233562629979174</v>
      </c>
      <c r="F19" s="9">
        <f t="shared" ref="F19" si="26">F17/F18</f>
        <v>2.5035994240921404</v>
      </c>
      <c r="G19" s="9">
        <f t="shared" ref="G19" si="27">G17/G18</f>
        <v>3.6234202527595616</v>
      </c>
      <c r="H19" s="9">
        <f t="shared" ref="H19" si="28">H17/H18</f>
        <v>5.6710926251799849</v>
      </c>
      <c r="I19" s="9">
        <f t="shared" ref="I19" si="29">I17/I18</f>
        <v>5.5271156614941566</v>
      </c>
      <c r="J19" s="9">
        <f t="shared" ref="J19" si="30">J17/J18</f>
        <v>6.3549832026875661</v>
      </c>
      <c r="K19" s="9">
        <f t="shared" ref="K19" si="31">K17/K18</f>
        <v>5.1831706926891785</v>
      </c>
      <c r="L19" s="9">
        <f t="shared" ref="L19" si="32">L17/L18</f>
        <v>7.8307470804671295</v>
      </c>
      <c r="M19" s="9">
        <f t="shared" ref="M19" si="33">M17/M18</f>
        <v>6.7109262517997168</v>
      </c>
      <c r="N19" s="9">
        <f t="shared" ref="N19" si="34">N17/N18</f>
        <v>4.4912813949767996</v>
      </c>
      <c r="O19" s="9">
        <f t="shared" ref="O19" si="35">O17/O18</f>
        <v>4.4912813949767969</v>
      </c>
      <c r="P19" s="9">
        <f t="shared" ref="P19" si="36">P17/P18</f>
        <v>4.5752679571268606</v>
      </c>
      <c r="Q19" s="8">
        <f t="shared" ref="Q19" si="37">Q17/Q18</f>
        <v>3.999360102383624</v>
      </c>
      <c r="R19" s="9">
        <f t="shared" ref="R19" si="38">R17/R18</f>
        <v>0</v>
      </c>
      <c r="S19" s="9">
        <f t="shared" ref="S19" si="39">S17/S18</f>
        <v>0</v>
      </c>
      <c r="V19" s="9">
        <f t="shared" ref="V19:AC19" si="40">V17/V18</f>
        <v>7.638777795552711</v>
      </c>
      <c r="W19" s="9">
        <f t="shared" si="40"/>
        <v>9.6624540073588214</v>
      </c>
      <c r="X19" s="9">
        <f t="shared" si="40"/>
        <v>8.8182690769476881</v>
      </c>
      <c r="Y19" s="9">
        <f t="shared" si="40"/>
        <v>10.913053911374197</v>
      </c>
      <c r="Z19" s="9">
        <f t="shared" si="40"/>
        <v>11.979683250679871</v>
      </c>
      <c r="AA19" s="9">
        <f t="shared" si="40"/>
        <v>9.067069268916967</v>
      </c>
      <c r="AB19" s="9">
        <f t="shared" si="40"/>
        <v>13.480683090705492</v>
      </c>
      <c r="AC19" s="9">
        <f t="shared" si="40"/>
        <v>14.728563429851233</v>
      </c>
      <c r="AD19" s="9">
        <f>AD17/AD18</f>
        <v>22.879339305711092</v>
      </c>
      <c r="AE19" s="9">
        <f>AE17/AE18</f>
        <v>23.520756678931384</v>
      </c>
      <c r="AF19" s="8">
        <f t="shared" ref="AF19:AP19" si="41">AF17/AF18</f>
        <v>20.548008785074359</v>
      </c>
      <c r="AG19" s="9">
        <f t="shared" si="41"/>
        <v>21.575409224328087</v>
      </c>
      <c r="AH19" s="9">
        <f t="shared" si="41"/>
        <v>23.193564916152692</v>
      </c>
      <c r="AI19" s="9">
        <f t="shared" si="41"/>
        <v>24.933082284864152</v>
      </c>
      <c r="AJ19" s="9">
        <f t="shared" si="41"/>
        <v>26.803063456228987</v>
      </c>
      <c r="AK19" s="9">
        <f t="shared" si="41"/>
        <v>28.813293215446187</v>
      </c>
      <c r="AL19" s="9">
        <f t="shared" si="41"/>
        <v>30.974290206604596</v>
      </c>
      <c r="AM19" s="9">
        <f t="shared" si="41"/>
        <v>33.297361972099957</v>
      </c>
      <c r="AN19" s="9">
        <f t="shared" si="41"/>
        <v>35.794664120007454</v>
      </c>
      <c r="AO19" s="9">
        <f t="shared" si="41"/>
        <v>38.479263929008027</v>
      </c>
      <c r="AP19" s="9">
        <f t="shared" si="41"/>
        <v>41.365208723683615</v>
      </c>
    </row>
    <row r="20" spans="3:128" x14ac:dyDescent="0.25">
      <c r="C20" s="1"/>
      <c r="D20" s="18"/>
      <c r="E20" s="18"/>
      <c r="F20" s="18"/>
      <c r="G20" s="18"/>
      <c r="H20" s="17"/>
      <c r="I20" s="17"/>
      <c r="J20" s="17"/>
      <c r="K20" s="17"/>
      <c r="L20" s="17"/>
      <c r="M20" s="17"/>
      <c r="N20" s="17"/>
      <c r="O20" s="17"/>
      <c r="P20" s="17"/>
      <c r="Z20" s="17"/>
      <c r="AA20" s="17"/>
      <c r="AB20" s="17"/>
      <c r="AC20" s="17"/>
      <c r="AD20" s="17"/>
      <c r="AE20" s="17"/>
      <c r="AR20" s="2" t="s">
        <v>128</v>
      </c>
      <c r="AS20" s="27">
        <v>7.4999999999999997E-2</v>
      </c>
    </row>
    <row r="21" spans="3:128" x14ac:dyDescent="0.25">
      <c r="C21" s="1" t="s">
        <v>43</v>
      </c>
      <c r="D21" s="1"/>
      <c r="E21" s="11"/>
      <c r="F21" s="11"/>
      <c r="G21" s="11"/>
      <c r="H21" s="17">
        <f t="shared" ref="H21:R21" si="42">(H4-D4)/D4</f>
        <v>0.21151016875811346</v>
      </c>
      <c r="I21" s="17">
        <f t="shared" si="42"/>
        <v>0.27065626916673979</v>
      </c>
      <c r="J21" s="17">
        <f t="shared" si="42"/>
        <v>0.31907292048369384</v>
      </c>
      <c r="K21" s="17">
        <f t="shared" si="42"/>
        <v>0.21686949223667654</v>
      </c>
      <c r="L21" s="17">
        <f t="shared" si="42"/>
        <v>9.6506893349524892E-2</v>
      </c>
      <c r="M21" s="17">
        <f t="shared" si="42"/>
        <v>3.0409598676044619E-2</v>
      </c>
      <c r="N21" s="17">
        <f t="shared" si="42"/>
        <v>-0.11598027640808389</v>
      </c>
      <c r="O21" s="17">
        <f t="shared" si="42"/>
        <v>-0.11952548451617365</v>
      </c>
      <c r="P21" s="17">
        <f t="shared" si="42"/>
        <v>-0.11967426710097723</v>
      </c>
      <c r="Q21" s="21">
        <f t="shared" si="42"/>
        <v>-8.8268754600816346E-2</v>
      </c>
      <c r="R21" s="17">
        <f t="shared" si="42"/>
        <v>-1</v>
      </c>
      <c r="S21" s="17">
        <f>(S4-O4)/O4</f>
        <v>-1</v>
      </c>
      <c r="T21" s="1"/>
      <c r="U21" s="1"/>
      <c r="V21" s="1"/>
      <c r="W21" s="17">
        <f t="shared" ref="W21:Z21" si="43">(W4-V4)/V4</f>
        <v>0.17380065384322979</v>
      </c>
      <c r="X21" s="17">
        <f t="shared" si="43"/>
        <v>0.94445559945592328</v>
      </c>
      <c r="Y21" s="17">
        <f t="shared" si="43"/>
        <v>0.1633566452201749</v>
      </c>
      <c r="Z21" s="17">
        <f t="shared" si="43"/>
        <v>6.6713357875805748E-2</v>
      </c>
      <c r="AA21" s="17">
        <f t="shared" ref="AA21:AD21" si="44">(AA4-Z4)/Z4</f>
        <v>-0.15522587655370823</v>
      </c>
      <c r="AB21" s="17">
        <f t="shared" si="44"/>
        <v>0.14745594198192208</v>
      </c>
      <c r="AC21" s="17">
        <f t="shared" si="44"/>
        <v>0.2682619521802026</v>
      </c>
      <c r="AD21" s="17">
        <f t="shared" si="44"/>
        <v>0.25322785393292285</v>
      </c>
      <c r="AE21" s="17">
        <f>(AE4-AD4)/AD4</f>
        <v>-2.803202784229851E-2</v>
      </c>
      <c r="AF21" s="21">
        <f t="shared" ref="AF21:AP21" si="45">(AF4-AE4)/AE4</f>
        <v>-0.10000000000000003</v>
      </c>
      <c r="AG21" s="17">
        <f t="shared" si="45"/>
        <v>5.00000000000001E-2</v>
      </c>
      <c r="AH21" s="17">
        <f t="shared" si="45"/>
        <v>7.4999999999999983E-2</v>
      </c>
      <c r="AI21" s="17">
        <f t="shared" si="45"/>
        <v>7.5000000000000025E-2</v>
      </c>
      <c r="AJ21" s="17">
        <f t="shared" si="45"/>
        <v>7.4999999999999942E-2</v>
      </c>
      <c r="AK21" s="17">
        <f t="shared" si="45"/>
        <v>7.4999999999999997E-2</v>
      </c>
      <c r="AL21" s="17">
        <f t="shared" si="45"/>
        <v>7.4999999999999914E-2</v>
      </c>
      <c r="AM21" s="17">
        <f t="shared" si="45"/>
        <v>7.5000000000000011E-2</v>
      </c>
      <c r="AN21" s="17">
        <f t="shared" si="45"/>
        <v>7.4999999999999914E-2</v>
      </c>
      <c r="AO21" s="17">
        <f t="shared" si="45"/>
        <v>7.49999999999999E-2</v>
      </c>
      <c r="AP21" s="17">
        <f t="shared" si="45"/>
        <v>7.4999999999999997E-2</v>
      </c>
      <c r="AR21" s="2" t="s">
        <v>129</v>
      </c>
      <c r="AS21" s="27">
        <v>-0.01</v>
      </c>
    </row>
    <row r="22" spans="3:128" x14ac:dyDescent="0.25">
      <c r="C22" s="1" t="s">
        <v>126</v>
      </c>
      <c r="D22" s="1"/>
      <c r="E22" s="11"/>
      <c r="F22" s="11"/>
      <c r="G22" s="11"/>
      <c r="H22" s="17">
        <f t="shared" ref="H22:P22" si="46">(H12-D12)/D12</f>
        <v>0.20638574717245492</v>
      </c>
      <c r="I22" s="17">
        <f t="shared" si="46"/>
        <v>0.24361277445109794</v>
      </c>
      <c r="J22" s="17">
        <f t="shared" si="46"/>
        <v>0.23878026542396935</v>
      </c>
      <c r="K22" s="17">
        <f t="shared" si="46"/>
        <v>0.16560210407664847</v>
      </c>
      <c r="L22" s="17">
        <f t="shared" si="46"/>
        <v>6.4797145938770562E-2</v>
      </c>
      <c r="M22" s="17">
        <f t="shared" si="46"/>
        <v>3.1377899045020204E-2</v>
      </c>
      <c r="N22" s="17">
        <f t="shared" si="46"/>
        <v>-9.3228655544651609E-2</v>
      </c>
      <c r="O22" s="17">
        <f t="shared" si="46"/>
        <v>-0.10919493915706326</v>
      </c>
      <c r="P22" s="17">
        <f t="shared" si="46"/>
        <v>-7.6203833567087403E-2</v>
      </c>
      <c r="Q22" s="21">
        <f>(Q12-M12)/M12</f>
        <v>-6.9950202303143388E-2</v>
      </c>
      <c r="R22" s="17">
        <f t="shared" ref="R22:S22" si="47">(R12-N12)/N12</f>
        <v>-1</v>
      </c>
      <c r="S22" s="17">
        <f t="shared" si="47"/>
        <v>-1</v>
      </c>
      <c r="T22" s="1"/>
      <c r="U22" s="1"/>
      <c r="V22" s="1"/>
      <c r="W22" s="17">
        <f t="shared" ref="W22" si="48">(W12-V12)/V12</f>
        <v>0.14153820091478922</v>
      </c>
      <c r="X22" s="17">
        <f t="shared" ref="X22" si="49">(X12-W12)/W12</f>
        <v>0.96701714031312602</v>
      </c>
      <c r="Y22" s="17">
        <f t="shared" ref="Y22:AD22" si="50">(Y12-X12)/X12</f>
        <v>0.15992499289876927</v>
      </c>
      <c r="Z22" s="17">
        <f t="shared" si="50"/>
        <v>7.0083534369550948E-2</v>
      </c>
      <c r="AA22" s="17">
        <f t="shared" si="50"/>
        <v>-0.15092897463592597</v>
      </c>
      <c r="AB22" s="17">
        <f t="shared" si="50"/>
        <v>0.12938826717159685</v>
      </c>
      <c r="AC22" s="17">
        <f t="shared" si="50"/>
        <v>0.28444239918764419</v>
      </c>
      <c r="AD22" s="17">
        <f t="shared" si="50"/>
        <v>0.21206215023835617</v>
      </c>
      <c r="AE22" s="17">
        <f>(AE12-AD12)/AD12</f>
        <v>-2.6296787364187588E-2</v>
      </c>
      <c r="AF22" s="21">
        <f t="shared" ref="AF22:AP22" si="51">(AF12-AE12)/AE12</f>
        <v>-8.5537976409056624E-2</v>
      </c>
      <c r="AG22" s="17">
        <f t="shared" si="51"/>
        <v>5.0000000000000024E-2</v>
      </c>
      <c r="AH22" s="17">
        <f t="shared" si="51"/>
        <v>7.4999999999999983E-2</v>
      </c>
      <c r="AI22" s="17">
        <f t="shared" si="51"/>
        <v>7.4999999999999969E-2</v>
      </c>
      <c r="AJ22" s="17">
        <f t="shared" si="51"/>
        <v>7.4999999999999775E-2</v>
      </c>
      <c r="AK22" s="17">
        <f t="shared" si="51"/>
        <v>7.4999999999999886E-2</v>
      </c>
      <c r="AL22" s="17">
        <f t="shared" si="51"/>
        <v>7.5000000000000178E-2</v>
      </c>
      <c r="AM22" s="17">
        <f t="shared" si="51"/>
        <v>7.4999999999999942E-2</v>
      </c>
      <c r="AN22" s="17">
        <f t="shared" si="51"/>
        <v>7.4999999999999872E-2</v>
      </c>
      <c r="AO22" s="17">
        <f t="shared" si="51"/>
        <v>7.4999999999999831E-2</v>
      </c>
      <c r="AP22" s="17">
        <f t="shared" si="51"/>
        <v>7.500000000000008E-2</v>
      </c>
      <c r="AR22" s="26" t="s">
        <v>130</v>
      </c>
      <c r="AS22" s="28">
        <f>NPV(AS20,AG17:DX17)</f>
        <v>10858.32886795933</v>
      </c>
    </row>
    <row r="23" spans="3:128" x14ac:dyDescent="0.25">
      <c r="C23" s="2" t="s">
        <v>127</v>
      </c>
      <c r="D23" s="18">
        <f t="shared" ref="D23:P23" si="52">D6/D4</f>
        <v>0.31285157940285591</v>
      </c>
      <c r="E23" s="18">
        <f t="shared" si="52"/>
        <v>0.29299921142556734</v>
      </c>
      <c r="F23" s="18">
        <f t="shared" si="52"/>
        <v>0.27894833272260894</v>
      </c>
      <c r="G23" s="18">
        <f t="shared" si="52"/>
        <v>0.29106168694922363</v>
      </c>
      <c r="H23" s="18">
        <f t="shared" si="52"/>
        <v>0.30495035359668554</v>
      </c>
      <c r="I23" s="18">
        <f t="shared" si="52"/>
        <v>0.31505999172527932</v>
      </c>
      <c r="J23" s="18">
        <f t="shared" si="52"/>
        <v>0.30397944301687618</v>
      </c>
      <c r="K23" s="18">
        <f t="shared" si="52"/>
        <v>0.32084971377336369</v>
      </c>
      <c r="L23" s="18">
        <f t="shared" si="52"/>
        <v>0.3260586319218241</v>
      </c>
      <c r="M23" s="18">
        <f t="shared" si="52"/>
        <v>0.32978652211737935</v>
      </c>
      <c r="N23" s="18">
        <f t="shared" si="52"/>
        <v>0.31518579621337106</v>
      </c>
      <c r="O23" s="18">
        <f t="shared" si="52"/>
        <v>0.3270405765314115</v>
      </c>
      <c r="P23" s="18">
        <f t="shared" si="52"/>
        <v>0.32213424110116184</v>
      </c>
      <c r="Q23" s="19">
        <f>Q6/Q4</f>
        <v>0.321858485026424</v>
      </c>
      <c r="R23" s="18" t="e">
        <f t="shared" ref="R23:S23" si="53">R6/R4</f>
        <v>#DIV/0!</v>
      </c>
      <c r="S23" s="18" t="e">
        <f t="shared" si="53"/>
        <v>#DIV/0!</v>
      </c>
      <c r="T23" s="1"/>
      <c r="U23" s="1"/>
      <c r="V23" s="18">
        <f t="shared" ref="V23:AP23" si="54">V6/V4</f>
        <v>0</v>
      </c>
      <c r="W23" s="18">
        <f t="shared" si="54"/>
        <v>0</v>
      </c>
      <c r="X23" s="18">
        <f t="shared" si="54"/>
        <v>0.35572484756224509</v>
      </c>
      <c r="Y23" s="18">
        <f t="shared" si="54"/>
        <v>0.34098622485253183</v>
      </c>
      <c r="Z23" s="18">
        <f t="shared" si="54"/>
        <v>0.33657536474866601</v>
      </c>
      <c r="AA23" s="18">
        <f t="shared" si="54"/>
        <v>0.33793992482739188</v>
      </c>
      <c r="AB23" s="18">
        <f t="shared" si="54"/>
        <v>0.32255545488177972</v>
      </c>
      <c r="AC23" s="18">
        <f t="shared" si="54"/>
        <v>0.29416888028719795</v>
      </c>
      <c r="AD23" s="18">
        <f t="shared" si="54"/>
        <v>0.30645762642175034</v>
      </c>
      <c r="AE23" s="18">
        <f t="shared" si="54"/>
        <v>0.32366421162463516</v>
      </c>
      <c r="AF23" s="19">
        <f t="shared" si="54"/>
        <v>0.3299999999999999</v>
      </c>
      <c r="AG23" s="18">
        <f t="shared" si="54"/>
        <v>0.33</v>
      </c>
      <c r="AH23" s="18">
        <f t="shared" si="54"/>
        <v>0.32999999999999996</v>
      </c>
      <c r="AI23" s="18">
        <f t="shared" si="54"/>
        <v>0.3299999999999999</v>
      </c>
      <c r="AJ23" s="18">
        <f t="shared" si="54"/>
        <v>0.3299999999999999</v>
      </c>
      <c r="AK23" s="18">
        <f t="shared" si="54"/>
        <v>0.32999999999999996</v>
      </c>
      <c r="AL23" s="18">
        <f t="shared" si="54"/>
        <v>0.32999999999999996</v>
      </c>
      <c r="AM23" s="18">
        <f t="shared" si="54"/>
        <v>0.3299999999999999</v>
      </c>
      <c r="AN23" s="18">
        <f t="shared" si="54"/>
        <v>0.32999999999999996</v>
      </c>
      <c r="AO23" s="18">
        <f t="shared" si="54"/>
        <v>0.33</v>
      </c>
      <c r="AP23" s="18">
        <f t="shared" si="54"/>
        <v>0.3299999999999999</v>
      </c>
      <c r="AR23" s="2" t="s">
        <v>2</v>
      </c>
      <c r="AS23" s="9">
        <v>25.003</v>
      </c>
    </row>
    <row r="24" spans="3:128" x14ac:dyDescent="0.25">
      <c r="C24" s="2" t="s">
        <v>44</v>
      </c>
      <c r="D24" s="18">
        <f t="shared" ref="D24:S24" si="55">D13/D4</f>
        <v>0.13535266118563391</v>
      </c>
      <c r="E24" s="18">
        <f t="shared" si="55"/>
        <v>0.12205379830018397</v>
      </c>
      <c r="F24" s="18">
        <f t="shared" si="55"/>
        <v>9.5731037009893633E-2</v>
      </c>
      <c r="G24" s="18">
        <f t="shared" si="55"/>
        <v>0.1065044062106589</v>
      </c>
      <c r="H24" s="18">
        <f t="shared" si="55"/>
        <v>0.13900992928066316</v>
      </c>
      <c r="I24" s="18">
        <f t="shared" si="55"/>
        <v>0.14073920838505027</v>
      </c>
      <c r="J24" s="18">
        <f t="shared" si="55"/>
        <v>0.15077435933050898</v>
      </c>
      <c r="K24" s="18">
        <f t="shared" si="55"/>
        <v>0.14414787226705306</v>
      </c>
      <c r="L24" s="18">
        <f t="shared" si="55"/>
        <v>0.16390879478827369</v>
      </c>
      <c r="M24" s="18">
        <f t="shared" si="55"/>
        <v>0.13993174061433455</v>
      </c>
      <c r="N24" s="18">
        <f t="shared" si="55"/>
        <v>0.12891821824180996</v>
      </c>
      <c r="O24" s="18">
        <f t="shared" si="55"/>
        <v>0.13410621964593439</v>
      </c>
      <c r="P24" s="18">
        <f t="shared" si="55"/>
        <v>0.12262265966106715</v>
      </c>
      <c r="Q24" s="19">
        <f t="shared" si="55"/>
        <v>0.12265120375807408</v>
      </c>
      <c r="R24" s="18" t="e">
        <f t="shared" si="55"/>
        <v>#DIV/0!</v>
      </c>
      <c r="S24" s="18" t="e">
        <f t="shared" si="55"/>
        <v>#DIV/0!</v>
      </c>
      <c r="V24" s="18">
        <f t="shared" ref="V24:AP24" si="56">V13/V4</f>
        <v>0.1024100965559188</v>
      </c>
      <c r="W24" s="18">
        <f t="shared" si="56"/>
        <v>0.12708076947988858</v>
      </c>
      <c r="X24" s="18">
        <f t="shared" si="56"/>
        <v>0.1169522775308165</v>
      </c>
      <c r="Y24" s="18">
        <f t="shared" si="56"/>
        <v>0.11955707871467858</v>
      </c>
      <c r="Z24" s="18">
        <f t="shared" si="56"/>
        <v>0.11677540544182395</v>
      </c>
      <c r="AA24" s="18">
        <f t="shared" si="56"/>
        <v>0.11228292709896577</v>
      </c>
      <c r="AB24" s="18">
        <f t="shared" si="56"/>
        <v>0.12626079135495336</v>
      </c>
      <c r="AC24" s="18">
        <f t="shared" si="56"/>
        <v>0.1151136533843613</v>
      </c>
      <c r="AD24" s="18">
        <f t="shared" si="56"/>
        <v>0.14418017072502737</v>
      </c>
      <c r="AE24" s="18">
        <f t="shared" si="56"/>
        <v>0.14265228786029552</v>
      </c>
      <c r="AF24" s="19">
        <f t="shared" si="56"/>
        <v>0.12887564026184467</v>
      </c>
      <c r="AG24" s="18">
        <f t="shared" si="56"/>
        <v>0.12887564026184473</v>
      </c>
      <c r="AH24" s="18">
        <f t="shared" si="56"/>
        <v>0.12887564026184473</v>
      </c>
      <c r="AI24" s="18">
        <f t="shared" si="56"/>
        <v>0.12887564026184475</v>
      </c>
      <c r="AJ24" s="18">
        <f t="shared" si="56"/>
        <v>0.12887564026184489</v>
      </c>
      <c r="AK24" s="18">
        <f t="shared" si="56"/>
        <v>0.12887564026184498</v>
      </c>
      <c r="AL24" s="18">
        <f t="shared" si="56"/>
        <v>0.12887564026184478</v>
      </c>
      <c r="AM24" s="18">
        <f t="shared" si="56"/>
        <v>0.12887564026184484</v>
      </c>
      <c r="AN24" s="18">
        <f t="shared" si="56"/>
        <v>0.12887564026184486</v>
      </c>
      <c r="AO24" s="18">
        <f t="shared" si="56"/>
        <v>0.12887564026184492</v>
      </c>
      <c r="AP24" s="18">
        <f t="shared" si="56"/>
        <v>0.12887564026184484</v>
      </c>
      <c r="AR24" s="2" t="s">
        <v>131</v>
      </c>
      <c r="AS24" s="9">
        <f>AS22/AS23</f>
        <v>434.28104099345398</v>
      </c>
    </row>
    <row r="25" spans="3:128" x14ac:dyDescent="0.25">
      <c r="C25" s="2" t="s">
        <v>45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  <c r="R25" s="18"/>
      <c r="S25" s="18"/>
      <c r="T25" s="18"/>
      <c r="U25" s="18"/>
      <c r="V25" s="18">
        <v>0.113</v>
      </c>
      <c r="W25" s="18">
        <v>0.127</v>
      </c>
      <c r="X25" s="18">
        <v>0.123</v>
      </c>
      <c r="Y25" s="18">
        <v>0.128</v>
      </c>
      <c r="Z25" s="20">
        <v>0.125</v>
      </c>
      <c r="AA25" s="20">
        <v>0.09</v>
      </c>
      <c r="AB25" s="20" t="s">
        <v>46</v>
      </c>
      <c r="AC25" s="20">
        <v>0.114</v>
      </c>
      <c r="AD25" s="20">
        <v>0.16200000000000001</v>
      </c>
      <c r="AE25" s="20">
        <v>0.14499999999999999</v>
      </c>
      <c r="AR25" s="1" t="s">
        <v>132</v>
      </c>
      <c r="AS25" s="17">
        <f>(AS24-B4)/B4</f>
        <v>0.56780159203412994</v>
      </c>
    </row>
    <row r="26" spans="3:128" x14ac:dyDescent="0.25"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3:128" x14ac:dyDescent="0.25">
      <c r="C27" s="1" t="s">
        <v>85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3:128" x14ac:dyDescent="0.25">
      <c r="C28" s="2" t="s">
        <v>86</v>
      </c>
      <c r="D28" s="13">
        <v>840.5</v>
      </c>
      <c r="E28" s="13">
        <v>853.5</v>
      </c>
      <c r="F28" s="13">
        <v>821</v>
      </c>
      <c r="G28" s="13">
        <v>821.1</v>
      </c>
      <c r="H28" s="13">
        <v>814.5</v>
      </c>
      <c r="I28" s="13">
        <v>810.4</v>
      </c>
      <c r="J28" s="13">
        <v>802</v>
      </c>
      <c r="K28" s="13">
        <v>939.4</v>
      </c>
      <c r="L28" s="13">
        <v>932.1</v>
      </c>
      <c r="M28" s="13">
        <v>947.3</v>
      </c>
      <c r="N28" s="13">
        <v>927.1</v>
      </c>
      <c r="O28" s="13">
        <v>910.7</v>
      </c>
      <c r="P28" s="13">
        <v>877.3</v>
      </c>
      <c r="Q28" s="14">
        <v>856.9</v>
      </c>
      <c r="T28" s="18"/>
    </row>
    <row r="29" spans="3:128" x14ac:dyDescent="0.25">
      <c r="C29" s="2" t="s">
        <v>87</v>
      </c>
      <c r="D29" s="13">
        <v>1188</v>
      </c>
      <c r="E29" s="13">
        <v>1206.8</v>
      </c>
      <c r="F29" s="13">
        <v>1229.8</v>
      </c>
      <c r="G29" s="13">
        <v>1226.8</v>
      </c>
      <c r="H29" s="13">
        <v>1234.8</v>
      </c>
      <c r="I29" s="13">
        <v>1257.8</v>
      </c>
      <c r="J29" s="13">
        <v>1244.5999999999999</v>
      </c>
      <c r="K29" s="13">
        <v>1291.3</v>
      </c>
      <c r="L29" s="13">
        <v>1312</v>
      </c>
      <c r="M29" s="13">
        <v>1303.3</v>
      </c>
      <c r="N29" s="13">
        <v>1311.7</v>
      </c>
      <c r="O29" s="13">
        <v>1322.9</v>
      </c>
      <c r="P29" s="13">
        <v>1513.2</v>
      </c>
      <c r="Q29" s="14">
        <v>1565.1</v>
      </c>
      <c r="T29" s="18"/>
      <c r="AF29" s="19"/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spans="3:128" x14ac:dyDescent="0.25">
      <c r="C30" s="2" t="s">
        <v>88</v>
      </c>
      <c r="D30" s="13">
        <v>193.5</v>
      </c>
      <c r="E30" s="13">
        <v>187.7</v>
      </c>
      <c r="F30" s="13">
        <v>181.8</v>
      </c>
      <c r="G30" s="13">
        <v>198.3</v>
      </c>
      <c r="H30" s="13">
        <v>222.9</v>
      </c>
      <c r="I30" s="13">
        <v>232.4</v>
      </c>
      <c r="J30" s="13">
        <v>223.9</v>
      </c>
      <c r="K30" s="13">
        <v>251.7</v>
      </c>
      <c r="L30" s="13">
        <v>256.7</v>
      </c>
      <c r="M30" s="13">
        <v>258.8</v>
      </c>
      <c r="N30" s="13">
        <v>274.8</v>
      </c>
      <c r="O30" s="13">
        <v>697.5</v>
      </c>
      <c r="P30" s="13">
        <v>646.1</v>
      </c>
      <c r="Q30" s="14">
        <v>643.6</v>
      </c>
    </row>
    <row r="31" spans="3:128" x14ac:dyDescent="0.25">
      <c r="C31" s="2" t="s">
        <v>89</v>
      </c>
      <c r="D31" s="13">
        <v>137.30000000000001</v>
      </c>
      <c r="E31" s="13">
        <v>133.30000000000001</v>
      </c>
      <c r="F31" s="13">
        <v>131.19999999999999</v>
      </c>
      <c r="G31" s="13">
        <v>134.5</v>
      </c>
      <c r="H31" s="13">
        <v>137.69999999999999</v>
      </c>
      <c r="I31" s="13">
        <v>162.5</v>
      </c>
      <c r="J31" s="13">
        <v>157.5</v>
      </c>
      <c r="K31" s="13">
        <v>178.2</v>
      </c>
      <c r="L31" s="13">
        <v>178</v>
      </c>
      <c r="M31" s="13">
        <v>178.9</v>
      </c>
      <c r="N31" s="13">
        <v>190.9</v>
      </c>
      <c r="O31" s="13">
        <v>220.4</v>
      </c>
      <c r="P31" s="13">
        <v>210.4</v>
      </c>
      <c r="Q31" s="14">
        <v>234.4</v>
      </c>
    </row>
    <row r="32" spans="3:128" x14ac:dyDescent="0.25">
      <c r="C32" s="2" t="s">
        <v>90</v>
      </c>
      <c r="D32" s="13">
        <v>52.1</v>
      </c>
      <c r="E32" s="13">
        <v>54</v>
      </c>
      <c r="F32" s="13">
        <v>71.8</v>
      </c>
      <c r="G32" s="13">
        <v>96.3</v>
      </c>
      <c r="H32" s="13">
        <v>74.099999999999994</v>
      </c>
      <c r="I32" s="13">
        <v>76.900000000000006</v>
      </c>
      <c r="J32" s="13">
        <v>76.5</v>
      </c>
      <c r="K32" s="13">
        <v>72</v>
      </c>
      <c r="L32" s="13">
        <v>74.099999999999994</v>
      </c>
      <c r="M32" s="13">
        <v>75.7</v>
      </c>
      <c r="N32" s="13">
        <v>73.5</v>
      </c>
      <c r="O32" s="13">
        <v>84.2</v>
      </c>
      <c r="P32" s="13">
        <v>77.599999999999994</v>
      </c>
      <c r="Q32" s="14">
        <v>76.900000000000006</v>
      </c>
    </row>
    <row r="33" spans="3:30" x14ac:dyDescent="0.25">
      <c r="C33" s="2" t="s">
        <v>91</v>
      </c>
      <c r="D33" s="13">
        <v>28.7</v>
      </c>
      <c r="E33" s="13">
        <v>59.2</v>
      </c>
      <c r="F33" s="13">
        <v>50.4</v>
      </c>
      <c r="G33" s="13">
        <v>29.6</v>
      </c>
      <c r="H33" s="13">
        <v>37.1</v>
      </c>
      <c r="I33" s="13">
        <v>33.4</v>
      </c>
      <c r="J33" s="13">
        <v>49.6</v>
      </c>
      <c r="K33" s="13">
        <v>14.9</v>
      </c>
      <c r="L33" s="13">
        <v>25.3</v>
      </c>
      <c r="M33" s="13">
        <v>41.6</v>
      </c>
      <c r="N33" s="13">
        <v>73.2</v>
      </c>
      <c r="O33" s="13">
        <v>45</v>
      </c>
      <c r="P33" s="13">
        <v>55.7</v>
      </c>
      <c r="Q33" s="14">
        <v>53</v>
      </c>
    </row>
    <row r="34" spans="3:30" x14ac:dyDescent="0.25">
      <c r="C34" s="2" t="s">
        <v>92</v>
      </c>
      <c r="D34" s="13">
        <v>105.9</v>
      </c>
      <c r="E34" s="13">
        <v>101.9</v>
      </c>
      <c r="F34" s="13">
        <v>370.4</v>
      </c>
      <c r="G34" s="13">
        <v>430.2</v>
      </c>
      <c r="H34" s="13">
        <v>326.8</v>
      </c>
      <c r="I34" s="13">
        <v>400.6</v>
      </c>
      <c r="J34" s="13">
        <v>386.3</v>
      </c>
      <c r="K34" s="13">
        <v>255.7</v>
      </c>
      <c r="L34" s="13">
        <v>251.2</v>
      </c>
      <c r="M34" s="13">
        <v>257.89999999999998</v>
      </c>
      <c r="N34" s="13">
        <v>239.7</v>
      </c>
      <c r="O34" s="13">
        <v>251.7</v>
      </c>
      <c r="P34" s="13">
        <v>220</v>
      </c>
      <c r="Q34" s="14">
        <v>200.5</v>
      </c>
    </row>
    <row r="35" spans="3:30" x14ac:dyDescent="0.25">
      <c r="C35" s="2" t="s">
        <v>93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2">
        <v>0</v>
      </c>
      <c r="K35" s="13">
        <v>0.9</v>
      </c>
      <c r="L35" s="13">
        <v>0</v>
      </c>
      <c r="M35" s="13">
        <v>0</v>
      </c>
      <c r="N35" s="13">
        <v>0</v>
      </c>
      <c r="O35" s="13">
        <v>2.5</v>
      </c>
      <c r="P35" s="13">
        <v>0</v>
      </c>
      <c r="Q35" s="14">
        <v>0</v>
      </c>
    </row>
    <row r="36" spans="3:30" x14ac:dyDescent="0.25">
      <c r="C36" s="2" t="s">
        <v>94</v>
      </c>
      <c r="D36" s="13">
        <v>55.7</v>
      </c>
      <c r="E36" s="13">
        <v>55.5</v>
      </c>
      <c r="F36" s="13">
        <v>55</v>
      </c>
      <c r="G36" s="13">
        <v>24.3</v>
      </c>
      <c r="H36" s="13">
        <v>27.4</v>
      </c>
      <c r="I36" s="13">
        <v>28.9</v>
      </c>
      <c r="J36" s="13">
        <v>22.7</v>
      </c>
      <c r="K36" s="13">
        <v>27.5</v>
      </c>
      <c r="L36" s="13">
        <v>23.9</v>
      </c>
      <c r="M36" s="13">
        <v>33.4</v>
      </c>
      <c r="N36" s="13">
        <v>35.5</v>
      </c>
      <c r="O36" s="13">
        <v>73.900000000000006</v>
      </c>
      <c r="P36" s="13">
        <v>68.5</v>
      </c>
      <c r="Q36" s="14">
        <v>66.599999999999994</v>
      </c>
    </row>
    <row r="37" spans="3:30" x14ac:dyDescent="0.25">
      <c r="C37" s="2" t="s">
        <v>95</v>
      </c>
      <c r="D37" s="13">
        <v>523.4</v>
      </c>
      <c r="E37" s="13">
        <v>609.20000000000005</v>
      </c>
      <c r="F37" s="13">
        <v>674.5</v>
      </c>
      <c r="G37" s="13">
        <v>628.1</v>
      </c>
      <c r="H37" s="13">
        <v>557.9</v>
      </c>
      <c r="I37" s="13">
        <v>606.70000000000005</v>
      </c>
      <c r="J37" s="13">
        <v>622.4</v>
      </c>
      <c r="K37" s="13">
        <v>531.9</v>
      </c>
      <c r="L37" s="13">
        <v>512</v>
      </c>
      <c r="M37" s="13">
        <v>511.3</v>
      </c>
      <c r="N37" s="13">
        <v>533.1</v>
      </c>
      <c r="O37" s="13">
        <v>467.7</v>
      </c>
      <c r="P37" s="13">
        <v>476.5</v>
      </c>
      <c r="Q37" s="14">
        <v>450</v>
      </c>
    </row>
    <row r="38" spans="3:30" x14ac:dyDescent="0.25">
      <c r="C38" s="2" t="s">
        <v>96</v>
      </c>
      <c r="D38" s="13">
        <v>118.9</v>
      </c>
      <c r="E38" s="13">
        <v>128.6</v>
      </c>
      <c r="F38" s="13">
        <v>141.5</v>
      </c>
      <c r="G38" s="13">
        <v>123.9</v>
      </c>
      <c r="H38" s="13">
        <v>140</v>
      </c>
      <c r="I38" s="13">
        <v>149.30000000000001</v>
      </c>
      <c r="J38" s="13">
        <v>155.1</v>
      </c>
      <c r="K38" s="13">
        <v>142.9</v>
      </c>
      <c r="L38" s="13">
        <v>157.19999999999999</v>
      </c>
      <c r="M38" s="13">
        <v>155.5</v>
      </c>
      <c r="N38" s="13">
        <v>148.9</v>
      </c>
      <c r="O38" s="13">
        <v>135.80000000000001</v>
      </c>
      <c r="P38" s="13">
        <v>143.6</v>
      </c>
      <c r="Q38" s="14">
        <v>144.6</v>
      </c>
    </row>
    <row r="39" spans="3:30" x14ac:dyDescent="0.25">
      <c r="C39" s="2" t="s">
        <v>97</v>
      </c>
      <c r="D39" s="13">
        <v>271.60000000000002</v>
      </c>
      <c r="E39" s="13">
        <v>325.8</v>
      </c>
      <c r="F39" s="13">
        <v>346.3</v>
      </c>
      <c r="G39" s="13">
        <v>358.5</v>
      </c>
      <c r="H39" s="13">
        <v>375.7</v>
      </c>
      <c r="I39" s="13">
        <v>401.3</v>
      </c>
      <c r="J39" s="13">
        <v>363.5</v>
      </c>
      <c r="K39" s="13">
        <v>364.4</v>
      </c>
      <c r="L39" s="13">
        <v>373.3</v>
      </c>
      <c r="M39" s="13">
        <v>409.5</v>
      </c>
      <c r="N39" s="13">
        <v>369.1</v>
      </c>
      <c r="O39" s="13">
        <v>354.3</v>
      </c>
      <c r="P39" s="13">
        <v>349.6</v>
      </c>
      <c r="Q39" s="14">
        <v>389.6</v>
      </c>
    </row>
    <row r="40" spans="3:30" x14ac:dyDescent="0.25">
      <c r="C40" s="2" t="s">
        <v>98</v>
      </c>
      <c r="D40" s="13">
        <v>689.6</v>
      </c>
      <c r="E40" s="13">
        <v>726.4</v>
      </c>
      <c r="F40" s="13">
        <v>776.9</v>
      </c>
      <c r="G40" s="13">
        <v>673.1</v>
      </c>
      <c r="H40" s="13">
        <v>855.9</v>
      </c>
      <c r="I40" s="13">
        <v>986.9</v>
      </c>
      <c r="J40" s="13">
        <v>932</v>
      </c>
      <c r="K40" s="13">
        <v>826.4</v>
      </c>
      <c r="L40" s="13">
        <v>987.2</v>
      </c>
      <c r="M40" s="13">
        <v>943.1</v>
      </c>
      <c r="N40" s="13">
        <v>769.9</v>
      </c>
      <c r="O40" s="13">
        <v>738.3</v>
      </c>
      <c r="P40" s="13">
        <v>878.5</v>
      </c>
      <c r="Q40" s="14">
        <v>926</v>
      </c>
    </row>
    <row r="41" spans="3:30" x14ac:dyDescent="0.25">
      <c r="C41" s="2" t="s">
        <v>99</v>
      </c>
      <c r="D41" s="15">
        <v>41</v>
      </c>
      <c r="E41" s="13">
        <v>44.5</v>
      </c>
      <c r="F41" s="13">
        <v>48.3</v>
      </c>
      <c r="G41" s="13">
        <v>27.8</v>
      </c>
      <c r="H41" s="13">
        <v>31.4</v>
      </c>
      <c r="I41" s="13">
        <v>38.299999999999997</v>
      </c>
      <c r="J41" s="13">
        <v>41.8</v>
      </c>
      <c r="K41" s="13">
        <v>35.9</v>
      </c>
      <c r="L41" s="13">
        <v>43.4</v>
      </c>
      <c r="M41" s="13">
        <v>52</v>
      </c>
      <c r="N41" s="13">
        <v>54.9</v>
      </c>
      <c r="O41" s="13">
        <v>60.3</v>
      </c>
      <c r="P41" s="13">
        <v>62</v>
      </c>
      <c r="Q41" s="14">
        <v>89.6</v>
      </c>
    </row>
    <row r="42" spans="3:30" x14ac:dyDescent="0.25">
      <c r="C42" s="2" t="s">
        <v>100</v>
      </c>
      <c r="D42" s="13">
        <v>31.1</v>
      </c>
      <c r="E42" s="13">
        <v>55.3</v>
      </c>
      <c r="F42" s="13">
        <v>73.900000000000006</v>
      </c>
      <c r="G42" s="13">
        <v>98.6</v>
      </c>
      <c r="H42" s="13">
        <v>69.099999999999994</v>
      </c>
      <c r="I42" s="13">
        <v>84.2</v>
      </c>
      <c r="J42" s="13">
        <v>87.2</v>
      </c>
      <c r="K42" s="13">
        <v>100</v>
      </c>
      <c r="L42" s="13">
        <v>95.8</v>
      </c>
      <c r="M42" s="13">
        <v>103.4</v>
      </c>
      <c r="N42" s="13">
        <v>118.1</v>
      </c>
      <c r="O42" s="13">
        <v>142.5</v>
      </c>
      <c r="P42" s="13">
        <v>133</v>
      </c>
      <c r="Q42" s="14">
        <v>150.6</v>
      </c>
    </row>
    <row r="43" spans="3:30" x14ac:dyDescent="0.25">
      <c r="C43" s="2" t="s">
        <v>101</v>
      </c>
      <c r="D43" s="13">
        <v>36.1</v>
      </c>
      <c r="E43" s="13">
        <v>42.1</v>
      </c>
      <c r="F43" s="13">
        <v>4.3</v>
      </c>
      <c r="G43" s="13">
        <v>42.1</v>
      </c>
      <c r="H43" s="13">
        <v>32.700000000000003</v>
      </c>
      <c r="I43" s="13">
        <v>43.4</v>
      </c>
      <c r="J43" s="13">
        <v>39.4</v>
      </c>
      <c r="K43" s="13">
        <v>39.299999999999997</v>
      </c>
      <c r="L43" s="13">
        <v>50.6</v>
      </c>
      <c r="M43" s="13">
        <v>55.8</v>
      </c>
      <c r="N43" s="13">
        <v>61.4</v>
      </c>
      <c r="O43" s="13">
        <v>52.9</v>
      </c>
      <c r="P43" s="13">
        <v>60.2</v>
      </c>
      <c r="Q43" s="14">
        <v>66.2</v>
      </c>
    </row>
    <row r="44" spans="3:30" x14ac:dyDescent="0.25">
      <c r="C44" s="2" t="s">
        <v>102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11.8</v>
      </c>
      <c r="L44" s="13">
        <v>15.4</v>
      </c>
      <c r="M44" s="13">
        <v>17.399999999999999</v>
      </c>
      <c r="N44" s="13">
        <v>15.9</v>
      </c>
      <c r="O44" s="13">
        <v>14.1</v>
      </c>
      <c r="P44" s="13">
        <v>8</v>
      </c>
      <c r="Q44" s="14">
        <v>13.3</v>
      </c>
    </row>
    <row r="45" spans="3:30" x14ac:dyDescent="0.25">
      <c r="C45" s="2" t="s">
        <v>103</v>
      </c>
      <c r="D45" s="13">
        <v>709.5</v>
      </c>
      <c r="E45" s="13">
        <v>628.5</v>
      </c>
      <c r="F45" s="13">
        <v>609.79999999999995</v>
      </c>
      <c r="G45" s="13">
        <v>498.8</v>
      </c>
      <c r="H45" s="13">
        <v>464.7</v>
      </c>
      <c r="I45" s="13">
        <v>416.6</v>
      </c>
      <c r="J45" s="13">
        <v>1055.2</v>
      </c>
      <c r="K45" s="13">
        <v>885.9</v>
      </c>
      <c r="L45" s="13">
        <v>1030.5</v>
      </c>
      <c r="M45" s="13">
        <v>916.6</v>
      </c>
      <c r="N45" s="13">
        <v>927.3</v>
      </c>
      <c r="O45" s="13">
        <v>949.7</v>
      </c>
      <c r="P45" s="13">
        <v>925.2</v>
      </c>
      <c r="Q45" s="14">
        <v>906.1</v>
      </c>
    </row>
    <row r="46" spans="3:30" x14ac:dyDescent="0.25">
      <c r="C46" s="1" t="s">
        <v>104</v>
      </c>
      <c r="D46" s="11">
        <f t="shared" ref="D46:P46" si="57">SUM(D28:D45)</f>
        <v>5022.9000000000005</v>
      </c>
      <c r="E46" s="11">
        <f t="shared" si="57"/>
        <v>5212.3000000000011</v>
      </c>
      <c r="F46" s="11">
        <f t="shared" si="57"/>
        <v>5586.9000000000005</v>
      </c>
      <c r="G46" s="11">
        <f t="shared" si="57"/>
        <v>5412.0000000000018</v>
      </c>
      <c r="H46" s="11">
        <f t="shared" si="57"/>
        <v>5402.7</v>
      </c>
      <c r="I46" s="11">
        <f t="shared" si="57"/>
        <v>5729.6</v>
      </c>
      <c r="J46" s="11">
        <f t="shared" si="57"/>
        <v>6259.7</v>
      </c>
      <c r="K46" s="11">
        <f t="shared" si="57"/>
        <v>5970.0999999999995</v>
      </c>
      <c r="L46" s="11">
        <f t="shared" si="57"/>
        <v>6318.7</v>
      </c>
      <c r="M46" s="11">
        <f t="shared" si="57"/>
        <v>6261.5000000000009</v>
      </c>
      <c r="N46" s="11">
        <f t="shared" si="57"/>
        <v>6124.9999999999991</v>
      </c>
      <c r="O46" s="11">
        <f t="shared" si="57"/>
        <v>6524.4000000000005</v>
      </c>
      <c r="P46" s="11">
        <f t="shared" si="57"/>
        <v>6705.4</v>
      </c>
      <c r="Q46" s="12">
        <f>SUM(Q28:Q45)</f>
        <v>6833.0000000000018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3:30" x14ac:dyDescent="0.25">
      <c r="C47" s="2" t="s">
        <v>105</v>
      </c>
      <c r="D47" s="13">
        <v>65.5</v>
      </c>
      <c r="E47" s="13">
        <v>65.5</v>
      </c>
      <c r="F47" s="13">
        <v>65.5</v>
      </c>
      <c r="G47" s="13">
        <v>65.5</v>
      </c>
      <c r="H47" s="13">
        <v>65.5</v>
      </c>
      <c r="I47" s="13">
        <v>65.5</v>
      </c>
      <c r="J47" s="13">
        <v>65.5</v>
      </c>
      <c r="K47" s="13">
        <v>65.5</v>
      </c>
      <c r="L47" s="13">
        <v>65.5</v>
      </c>
      <c r="M47" s="13">
        <v>65.5</v>
      </c>
      <c r="N47" s="13">
        <v>65.5</v>
      </c>
      <c r="O47" s="13">
        <v>65.5</v>
      </c>
      <c r="P47" s="13">
        <v>65.5</v>
      </c>
      <c r="Q47" s="14">
        <v>65.5</v>
      </c>
    </row>
    <row r="48" spans="3:30" x14ac:dyDescent="0.25">
      <c r="C48" s="2" t="s">
        <v>106</v>
      </c>
      <c r="D48" s="13">
        <v>781.3</v>
      </c>
      <c r="E48" s="13">
        <v>781.3</v>
      </c>
      <c r="F48" s="13">
        <v>781.3</v>
      </c>
      <c r="G48" s="13">
        <v>781.3</v>
      </c>
      <c r="H48" s="13">
        <v>781.3</v>
      </c>
      <c r="I48" s="13">
        <v>781.3</v>
      </c>
      <c r="J48" s="13">
        <v>781.3</v>
      </c>
      <c r="K48" s="13">
        <v>781.3</v>
      </c>
      <c r="L48" s="13">
        <v>781.3</v>
      </c>
      <c r="M48" s="13">
        <v>781.3</v>
      </c>
      <c r="N48" s="13">
        <v>781.3</v>
      </c>
      <c r="O48" s="13">
        <v>781.3</v>
      </c>
      <c r="P48" s="13">
        <v>781.3</v>
      </c>
      <c r="Q48" s="14">
        <v>781.3</v>
      </c>
    </row>
    <row r="49" spans="3:17" x14ac:dyDescent="0.25">
      <c r="C49" s="2" t="s">
        <v>107</v>
      </c>
      <c r="D49" s="13">
        <v>156.19999999999999</v>
      </c>
      <c r="E49" s="13">
        <v>434.7</v>
      </c>
      <c r="F49" s="13">
        <v>285.10000000000002</v>
      </c>
      <c r="G49" s="13">
        <v>288</v>
      </c>
      <c r="H49" s="13">
        <v>325.10000000000002</v>
      </c>
      <c r="I49" s="13">
        <v>434.7</v>
      </c>
      <c r="J49" s="13">
        <v>362</v>
      </c>
      <c r="K49" s="13">
        <v>248.9</v>
      </c>
      <c r="L49" s="13">
        <v>330.2</v>
      </c>
      <c r="M49" s="13">
        <v>305.7</v>
      </c>
      <c r="N49" s="13">
        <v>248.1</v>
      </c>
      <c r="O49" s="13">
        <v>306.89999999999998</v>
      </c>
      <c r="P49" s="13">
        <v>87</v>
      </c>
      <c r="Q49" s="14">
        <v>71.900000000000006</v>
      </c>
    </row>
    <row r="50" spans="3:17" x14ac:dyDescent="0.25">
      <c r="C50" s="2" t="s">
        <v>108</v>
      </c>
      <c r="D50" s="13">
        <v>1973.7</v>
      </c>
      <c r="E50" s="13">
        <v>2296.1999999999998</v>
      </c>
      <c r="F50" s="13">
        <v>2024.1</v>
      </c>
      <c r="G50" s="13">
        <v>2153.5</v>
      </c>
      <c r="H50" s="13">
        <v>2295.5</v>
      </c>
      <c r="I50" s="13">
        <v>2296.1999999999998</v>
      </c>
      <c r="J50" s="13">
        <v>2466.1</v>
      </c>
      <c r="K50" s="13">
        <v>2580.3000000000002</v>
      </c>
      <c r="L50" s="13">
        <v>2774.2</v>
      </c>
      <c r="M50" s="13">
        <v>2767</v>
      </c>
      <c r="N50" s="13">
        <v>2867.7</v>
      </c>
      <c r="O50" s="13">
        <v>2979.1</v>
      </c>
      <c r="P50" s="13">
        <v>3093.5</v>
      </c>
      <c r="Q50" s="14">
        <v>3012.2</v>
      </c>
    </row>
    <row r="51" spans="3:17" x14ac:dyDescent="0.25">
      <c r="C51" s="10" t="s">
        <v>109</v>
      </c>
      <c r="D51" s="15">
        <f t="shared" ref="D51:P51" si="58">SUM(D47:D50)</f>
        <v>2976.7</v>
      </c>
      <c r="E51" s="15">
        <f t="shared" si="58"/>
        <v>3577.7</v>
      </c>
      <c r="F51" s="15">
        <f t="shared" si="58"/>
        <v>3156</v>
      </c>
      <c r="G51" s="15">
        <f t="shared" si="58"/>
        <v>3288.3</v>
      </c>
      <c r="H51" s="15">
        <f t="shared" si="58"/>
        <v>3467.4</v>
      </c>
      <c r="I51" s="15">
        <f t="shared" si="58"/>
        <v>3577.7</v>
      </c>
      <c r="J51" s="15">
        <f t="shared" si="58"/>
        <v>3674.8999999999996</v>
      </c>
      <c r="K51" s="15">
        <f t="shared" si="58"/>
        <v>3676</v>
      </c>
      <c r="L51" s="15">
        <f t="shared" si="58"/>
        <v>3951.2</v>
      </c>
      <c r="M51" s="15">
        <f t="shared" si="58"/>
        <v>3919.5</v>
      </c>
      <c r="N51" s="15">
        <f t="shared" si="58"/>
        <v>3962.5999999999995</v>
      </c>
      <c r="O51" s="15">
        <f t="shared" si="58"/>
        <v>4132.7999999999993</v>
      </c>
      <c r="P51" s="15">
        <f t="shared" si="58"/>
        <v>4027.3</v>
      </c>
      <c r="Q51" s="25">
        <f>SUM(Q47:Q50)</f>
        <v>3930.8999999999996</v>
      </c>
    </row>
    <row r="52" spans="3:17" x14ac:dyDescent="0.25">
      <c r="C52" s="2" t="s">
        <v>110</v>
      </c>
      <c r="D52" s="13">
        <v>254.8</v>
      </c>
      <c r="E52" s="13">
        <v>204.3</v>
      </c>
      <c r="F52" s="13">
        <v>251</v>
      </c>
      <c r="G52" s="13">
        <v>196.9</v>
      </c>
      <c r="H52" s="13">
        <v>176.4</v>
      </c>
      <c r="I52" s="13">
        <v>204.3</v>
      </c>
      <c r="J52" s="13">
        <v>184.9</v>
      </c>
      <c r="K52" s="13">
        <v>202.1</v>
      </c>
      <c r="L52" s="13">
        <v>206.1</v>
      </c>
      <c r="M52" s="13">
        <v>206.8</v>
      </c>
      <c r="N52" s="13">
        <v>220</v>
      </c>
      <c r="O52" s="13">
        <v>223.6</v>
      </c>
      <c r="P52" s="13">
        <v>219.4</v>
      </c>
      <c r="Q52" s="14">
        <v>222.8</v>
      </c>
    </row>
    <row r="53" spans="3:17" x14ac:dyDescent="0.25">
      <c r="C53" s="2" t="s">
        <v>111</v>
      </c>
      <c r="D53" s="13">
        <v>229.1</v>
      </c>
      <c r="E53" s="13">
        <v>194.2</v>
      </c>
      <c r="F53" s="13">
        <v>256.7</v>
      </c>
      <c r="G53" s="13">
        <v>213.4</v>
      </c>
      <c r="H53" s="13">
        <v>212.8</v>
      </c>
      <c r="I53" s="13">
        <v>194.2</v>
      </c>
      <c r="J53" s="13">
        <v>207.8</v>
      </c>
      <c r="K53" s="13">
        <v>231.4</v>
      </c>
      <c r="L53" s="13">
        <v>230.6</v>
      </c>
      <c r="M53" s="13">
        <v>227.5</v>
      </c>
      <c r="N53" s="13">
        <v>232</v>
      </c>
      <c r="O53" s="13">
        <v>302.7</v>
      </c>
      <c r="P53" s="13">
        <v>297.5</v>
      </c>
      <c r="Q53" s="14">
        <v>289.60000000000002</v>
      </c>
    </row>
    <row r="54" spans="3:17" x14ac:dyDescent="0.25">
      <c r="C54" s="2" t="s">
        <v>112</v>
      </c>
      <c r="D54" s="13">
        <v>48.4</v>
      </c>
      <c r="E54" s="13">
        <v>94.2</v>
      </c>
      <c r="F54" s="13">
        <v>66.2</v>
      </c>
      <c r="G54" s="13">
        <v>61</v>
      </c>
      <c r="H54" s="13">
        <v>66.900000000000006</v>
      </c>
      <c r="I54" s="13">
        <v>94.2</v>
      </c>
      <c r="J54" s="13">
        <v>89.6</v>
      </c>
      <c r="K54" s="13">
        <v>95.8</v>
      </c>
      <c r="L54" s="13">
        <v>106.9</v>
      </c>
      <c r="M54" s="13">
        <v>109.4</v>
      </c>
      <c r="N54" s="13">
        <v>93.8</v>
      </c>
      <c r="O54" s="13">
        <v>93.9</v>
      </c>
      <c r="P54" s="13">
        <v>86.7</v>
      </c>
      <c r="Q54" s="14">
        <v>81</v>
      </c>
    </row>
    <row r="55" spans="3:17" x14ac:dyDescent="0.25">
      <c r="C55" s="2" t="s">
        <v>113</v>
      </c>
      <c r="D55" s="13">
        <v>90.9</v>
      </c>
      <c r="E55" s="13">
        <v>375.9</v>
      </c>
      <c r="F55" s="13">
        <v>334.4</v>
      </c>
      <c r="G55" s="13">
        <v>399</v>
      </c>
      <c r="H55" s="13">
        <v>296.60000000000002</v>
      </c>
      <c r="I55" s="13">
        <v>375.9</v>
      </c>
      <c r="J55" s="13">
        <v>363.7</v>
      </c>
      <c r="K55" s="13">
        <v>238.4</v>
      </c>
      <c r="L55" s="13">
        <v>230.6</v>
      </c>
      <c r="M55" s="13">
        <v>240</v>
      </c>
      <c r="N55" s="13">
        <v>220.8</v>
      </c>
      <c r="O55" s="13">
        <v>232</v>
      </c>
      <c r="P55" s="13">
        <v>202.2</v>
      </c>
      <c r="Q55" s="14">
        <v>183.5</v>
      </c>
    </row>
    <row r="56" spans="3:17" x14ac:dyDescent="0.25">
      <c r="C56" s="2" t="s">
        <v>114</v>
      </c>
      <c r="D56" s="13">
        <v>759.5</v>
      </c>
      <c r="E56" s="13">
        <v>449.1</v>
      </c>
      <c r="F56" s="13">
        <v>807</v>
      </c>
      <c r="G56" s="13">
        <v>576</v>
      </c>
      <c r="H56" s="13">
        <v>437.8</v>
      </c>
      <c r="I56" s="13">
        <v>449.1</v>
      </c>
      <c r="J56" s="13">
        <v>859.2</v>
      </c>
      <c r="K56" s="13">
        <v>730.5</v>
      </c>
      <c r="L56" s="13">
        <v>738.9</v>
      </c>
      <c r="M56" s="13">
        <v>648.20000000000005</v>
      </c>
      <c r="N56" s="13">
        <v>623</v>
      </c>
      <c r="O56" s="13">
        <v>862</v>
      </c>
      <c r="P56" s="13">
        <v>1060.9000000000001</v>
      </c>
      <c r="Q56" s="14">
        <v>1255.3</v>
      </c>
    </row>
    <row r="57" spans="3:17" x14ac:dyDescent="0.25">
      <c r="C57" s="2" t="s">
        <v>115</v>
      </c>
      <c r="D57" s="13">
        <v>20.7</v>
      </c>
      <c r="E57" s="13">
        <v>23.9</v>
      </c>
      <c r="F57" s="13">
        <v>24.4</v>
      </c>
      <c r="G57" s="13">
        <v>23.1</v>
      </c>
      <c r="H57" s="13">
        <v>22.9</v>
      </c>
      <c r="I57" s="13">
        <v>23.9</v>
      </c>
      <c r="J57" s="13">
        <v>23.9</v>
      </c>
      <c r="K57" s="13">
        <v>55.7</v>
      </c>
      <c r="L57" s="13">
        <v>24.1</v>
      </c>
      <c r="M57" s="13">
        <v>24</v>
      </c>
      <c r="N57" s="13">
        <v>23.3</v>
      </c>
      <c r="O57" s="13">
        <v>26.1</v>
      </c>
      <c r="P57" s="13">
        <v>51.6</v>
      </c>
      <c r="Q57" s="14">
        <v>106.7</v>
      </c>
    </row>
    <row r="58" spans="3:17" x14ac:dyDescent="0.25">
      <c r="C58" s="2" t="s">
        <v>116</v>
      </c>
      <c r="D58" s="13">
        <v>345.3</v>
      </c>
      <c r="E58" s="13">
        <v>414.4</v>
      </c>
      <c r="F58" s="13">
        <v>371.8</v>
      </c>
      <c r="G58" s="13">
        <v>323.3</v>
      </c>
      <c r="H58" s="13">
        <v>348.1</v>
      </c>
      <c r="I58" s="13">
        <v>414.4</v>
      </c>
      <c r="J58" s="13">
        <v>411.5</v>
      </c>
      <c r="K58" s="13">
        <v>322.5</v>
      </c>
      <c r="L58" s="13">
        <v>381.3</v>
      </c>
      <c r="M58" s="13">
        <v>431.7</v>
      </c>
      <c r="N58" s="13">
        <v>347</v>
      </c>
      <c r="O58" s="13">
        <v>240.3</v>
      </c>
      <c r="P58" s="13">
        <v>332.4</v>
      </c>
      <c r="Q58" s="14">
        <v>352.7</v>
      </c>
    </row>
    <row r="59" spans="3:17" x14ac:dyDescent="0.25">
      <c r="C59" s="2" t="s">
        <v>117</v>
      </c>
      <c r="D59" s="13">
        <v>32.299999999999997</v>
      </c>
      <c r="E59" s="13">
        <v>89.3</v>
      </c>
      <c r="F59" s="13">
        <v>56.4</v>
      </c>
      <c r="G59" s="13">
        <v>49.8</v>
      </c>
      <c r="H59" s="13">
        <v>71.5</v>
      </c>
      <c r="I59" s="13">
        <v>89.3</v>
      </c>
      <c r="J59" s="13">
        <v>120.1</v>
      </c>
      <c r="K59" s="13">
        <v>95.5</v>
      </c>
      <c r="L59" s="13">
        <v>95.7</v>
      </c>
      <c r="M59" s="13">
        <v>89.7</v>
      </c>
      <c r="N59" s="13">
        <v>83.9</v>
      </c>
      <c r="O59" s="13">
        <v>79.7</v>
      </c>
      <c r="P59" s="13">
        <v>50</v>
      </c>
      <c r="Q59" s="14">
        <v>60.1</v>
      </c>
    </row>
    <row r="60" spans="3:17" x14ac:dyDescent="0.25">
      <c r="C60" s="2" t="s">
        <v>118</v>
      </c>
      <c r="D60" s="13">
        <v>40.9</v>
      </c>
      <c r="E60" s="13">
        <v>35.200000000000003</v>
      </c>
      <c r="F60" s="13">
        <v>40</v>
      </c>
      <c r="G60" s="13">
        <v>39.200000000000003</v>
      </c>
      <c r="H60" s="13">
        <v>42.1</v>
      </c>
      <c r="I60" s="13">
        <v>35.200000000000003</v>
      </c>
      <c r="J60" s="13">
        <v>38.799999999999997</v>
      </c>
      <c r="K60" s="13">
        <v>45.6</v>
      </c>
      <c r="L60" s="13">
        <v>68.599999999999994</v>
      </c>
      <c r="M60" s="13">
        <v>71.900000000000006</v>
      </c>
      <c r="N60" s="13">
        <v>29.4</v>
      </c>
      <c r="O60" s="13">
        <v>45.6</v>
      </c>
      <c r="P60" s="13">
        <v>73.7</v>
      </c>
      <c r="Q60" s="14">
        <v>38.1</v>
      </c>
    </row>
    <row r="61" spans="3:17" x14ac:dyDescent="0.25">
      <c r="C61" s="2" t="s">
        <v>113</v>
      </c>
      <c r="D61" s="13">
        <v>22.4</v>
      </c>
      <c r="E61" s="13">
        <v>47.5</v>
      </c>
      <c r="F61" s="13">
        <v>43.7</v>
      </c>
      <c r="G61" s="13">
        <v>49.1</v>
      </c>
      <c r="H61" s="13">
        <v>48.5</v>
      </c>
      <c r="I61" s="13">
        <v>47.5</v>
      </c>
      <c r="J61" s="13">
        <v>47.4</v>
      </c>
      <c r="K61" s="13">
        <v>55.3</v>
      </c>
      <c r="L61" s="13">
        <v>50.8</v>
      </c>
      <c r="M61" s="13">
        <v>58.2</v>
      </c>
      <c r="N61" s="13">
        <v>57.1</v>
      </c>
      <c r="O61" s="13">
        <v>60.7</v>
      </c>
      <c r="P61" s="13">
        <v>55.5</v>
      </c>
      <c r="Q61" s="14">
        <v>53.9</v>
      </c>
    </row>
    <row r="62" spans="3:17" x14ac:dyDescent="0.25">
      <c r="C62" s="2" t="s">
        <v>119</v>
      </c>
      <c r="D62" s="13">
        <v>202</v>
      </c>
      <c r="E62" s="13">
        <v>223.7</v>
      </c>
      <c r="F62" s="13">
        <v>215.9</v>
      </c>
      <c r="G62" s="13">
        <v>193.1</v>
      </c>
      <c r="H62" s="13">
        <v>211.7</v>
      </c>
      <c r="I62" s="13">
        <v>223.7</v>
      </c>
      <c r="J62" s="13">
        <v>238.1</v>
      </c>
      <c r="K62" s="13">
        <v>221.3</v>
      </c>
      <c r="L62" s="13">
        <v>233.9</v>
      </c>
      <c r="M62" s="13">
        <v>237.9</v>
      </c>
      <c r="N62" s="13">
        <v>259.39999999999998</v>
      </c>
      <c r="O62" s="13">
        <v>225.2</v>
      </c>
      <c r="P62" s="13">
        <v>249</v>
      </c>
      <c r="Q62" s="14">
        <v>258.8</v>
      </c>
    </row>
    <row r="63" spans="3:17" x14ac:dyDescent="0.25">
      <c r="C63" s="10" t="s">
        <v>120</v>
      </c>
      <c r="D63" s="15">
        <f t="shared" ref="D63:P63" si="59">SUM(D52:D62)</f>
        <v>2046.3</v>
      </c>
      <c r="E63" s="15">
        <f t="shared" si="59"/>
        <v>2151.6999999999998</v>
      </c>
      <c r="F63" s="15">
        <f t="shared" si="59"/>
        <v>2467.5</v>
      </c>
      <c r="G63" s="15">
        <f t="shared" si="59"/>
        <v>2123.8999999999996</v>
      </c>
      <c r="H63" s="15">
        <f t="shared" si="59"/>
        <v>1935.3</v>
      </c>
      <c r="I63" s="15">
        <f t="shared" si="59"/>
        <v>2151.6999999999998</v>
      </c>
      <c r="J63" s="15">
        <f t="shared" si="59"/>
        <v>2585.0000000000005</v>
      </c>
      <c r="K63" s="15">
        <f t="shared" si="59"/>
        <v>2294.1</v>
      </c>
      <c r="L63" s="15">
        <f t="shared" si="59"/>
        <v>2367.5</v>
      </c>
      <c r="M63" s="15">
        <f t="shared" si="59"/>
        <v>2345.3000000000002</v>
      </c>
      <c r="N63" s="15">
        <f t="shared" si="59"/>
        <v>2189.6999999999998</v>
      </c>
      <c r="O63" s="15">
        <f t="shared" si="59"/>
        <v>2391.7999999999993</v>
      </c>
      <c r="P63" s="15">
        <f t="shared" si="59"/>
        <v>2678.8999999999996</v>
      </c>
      <c r="Q63" s="25">
        <f>SUM(Q52:Q62)</f>
        <v>2902.5</v>
      </c>
    </row>
    <row r="64" spans="3:17" x14ac:dyDescent="0.25">
      <c r="C64" s="1" t="s">
        <v>121</v>
      </c>
      <c r="D64" s="11">
        <f t="shared" ref="D64:P64" si="60">D51+D63</f>
        <v>5023</v>
      </c>
      <c r="E64" s="11">
        <f t="shared" si="60"/>
        <v>5729.4</v>
      </c>
      <c r="F64" s="11">
        <f t="shared" si="60"/>
        <v>5623.5</v>
      </c>
      <c r="G64" s="11">
        <f t="shared" si="60"/>
        <v>5412.2</v>
      </c>
      <c r="H64" s="11">
        <f t="shared" si="60"/>
        <v>5402.7</v>
      </c>
      <c r="I64" s="11">
        <f t="shared" si="60"/>
        <v>5729.4</v>
      </c>
      <c r="J64" s="11">
        <f t="shared" si="60"/>
        <v>6259.9</v>
      </c>
      <c r="K64" s="11">
        <f t="shared" si="60"/>
        <v>5970.1</v>
      </c>
      <c r="L64" s="11">
        <f t="shared" si="60"/>
        <v>6318.7</v>
      </c>
      <c r="M64" s="11">
        <f t="shared" si="60"/>
        <v>6264.8</v>
      </c>
      <c r="N64" s="11">
        <f t="shared" si="60"/>
        <v>6152.2999999999993</v>
      </c>
      <c r="O64" s="11">
        <f t="shared" si="60"/>
        <v>6524.5999999999985</v>
      </c>
      <c r="P64" s="11">
        <f t="shared" si="60"/>
        <v>6706.2</v>
      </c>
      <c r="Q64" s="12">
        <f>Q51+Q63</f>
        <v>6833.4</v>
      </c>
    </row>
    <row r="66" spans="3:31" x14ac:dyDescent="0.25">
      <c r="C66" s="1" t="s">
        <v>84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Z66" s="1"/>
      <c r="AA66" s="1"/>
      <c r="AB66" s="1"/>
      <c r="AC66" s="1"/>
      <c r="AD66" s="1"/>
      <c r="AE66" s="1"/>
    </row>
    <row r="67" spans="3:31" x14ac:dyDescent="0.25">
      <c r="C67" s="2" t="s">
        <v>63</v>
      </c>
      <c r="D67" s="13">
        <f t="shared" ref="D67:S67" si="61">D13</f>
        <v>156.39999999999998</v>
      </c>
      <c r="E67" s="13">
        <f t="shared" si="61"/>
        <v>139.29999999999995</v>
      </c>
      <c r="F67" s="13">
        <f t="shared" si="61"/>
        <v>104.49999999999989</v>
      </c>
      <c r="G67" s="13">
        <f t="shared" si="61"/>
        <v>126.90000000000009</v>
      </c>
      <c r="H67" s="13">
        <f t="shared" si="61"/>
        <v>194.60000000000036</v>
      </c>
      <c r="I67" s="13">
        <f t="shared" si="61"/>
        <v>204.09999999999991</v>
      </c>
      <c r="J67" s="13">
        <f t="shared" si="61"/>
        <v>217.09999999999991</v>
      </c>
      <c r="K67" s="13">
        <f t="shared" si="61"/>
        <v>209.00000000000023</v>
      </c>
      <c r="L67" s="13">
        <f t="shared" si="61"/>
        <v>251.60000000000014</v>
      </c>
      <c r="M67" s="13">
        <f t="shared" si="61"/>
        <v>209.10000000000014</v>
      </c>
      <c r="N67" s="13">
        <f t="shared" si="61"/>
        <v>164.09999999999991</v>
      </c>
      <c r="O67" s="13">
        <f t="shared" si="61"/>
        <v>171.19999999999982</v>
      </c>
      <c r="P67" s="13">
        <f t="shared" si="61"/>
        <v>165.70000000000005</v>
      </c>
      <c r="Q67" s="14">
        <f>Q13</f>
        <v>167.10000000000014</v>
      </c>
      <c r="R67" s="13">
        <f t="shared" si="61"/>
        <v>0</v>
      </c>
      <c r="S67" s="13">
        <f t="shared" si="61"/>
        <v>0</v>
      </c>
      <c r="Z67" s="13">
        <f>Z13</f>
        <v>435.03999999999951</v>
      </c>
      <c r="AA67" s="13">
        <f>AA13</f>
        <v>353.37199999999984</v>
      </c>
      <c r="AB67" s="13">
        <f>AB13</f>
        <v>455.95600000000013</v>
      </c>
      <c r="AC67" s="13">
        <f>AC13</f>
        <v>527.2180000000003</v>
      </c>
    </row>
    <row r="68" spans="3:31" x14ac:dyDescent="0.25">
      <c r="C68" s="2" t="s">
        <v>64</v>
      </c>
      <c r="D68" s="13">
        <v>156</v>
      </c>
      <c r="E68" s="13"/>
      <c r="F68" s="13"/>
      <c r="G68" s="13"/>
      <c r="H68" s="13">
        <v>195</v>
      </c>
      <c r="I68" s="13"/>
      <c r="J68" s="13"/>
      <c r="K68" s="13"/>
      <c r="L68" s="13">
        <v>252</v>
      </c>
      <c r="M68" s="13">
        <v>209</v>
      </c>
      <c r="N68" s="13"/>
      <c r="O68" s="13"/>
      <c r="P68" s="13">
        <v>165.8</v>
      </c>
      <c r="Q68" s="14">
        <v>167</v>
      </c>
      <c r="Z68" s="13">
        <v>435</v>
      </c>
      <c r="AA68" s="13">
        <v>353.37900000000002</v>
      </c>
      <c r="AB68" s="13">
        <v>456</v>
      </c>
      <c r="AC68" s="13">
        <v>527</v>
      </c>
      <c r="AD68" s="13">
        <v>-15.439</v>
      </c>
      <c r="AE68" s="13">
        <v>-10.340999999999999</v>
      </c>
    </row>
    <row r="69" spans="3:31" x14ac:dyDescent="0.25">
      <c r="C69" s="2" t="s">
        <v>65</v>
      </c>
      <c r="D69" s="13">
        <v>27.1</v>
      </c>
      <c r="E69" s="13"/>
      <c r="F69" s="13"/>
      <c r="G69" s="13"/>
      <c r="H69" s="13">
        <v>37.1</v>
      </c>
      <c r="I69" s="13"/>
      <c r="J69" s="13"/>
      <c r="K69" s="13"/>
      <c r="L69" s="13">
        <v>31.9</v>
      </c>
      <c r="M69" s="13">
        <v>34.200000000000003</v>
      </c>
      <c r="N69" s="13"/>
      <c r="O69" s="13"/>
      <c r="P69" s="13">
        <v>42.7</v>
      </c>
      <c r="Q69" s="14">
        <v>42.4</v>
      </c>
      <c r="Z69" s="13">
        <v>112.818</v>
      </c>
      <c r="AA69" s="13">
        <v>109.15300000000001</v>
      </c>
      <c r="AB69" s="13">
        <v>106.438</v>
      </c>
      <c r="AC69" s="13">
        <v>136.33600000000001</v>
      </c>
      <c r="AD69" s="13">
        <v>0.60199999999999998</v>
      </c>
      <c r="AE69" s="13">
        <v>0.504</v>
      </c>
    </row>
    <row r="70" spans="3:31" x14ac:dyDescent="0.25">
      <c r="C70" s="2" t="s">
        <v>66</v>
      </c>
      <c r="D70" s="11">
        <v>0</v>
      </c>
      <c r="E70" s="11"/>
      <c r="F70" s="11"/>
      <c r="G70" s="11"/>
      <c r="H70" s="13">
        <v>0</v>
      </c>
      <c r="I70" s="11"/>
      <c r="J70" s="11"/>
      <c r="K70" s="11"/>
      <c r="L70" s="11">
        <v>-1.8</v>
      </c>
      <c r="M70" s="11">
        <v>0</v>
      </c>
      <c r="N70" s="11"/>
      <c r="O70" s="11"/>
      <c r="P70" s="11">
        <v>0</v>
      </c>
      <c r="Q70" s="14">
        <v>0</v>
      </c>
      <c r="Z70" s="13">
        <v>0</v>
      </c>
      <c r="AA70" s="13">
        <v>0</v>
      </c>
      <c r="AB70" s="13">
        <v>0</v>
      </c>
      <c r="AC70" s="2">
        <v>0</v>
      </c>
      <c r="AD70" s="13">
        <v>0</v>
      </c>
      <c r="AE70" s="13">
        <v>0</v>
      </c>
    </row>
    <row r="71" spans="3:31" x14ac:dyDescent="0.25">
      <c r="C71" s="2" t="s">
        <v>67</v>
      </c>
      <c r="D71" s="11">
        <v>18.399999999999999</v>
      </c>
      <c r="E71" s="13"/>
      <c r="F71" s="13"/>
      <c r="G71" s="13"/>
      <c r="H71" s="13">
        <v>-14.2</v>
      </c>
      <c r="I71" s="13"/>
      <c r="J71" s="13"/>
      <c r="K71" s="13"/>
      <c r="L71" s="13">
        <v>0</v>
      </c>
      <c r="M71" s="13">
        <v>-6.4</v>
      </c>
      <c r="N71" s="13"/>
      <c r="O71" s="13"/>
      <c r="P71" s="13">
        <v>-16</v>
      </c>
      <c r="Q71" s="14">
        <v>-23.3</v>
      </c>
      <c r="Z71" s="13">
        <v>10.67</v>
      </c>
      <c r="AA71" s="13">
        <v>-35.984999999999999</v>
      </c>
      <c r="AB71" s="13">
        <v>18.408999999999999</v>
      </c>
      <c r="AC71" s="13">
        <v>45.095999999999997</v>
      </c>
      <c r="AD71" s="13">
        <v>24.273</v>
      </c>
      <c r="AE71" s="13">
        <v>182.91900000000001</v>
      </c>
    </row>
    <row r="72" spans="3:31" x14ac:dyDescent="0.25">
      <c r="C72" s="2" t="s">
        <v>68</v>
      </c>
      <c r="D72" s="13">
        <v>0.9</v>
      </c>
      <c r="E72" s="13"/>
      <c r="F72" s="13"/>
      <c r="G72" s="13"/>
      <c r="H72" s="13">
        <v>6</v>
      </c>
      <c r="I72" s="13"/>
      <c r="J72" s="13"/>
      <c r="K72" s="13"/>
      <c r="L72" s="13">
        <v>11.3</v>
      </c>
      <c r="M72" s="13">
        <v>13.7</v>
      </c>
      <c r="N72" s="13"/>
      <c r="O72" s="13"/>
      <c r="P72" s="13">
        <v>7.1</v>
      </c>
      <c r="Q72" s="14">
        <v>6.4</v>
      </c>
      <c r="Z72" s="13">
        <v>4.5990000000000002</v>
      </c>
      <c r="AA72" s="13">
        <v>12.2</v>
      </c>
      <c r="AB72" s="13">
        <v>8.27</v>
      </c>
      <c r="AC72" s="13">
        <v>11.252000000000001</v>
      </c>
      <c r="AD72" s="13">
        <f>64.116+109.924</f>
        <v>174.04000000000002</v>
      </c>
      <c r="AE72" s="13">
        <f>57.417+150</f>
        <v>207.417</v>
      </c>
    </row>
    <row r="73" spans="3:31" x14ac:dyDescent="0.25">
      <c r="C73" s="2" t="s">
        <v>69</v>
      </c>
      <c r="D73" s="13">
        <v>-3.9</v>
      </c>
      <c r="E73" s="13"/>
      <c r="F73" s="13"/>
      <c r="G73" s="13"/>
      <c r="H73" s="13">
        <v>-11.7</v>
      </c>
      <c r="I73" s="13"/>
      <c r="J73" s="13"/>
      <c r="K73" s="13"/>
      <c r="L73" s="13">
        <v>-15.9</v>
      </c>
      <c r="M73" s="13">
        <v>-12.6</v>
      </c>
      <c r="N73" s="13"/>
      <c r="O73" s="13"/>
      <c r="P73" s="13">
        <v>-12.8</v>
      </c>
      <c r="Q73" s="14">
        <v>-14.2</v>
      </c>
      <c r="Z73" s="13">
        <v>-31.565000000000001</v>
      </c>
      <c r="AA73" s="13">
        <v>-16.866</v>
      </c>
      <c r="AB73" s="13">
        <v>-15.143000000000001</v>
      </c>
      <c r="AC73" s="13">
        <v>-24.321000000000002</v>
      </c>
      <c r="AD73" s="13">
        <v>-73.864000000000004</v>
      </c>
      <c r="AE73" s="13">
        <v>-71.397000000000006</v>
      </c>
    </row>
    <row r="74" spans="3:31" x14ac:dyDescent="0.25">
      <c r="C74" s="2" t="s">
        <v>70</v>
      </c>
      <c r="D74" s="13">
        <v>-29.3</v>
      </c>
      <c r="E74" s="13"/>
      <c r="F74" s="13"/>
      <c r="G74" s="13"/>
      <c r="H74" s="13">
        <v>-12.3</v>
      </c>
      <c r="I74" s="13"/>
      <c r="J74" s="13"/>
      <c r="K74" s="13"/>
      <c r="L74" s="13">
        <v>-63.1</v>
      </c>
      <c r="M74" s="13">
        <v>-68.099999999999994</v>
      </c>
      <c r="N74" s="13"/>
      <c r="O74" s="13"/>
      <c r="P74" s="13">
        <v>-70.099999999999994</v>
      </c>
      <c r="Q74" s="14">
        <v>-59</v>
      </c>
      <c r="T74" s="1"/>
      <c r="U74" s="1"/>
      <c r="V74" s="1"/>
      <c r="W74" s="1"/>
      <c r="X74" s="1"/>
      <c r="Y74" s="1"/>
      <c r="Z74" s="13">
        <v>-127.652</v>
      </c>
      <c r="AA74" s="13">
        <v>-78.953999999999994</v>
      </c>
      <c r="AB74" s="13">
        <v>-103.371</v>
      </c>
      <c r="AC74" s="13">
        <v>-99.775000000000006</v>
      </c>
      <c r="AD74" s="13">
        <v>-2</v>
      </c>
      <c r="AE74" s="13">
        <v>-5</v>
      </c>
    </row>
    <row r="75" spans="3:31" x14ac:dyDescent="0.25">
      <c r="C75" s="2" t="s">
        <v>71</v>
      </c>
      <c r="D75" s="13">
        <f>-71-146.2-15.4+110.3+32.4</f>
        <v>-89.9</v>
      </c>
      <c r="E75" s="13"/>
      <c r="F75" s="13"/>
      <c r="G75" s="13"/>
      <c r="H75" s="13">
        <f>40.5-181.8+40.4+25.4+20.8</f>
        <v>-54.7</v>
      </c>
      <c r="I75" s="13"/>
      <c r="J75" s="13"/>
      <c r="K75" s="13"/>
      <c r="L75" s="13">
        <f>37.6-121.8-11.4+31.4-5.6</f>
        <v>-69.799999999999983</v>
      </c>
      <c r="M75" s="13">
        <f>-44.7+27.1-15.6+58.6+9.7</f>
        <v>35.099999999999994</v>
      </c>
      <c r="N75" s="13"/>
      <c r="O75" s="13"/>
      <c r="P75" s="13">
        <f>-45.3-187.2-2.5+119.7+26.5</f>
        <v>-88.8</v>
      </c>
      <c r="Q75" s="14">
        <f>0.2-47.4-15.4+20.8+6</f>
        <v>-35.799999999999997</v>
      </c>
      <c r="T75" s="1"/>
      <c r="U75" s="1"/>
      <c r="V75" s="1"/>
      <c r="W75" s="1"/>
      <c r="X75" s="1"/>
      <c r="Y75" s="1"/>
      <c r="Z75" s="13">
        <f>11.583+37.923+1.9-18.243017</f>
        <v>33.162982999999997</v>
      </c>
      <c r="AA75" s="13">
        <f>29.974+71.991+9.652-3.954-4.4</f>
        <v>103.26300000000001</v>
      </c>
      <c r="AB75" s="13">
        <f>-195.444-140.807-7+38.535+21.483</f>
        <v>-283.233</v>
      </c>
      <c r="AC75" s="13">
        <f>-201.426-83.287-64.984+54.612+11.865</f>
        <v>-283.21999999999991</v>
      </c>
      <c r="AD75" s="13">
        <f>-16.636-3.3+140.618</f>
        <v>120.68199999999999</v>
      </c>
      <c r="AE75" s="13">
        <f>-218.867-0.907-12.398</f>
        <v>-232.172</v>
      </c>
    </row>
    <row r="76" spans="3:31" x14ac:dyDescent="0.25">
      <c r="C76" s="1" t="s">
        <v>72</v>
      </c>
      <c r="D76" s="11">
        <f t="shared" ref="D76:P76" si="62">SUM(D68:D75)</f>
        <v>79.299999999999983</v>
      </c>
      <c r="E76" s="11">
        <f t="shared" si="62"/>
        <v>0</v>
      </c>
      <c r="F76" s="11">
        <f t="shared" si="62"/>
        <v>0</v>
      </c>
      <c r="G76" s="11">
        <f t="shared" si="62"/>
        <v>0</v>
      </c>
      <c r="H76" s="11">
        <f>SUM(H68:H75)</f>
        <v>145.19999999999999</v>
      </c>
      <c r="I76" s="11">
        <f t="shared" si="62"/>
        <v>0</v>
      </c>
      <c r="J76" s="11">
        <f t="shared" si="62"/>
        <v>0</v>
      </c>
      <c r="K76" s="11">
        <f t="shared" si="62"/>
        <v>0</v>
      </c>
      <c r="L76" s="11">
        <f t="shared" si="62"/>
        <v>144.60000000000002</v>
      </c>
      <c r="M76" s="11">
        <f t="shared" si="62"/>
        <v>204.89999999999998</v>
      </c>
      <c r="N76" s="11">
        <f t="shared" si="62"/>
        <v>0</v>
      </c>
      <c r="O76" s="11">
        <f t="shared" si="62"/>
        <v>0</v>
      </c>
      <c r="P76" s="11">
        <f t="shared" si="62"/>
        <v>27.899999999999991</v>
      </c>
      <c r="Q76" s="12">
        <f>SUM(Q68:Q75)</f>
        <v>83.500000000000014</v>
      </c>
      <c r="R76" s="1"/>
      <c r="S76" s="1"/>
      <c r="T76" s="1"/>
      <c r="U76" s="1"/>
      <c r="V76" s="1"/>
      <c r="W76" s="1"/>
      <c r="X76" s="1"/>
      <c r="Y76" s="1"/>
      <c r="Z76" s="11">
        <f t="shared" ref="Z76:AD76" si="63">SUM(Z68:Z75)</f>
        <v>437.03298299999994</v>
      </c>
      <c r="AA76" s="11">
        <f t="shared" si="63"/>
        <v>446.19000000000005</v>
      </c>
      <c r="AB76" s="11">
        <f t="shared" si="63"/>
        <v>187.36999999999995</v>
      </c>
      <c r="AC76" s="11">
        <f t="shared" si="63"/>
        <v>312.36800000000005</v>
      </c>
      <c r="AD76" s="11">
        <f t="shared" si="63"/>
        <v>228.29400000000001</v>
      </c>
      <c r="AE76" s="11">
        <f>SUM(AE68:AE75)</f>
        <v>71.930000000000035</v>
      </c>
    </row>
    <row r="77" spans="3:31" x14ac:dyDescent="0.25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"/>
      <c r="S77" s="1"/>
      <c r="T77" s="1"/>
      <c r="U77" s="1"/>
      <c r="V77" s="1"/>
      <c r="W77" s="1"/>
      <c r="X77" s="1"/>
      <c r="Y77" s="1"/>
      <c r="Z77" s="11"/>
      <c r="AA77" s="11"/>
      <c r="AB77" s="13"/>
      <c r="AC77" s="13"/>
      <c r="AD77" s="13"/>
      <c r="AE77" s="13"/>
    </row>
    <row r="78" spans="3:31" x14ac:dyDescent="0.25">
      <c r="C78" s="2" t="s">
        <v>73</v>
      </c>
      <c r="D78" s="13">
        <v>-38</v>
      </c>
      <c r="E78" s="13"/>
      <c r="F78" s="13"/>
      <c r="G78" s="13"/>
      <c r="H78" s="13">
        <f>-0.8-29.9</f>
        <v>-30.7</v>
      </c>
      <c r="I78" s="13"/>
      <c r="J78" s="13"/>
      <c r="K78" s="13"/>
      <c r="L78" s="13">
        <v>-12.9</v>
      </c>
      <c r="M78" s="13">
        <f>-0.4-47.8-2.2</f>
        <v>-50.4</v>
      </c>
      <c r="N78" s="13"/>
      <c r="O78" s="13"/>
      <c r="P78" s="13">
        <f>-0.3-38.2</f>
        <v>-38.5</v>
      </c>
      <c r="Q78" s="14">
        <f>-1.2-28.8</f>
        <v>-30</v>
      </c>
      <c r="R78" s="1"/>
      <c r="S78" s="1"/>
      <c r="T78" s="1"/>
      <c r="U78" s="1"/>
      <c r="V78" s="1"/>
      <c r="W78" s="1"/>
      <c r="X78" s="1"/>
      <c r="Y78" s="1"/>
      <c r="Z78" s="13">
        <f>-30.566-75.386</f>
        <v>-105.952</v>
      </c>
      <c r="AA78" s="13">
        <f>-0.744-45.541</f>
        <v>-46.284999999999997</v>
      </c>
      <c r="AB78" s="13">
        <f>-30.345-31.778</f>
        <v>-62.122999999999998</v>
      </c>
      <c r="AC78" s="13">
        <v>-118.10599999999999</v>
      </c>
      <c r="AD78" s="13">
        <v>-199</v>
      </c>
      <c r="AE78" s="13">
        <f>-0.822</f>
        <v>-0.82199999999999995</v>
      </c>
    </row>
    <row r="79" spans="3:31" x14ac:dyDescent="0.25">
      <c r="C79" s="2" t="s">
        <v>74</v>
      </c>
      <c r="D79" s="13">
        <v>0</v>
      </c>
      <c r="E79" s="13"/>
      <c r="F79" s="13"/>
      <c r="G79" s="13"/>
      <c r="H79" s="13">
        <v>0</v>
      </c>
      <c r="I79" s="13"/>
      <c r="J79" s="13"/>
      <c r="K79" s="13"/>
      <c r="L79" s="13">
        <v>0</v>
      </c>
      <c r="M79" s="13">
        <v>0</v>
      </c>
      <c r="N79" s="13"/>
      <c r="O79" s="13"/>
      <c r="P79" s="13">
        <v>0</v>
      </c>
      <c r="Q79" s="14">
        <v>0</v>
      </c>
      <c r="R79" s="1"/>
      <c r="S79" s="1"/>
      <c r="T79" s="1"/>
      <c r="U79" s="1"/>
      <c r="V79" s="1"/>
      <c r="W79" s="1"/>
      <c r="X79" s="1"/>
      <c r="Y79" s="1"/>
      <c r="Z79" s="11">
        <v>0</v>
      </c>
      <c r="AB79" s="13">
        <v>0</v>
      </c>
      <c r="AC79" s="13">
        <v>0</v>
      </c>
      <c r="AD79" s="13">
        <v>0</v>
      </c>
      <c r="AE79" s="13">
        <v>0</v>
      </c>
    </row>
    <row r="80" spans="3:31" x14ac:dyDescent="0.25">
      <c r="C80" s="2" t="s">
        <v>75</v>
      </c>
      <c r="D80" s="13">
        <v>-4.2</v>
      </c>
      <c r="E80" s="13"/>
      <c r="F80" s="13"/>
      <c r="G80" s="13"/>
      <c r="H80" s="13">
        <v>0</v>
      </c>
      <c r="I80" s="13"/>
      <c r="J80" s="13"/>
      <c r="K80" s="13"/>
      <c r="L80" s="13">
        <v>0</v>
      </c>
      <c r="M80" s="13">
        <v>0</v>
      </c>
      <c r="N80" s="13"/>
      <c r="O80" s="13"/>
      <c r="P80" s="13">
        <v>-219.7</v>
      </c>
      <c r="Q80" s="14">
        <v>-66.8</v>
      </c>
      <c r="R80" s="1"/>
      <c r="S80" s="1"/>
      <c r="T80" s="1"/>
      <c r="U80" s="1"/>
      <c r="V80" s="1"/>
      <c r="W80" s="1"/>
      <c r="X80" s="1"/>
      <c r="Y80" s="1"/>
      <c r="Z80" s="13">
        <v>0</v>
      </c>
      <c r="AA80" s="13">
        <v>-4.3559999999999999</v>
      </c>
      <c r="AB80" s="13">
        <v>-146.27099999999999</v>
      </c>
      <c r="AC80" s="13">
        <v>0</v>
      </c>
      <c r="AD80" s="13">
        <v>0</v>
      </c>
      <c r="AE80" s="13">
        <v>0</v>
      </c>
    </row>
    <row r="81" spans="3:31" x14ac:dyDescent="0.25">
      <c r="C81" s="1" t="s">
        <v>76</v>
      </c>
      <c r="D81" s="11">
        <f t="shared" ref="D81:P81" si="64">SUM(D78:D80)</f>
        <v>-42.2</v>
      </c>
      <c r="E81" s="11">
        <f t="shared" si="64"/>
        <v>0</v>
      </c>
      <c r="F81" s="11">
        <f t="shared" si="64"/>
        <v>0</v>
      </c>
      <c r="G81" s="11">
        <f t="shared" si="64"/>
        <v>0</v>
      </c>
      <c r="H81" s="11">
        <f t="shared" si="64"/>
        <v>-30.7</v>
      </c>
      <c r="I81" s="11">
        <f t="shared" si="64"/>
        <v>0</v>
      </c>
      <c r="J81" s="11">
        <f t="shared" si="64"/>
        <v>0</v>
      </c>
      <c r="K81" s="11">
        <f t="shared" si="64"/>
        <v>0</v>
      </c>
      <c r="L81" s="11">
        <f t="shared" si="64"/>
        <v>-12.9</v>
      </c>
      <c r="M81" s="11">
        <f t="shared" si="64"/>
        <v>-50.4</v>
      </c>
      <c r="N81" s="11">
        <f t="shared" si="64"/>
        <v>0</v>
      </c>
      <c r="O81" s="11">
        <f t="shared" si="64"/>
        <v>0</v>
      </c>
      <c r="P81" s="11">
        <f t="shared" si="64"/>
        <v>-258.2</v>
      </c>
      <c r="Q81" s="12">
        <f>SUM(Q78:Q80)</f>
        <v>-96.8</v>
      </c>
      <c r="R81" s="1"/>
      <c r="S81" s="1"/>
      <c r="T81" s="1"/>
      <c r="U81" s="1"/>
      <c r="V81" s="1"/>
      <c r="W81" s="1"/>
      <c r="X81" s="1"/>
      <c r="Y81" s="1"/>
      <c r="Z81" s="11">
        <f t="shared" ref="Z81:AD81" si="65">SUM(Z78:Z80)</f>
        <v>-105.952</v>
      </c>
      <c r="AA81" s="11">
        <f>SUM(AA78:AA80)</f>
        <v>-50.640999999999998</v>
      </c>
      <c r="AB81" s="11">
        <f t="shared" si="65"/>
        <v>-208.39399999999998</v>
      </c>
      <c r="AC81" s="11">
        <f t="shared" si="65"/>
        <v>-118.10599999999999</v>
      </c>
      <c r="AD81" s="11">
        <f t="shared" si="65"/>
        <v>-199</v>
      </c>
      <c r="AE81" s="11">
        <f>SUM(AE78:AE80)</f>
        <v>-0.82199999999999995</v>
      </c>
    </row>
    <row r="82" spans="3:31" x14ac:dyDescent="0.25"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  <c r="Z82" s="13"/>
      <c r="AA82" s="13"/>
      <c r="AB82" s="13"/>
      <c r="AC82" s="13"/>
      <c r="AD82" s="13"/>
      <c r="AE82" s="13"/>
    </row>
    <row r="83" spans="3:31" x14ac:dyDescent="0.25">
      <c r="C83" s="2" t="s">
        <v>77</v>
      </c>
      <c r="D83" s="13">
        <v>4.2</v>
      </c>
      <c r="E83" s="13"/>
      <c r="F83" s="13"/>
      <c r="G83" s="13"/>
      <c r="H83" s="13">
        <v>-136.19999999999999</v>
      </c>
      <c r="I83" s="13"/>
      <c r="J83" s="13"/>
      <c r="K83" s="13"/>
      <c r="L83" s="13">
        <v>8.4</v>
      </c>
      <c r="M83" s="13">
        <v>-90.8</v>
      </c>
      <c r="N83" s="13"/>
      <c r="O83" s="13"/>
      <c r="P83" s="13">
        <v>250</v>
      </c>
      <c r="Q83" s="14">
        <v>195.7</v>
      </c>
      <c r="Z83" s="13">
        <f>-40-55.812</f>
        <v>-95.811999999999998</v>
      </c>
      <c r="AA83" s="13">
        <v>80.099999999999994</v>
      </c>
      <c r="AB83" s="13">
        <f>-227.131+136.283</f>
        <v>-90.848000000000013</v>
      </c>
      <c r="AC83" s="13">
        <f>-212.525+1.34</f>
        <v>-211.185</v>
      </c>
      <c r="AD83" s="13">
        <v>183.53299999999999</v>
      </c>
      <c r="AE83" s="13">
        <v>99.712999999999994</v>
      </c>
    </row>
    <row r="84" spans="3:31" x14ac:dyDescent="0.25">
      <c r="C84" s="2" t="s">
        <v>78</v>
      </c>
      <c r="D84" s="13">
        <v>-5.7</v>
      </c>
      <c r="E84" s="13"/>
      <c r="F84" s="13"/>
      <c r="G84" s="13"/>
      <c r="H84" s="13">
        <v>-12.3</v>
      </c>
      <c r="I84" s="13"/>
      <c r="J84" s="13"/>
      <c r="K84" s="13"/>
      <c r="L84" s="13">
        <v>-8.5</v>
      </c>
      <c r="M84" s="13">
        <v>5.4</v>
      </c>
      <c r="N84" s="13"/>
      <c r="O84" s="13"/>
      <c r="P84" s="13">
        <v>-15.5</v>
      </c>
      <c r="Q84" s="14">
        <v>-15.5</v>
      </c>
      <c r="Z84" s="13">
        <v>-28.210999999999999</v>
      </c>
      <c r="AA84" s="13">
        <v>-25.995999999999999</v>
      </c>
      <c r="AB84" s="13">
        <v>-23.469000000000001</v>
      </c>
      <c r="AC84" s="13">
        <v>-41.749000000000002</v>
      </c>
      <c r="AD84" s="13">
        <v>0</v>
      </c>
      <c r="AE84" s="13">
        <v>0</v>
      </c>
    </row>
    <row r="85" spans="3:31" x14ac:dyDescent="0.25">
      <c r="C85" s="2" t="s">
        <v>79</v>
      </c>
      <c r="D85" s="13">
        <v>0</v>
      </c>
      <c r="E85" s="13"/>
      <c r="F85" s="13"/>
      <c r="G85" s="13"/>
      <c r="H85" s="13">
        <v>0</v>
      </c>
      <c r="I85" s="13"/>
      <c r="J85" s="13"/>
      <c r="K85" s="13"/>
      <c r="L85" s="13">
        <v>0</v>
      </c>
      <c r="M85" s="13">
        <v>-175</v>
      </c>
      <c r="N85" s="13"/>
      <c r="O85" s="13"/>
      <c r="P85" s="13">
        <v>0</v>
      </c>
      <c r="Q85" s="14">
        <v>-181.3</v>
      </c>
      <c r="Z85" s="13">
        <v>-112.518</v>
      </c>
      <c r="AA85" s="2">
        <v>0</v>
      </c>
      <c r="AB85" s="13">
        <v>-112.518</v>
      </c>
      <c r="AC85" s="13">
        <v>-125.02</v>
      </c>
      <c r="AD85" s="13">
        <v>-137.52199999999999</v>
      </c>
      <c r="AE85" s="13">
        <v>-175.02799999999999</v>
      </c>
    </row>
    <row r="86" spans="3:31" x14ac:dyDescent="0.25">
      <c r="C86" s="1" t="s">
        <v>80</v>
      </c>
      <c r="D86" s="11">
        <f t="shared" ref="D86:P86" si="66">SUM(D83:D85)</f>
        <v>-1.5</v>
      </c>
      <c r="E86" s="11">
        <f t="shared" si="66"/>
        <v>0</v>
      </c>
      <c r="F86" s="11">
        <f t="shared" si="66"/>
        <v>0</v>
      </c>
      <c r="G86" s="11">
        <f t="shared" si="66"/>
        <v>0</v>
      </c>
      <c r="H86" s="11">
        <f t="shared" si="66"/>
        <v>-148.5</v>
      </c>
      <c r="I86" s="11">
        <f t="shared" si="66"/>
        <v>0</v>
      </c>
      <c r="J86" s="11">
        <f t="shared" si="66"/>
        <v>0</v>
      </c>
      <c r="K86" s="11">
        <f t="shared" si="66"/>
        <v>0</v>
      </c>
      <c r="L86" s="11">
        <f t="shared" si="66"/>
        <v>-9.9999999999999645E-2</v>
      </c>
      <c r="M86" s="11">
        <f t="shared" si="66"/>
        <v>-260.39999999999998</v>
      </c>
      <c r="N86" s="11">
        <f t="shared" si="66"/>
        <v>0</v>
      </c>
      <c r="O86" s="11">
        <f t="shared" si="66"/>
        <v>0</v>
      </c>
      <c r="P86" s="11">
        <f t="shared" si="66"/>
        <v>234.5</v>
      </c>
      <c r="Q86" s="12">
        <f>SUM(Q83:Q85)</f>
        <v>-1.1000000000000227</v>
      </c>
      <c r="Z86" s="11">
        <f t="shared" ref="Z86:AD86" si="67">SUM(Z83:Z85)</f>
        <v>-236.541</v>
      </c>
      <c r="AA86" s="11">
        <f>SUM(AA83:AA85)</f>
        <v>54.103999999999999</v>
      </c>
      <c r="AB86" s="11">
        <f t="shared" si="67"/>
        <v>-226.83500000000001</v>
      </c>
      <c r="AC86" s="11">
        <f t="shared" si="67"/>
        <v>-377.95400000000001</v>
      </c>
      <c r="AD86" s="11">
        <f t="shared" si="67"/>
        <v>46.010999999999996</v>
      </c>
      <c r="AE86" s="11">
        <f>SUM(AE83:AE85)</f>
        <v>-75.314999999999998</v>
      </c>
    </row>
    <row r="87" spans="3:31" x14ac:dyDescent="0.25"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  <c r="Z87" s="13"/>
      <c r="AA87" s="13"/>
      <c r="AB87" s="13"/>
      <c r="AC87" s="13"/>
      <c r="AD87" s="13"/>
      <c r="AE87" s="13"/>
    </row>
    <row r="88" spans="3:31" x14ac:dyDescent="0.25">
      <c r="C88" s="2" t="s">
        <v>81</v>
      </c>
      <c r="D88" s="13">
        <v>5.9</v>
      </c>
      <c r="E88" s="13"/>
      <c r="F88" s="13"/>
      <c r="G88" s="13"/>
      <c r="H88" s="13">
        <v>0</v>
      </c>
      <c r="I88" s="13"/>
      <c r="J88" s="13"/>
      <c r="K88" s="13"/>
      <c r="L88" s="13">
        <v>13.6</v>
      </c>
      <c r="M88" s="13">
        <v>-4.9000000000000004</v>
      </c>
      <c r="N88" s="13"/>
      <c r="O88" s="13"/>
      <c r="P88" s="13">
        <v>-28.6</v>
      </c>
      <c r="Q88" s="14">
        <v>-4.8</v>
      </c>
      <c r="Z88" s="13">
        <v>4.7</v>
      </c>
      <c r="AA88" s="13">
        <v>-22.58</v>
      </c>
      <c r="AB88" s="13">
        <v>16</v>
      </c>
      <c r="AC88" s="13">
        <v>15</v>
      </c>
      <c r="AD88" s="13">
        <v>0</v>
      </c>
      <c r="AE88" s="13">
        <v>0</v>
      </c>
    </row>
    <row r="89" spans="3:31" x14ac:dyDescent="0.25"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  <c r="Z89" s="13"/>
      <c r="AA89" s="13"/>
      <c r="AB89" s="13"/>
      <c r="AC89" s="13"/>
      <c r="AD89" s="13"/>
      <c r="AE89" s="13"/>
    </row>
    <row r="90" spans="3:31" x14ac:dyDescent="0.25">
      <c r="C90" s="2" t="s">
        <v>82</v>
      </c>
      <c r="D90" s="13">
        <f t="shared" ref="D90:P90" si="68">D76+D81+D86+D88</f>
        <v>41.499999999999979</v>
      </c>
      <c r="E90" s="13">
        <f t="shared" si="68"/>
        <v>0</v>
      </c>
      <c r="F90" s="13">
        <f t="shared" si="68"/>
        <v>0</v>
      </c>
      <c r="G90" s="13">
        <f t="shared" si="68"/>
        <v>0</v>
      </c>
      <c r="H90" s="13">
        <f t="shared" si="68"/>
        <v>-34.000000000000014</v>
      </c>
      <c r="I90" s="13">
        <f t="shared" si="68"/>
        <v>0</v>
      </c>
      <c r="J90" s="13">
        <f t="shared" si="68"/>
        <v>0</v>
      </c>
      <c r="K90" s="13">
        <f t="shared" si="68"/>
        <v>0</v>
      </c>
      <c r="L90" s="13">
        <f t="shared" si="68"/>
        <v>145.20000000000002</v>
      </c>
      <c r="M90" s="13">
        <f t="shared" si="68"/>
        <v>-110.80000000000001</v>
      </c>
      <c r="N90" s="13">
        <f t="shared" si="68"/>
        <v>0</v>
      </c>
      <c r="O90" s="13">
        <f t="shared" si="68"/>
        <v>0</v>
      </c>
      <c r="P90" s="13">
        <f t="shared" si="68"/>
        <v>-24.400000000000013</v>
      </c>
      <c r="Q90" s="14">
        <f>Q76+Q81+Q86+Q88</f>
        <v>-19.200000000000006</v>
      </c>
      <c r="Z90" s="13">
        <f t="shared" ref="Z90:AD90" si="69">Z76+Z81+Z86+Z88</f>
        <v>99.239982999999953</v>
      </c>
      <c r="AA90" s="13">
        <f t="shared" si="69"/>
        <v>427.07300000000004</v>
      </c>
      <c r="AB90" s="13">
        <f t="shared" si="69"/>
        <v>-231.85900000000004</v>
      </c>
      <c r="AC90" s="13">
        <f t="shared" si="69"/>
        <v>-168.69199999999995</v>
      </c>
      <c r="AD90" s="13">
        <f t="shared" si="69"/>
        <v>75.305000000000007</v>
      </c>
      <c r="AE90" s="13">
        <f>AE76+AE81+AE86+AE88</f>
        <v>-4.2069999999999652</v>
      </c>
    </row>
    <row r="91" spans="3:31" x14ac:dyDescent="0.25"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  <c r="Z91" s="13"/>
      <c r="AA91" s="13"/>
      <c r="AB91" s="13"/>
      <c r="AC91" s="13"/>
      <c r="AD91" s="13"/>
      <c r="AE91" s="13"/>
    </row>
    <row r="92" spans="3:31" x14ac:dyDescent="0.25">
      <c r="C92" s="2" t="s">
        <v>83</v>
      </c>
      <c r="D92" s="13">
        <f t="shared" ref="D92:P92" si="70">D76+D78</f>
        <v>41.299999999999983</v>
      </c>
      <c r="E92" s="13">
        <f t="shared" si="70"/>
        <v>0</v>
      </c>
      <c r="F92" s="13">
        <f t="shared" si="70"/>
        <v>0</v>
      </c>
      <c r="G92" s="13">
        <f t="shared" si="70"/>
        <v>0</v>
      </c>
      <c r="H92" s="13">
        <f t="shared" si="70"/>
        <v>114.49999999999999</v>
      </c>
      <c r="I92" s="13">
        <f t="shared" si="70"/>
        <v>0</v>
      </c>
      <c r="J92" s="13">
        <f t="shared" si="70"/>
        <v>0</v>
      </c>
      <c r="K92" s="13">
        <f t="shared" si="70"/>
        <v>0</v>
      </c>
      <c r="L92" s="13">
        <f t="shared" si="70"/>
        <v>131.70000000000002</v>
      </c>
      <c r="M92" s="13">
        <f t="shared" si="70"/>
        <v>154.49999999999997</v>
      </c>
      <c r="N92" s="13">
        <f t="shared" si="70"/>
        <v>0</v>
      </c>
      <c r="O92" s="13">
        <f t="shared" si="70"/>
        <v>0</v>
      </c>
      <c r="P92" s="13">
        <f t="shared" si="70"/>
        <v>-10.600000000000009</v>
      </c>
      <c r="Q92" s="14">
        <f>Q76+Q78</f>
        <v>53.500000000000014</v>
      </c>
      <c r="Z92" s="13">
        <f t="shared" ref="Z92:AD92" si="71">Z76+Z78</f>
        <v>331.08098299999995</v>
      </c>
      <c r="AA92" s="13">
        <f t="shared" si="71"/>
        <v>399.90500000000009</v>
      </c>
      <c r="AB92" s="13">
        <f t="shared" si="71"/>
        <v>125.24699999999996</v>
      </c>
      <c r="AC92" s="13">
        <f t="shared" si="71"/>
        <v>194.26200000000006</v>
      </c>
      <c r="AD92" s="13">
        <f t="shared" si="71"/>
        <v>29.294000000000011</v>
      </c>
      <c r="AE92" s="13">
        <f>AE76+AE78</f>
        <v>71.108000000000033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3:V31"/>
  <sheetViews>
    <sheetView showGridLines="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L13" sqref="L13"/>
    </sheetView>
  </sheetViews>
  <sheetFormatPr baseColWidth="10" defaultRowHeight="19" x14ac:dyDescent="0.25"/>
  <cols>
    <col min="1" max="1" width="10.83203125" style="2"/>
    <col min="2" max="2" width="25.6640625" style="2" bestFit="1" customWidth="1"/>
    <col min="3" max="16384" width="10.83203125" style="2"/>
  </cols>
  <sheetData>
    <row r="3" spans="2:22" x14ac:dyDescent="0.25">
      <c r="B3" s="2" t="s">
        <v>38</v>
      </c>
      <c r="C3" s="7" t="s">
        <v>3</v>
      </c>
      <c r="D3" s="7" t="s">
        <v>4</v>
      </c>
      <c r="E3" s="7" t="s">
        <v>5</v>
      </c>
      <c r="F3" s="7" t="s">
        <v>6</v>
      </c>
      <c r="G3" s="36">
        <v>2022</v>
      </c>
      <c r="H3" s="7" t="s">
        <v>7</v>
      </c>
      <c r="I3" s="7" t="s">
        <v>8</v>
      </c>
      <c r="J3" s="7" t="s">
        <v>9</v>
      </c>
      <c r="K3" s="7" t="s">
        <v>10</v>
      </c>
      <c r="L3" s="36">
        <v>2023</v>
      </c>
      <c r="M3" s="7" t="s">
        <v>11</v>
      </c>
      <c r="N3" s="7" t="s">
        <v>12</v>
      </c>
      <c r="O3" s="7" t="s">
        <v>13</v>
      </c>
      <c r="P3" s="7" t="s">
        <v>14</v>
      </c>
      <c r="Q3" s="36">
        <v>2024</v>
      </c>
      <c r="R3" s="7" t="s">
        <v>37</v>
      </c>
      <c r="S3" s="7" t="s">
        <v>31</v>
      </c>
      <c r="T3" s="7" t="s">
        <v>35</v>
      </c>
      <c r="U3" s="7" t="s">
        <v>36</v>
      </c>
      <c r="V3" s="38">
        <v>2025</v>
      </c>
    </row>
    <row r="4" spans="2:22" x14ac:dyDescent="0.25">
      <c r="B4" s="1" t="s">
        <v>150</v>
      </c>
      <c r="G4" s="37"/>
      <c r="L4" s="37"/>
      <c r="Q4" s="37"/>
      <c r="V4" s="37"/>
    </row>
    <row r="5" spans="2:22" x14ac:dyDescent="0.25">
      <c r="B5" s="2" t="s">
        <v>145</v>
      </c>
      <c r="C5" s="2">
        <v>434.8</v>
      </c>
      <c r="D5" s="2">
        <v>388.3</v>
      </c>
      <c r="E5" s="2">
        <v>362.4</v>
      </c>
      <c r="F5" s="2">
        <v>443.2</v>
      </c>
      <c r="G5" s="38">
        <f>SUM(C5:F5)</f>
        <v>1628.7</v>
      </c>
      <c r="H5" s="2">
        <v>495.7</v>
      </c>
      <c r="I5" s="2">
        <v>437.9</v>
      </c>
      <c r="J5" s="2">
        <v>381.7</v>
      </c>
      <c r="K5" s="2">
        <v>412.3</v>
      </c>
      <c r="L5" s="38">
        <f>SUM(H5:K5)</f>
        <v>1727.6</v>
      </c>
      <c r="M5" s="2">
        <v>439</v>
      </c>
      <c r="N5" s="2">
        <v>390.5</v>
      </c>
      <c r="O5" s="2">
        <v>340.7</v>
      </c>
      <c r="P5" s="2">
        <v>367</v>
      </c>
      <c r="Q5" s="38">
        <f>SUM(M5:P5)</f>
        <v>1537.2</v>
      </c>
      <c r="R5" s="2">
        <v>433.2</v>
      </c>
      <c r="S5" s="2">
        <v>399.8</v>
      </c>
      <c r="V5" s="38">
        <f>SUM(R5:U5)</f>
        <v>833</v>
      </c>
    </row>
    <row r="6" spans="2:22" x14ac:dyDescent="0.25">
      <c r="B6" s="29" t="s">
        <v>144</v>
      </c>
      <c r="C6" s="29"/>
      <c r="D6" s="29"/>
      <c r="E6" s="29"/>
      <c r="F6" s="29"/>
      <c r="G6" s="39"/>
      <c r="H6" s="30">
        <f t="shared" ref="H6:V6" si="0">(H5-C5)/C5</f>
        <v>0.14006439742410298</v>
      </c>
      <c r="I6" s="30">
        <f t="shared" si="0"/>
        <v>0.12773628637651291</v>
      </c>
      <c r="J6" s="30">
        <f t="shared" si="0"/>
        <v>5.3256070640176636E-2</v>
      </c>
      <c r="K6" s="30">
        <f t="shared" si="0"/>
        <v>-6.9720216606498145E-2</v>
      </c>
      <c r="L6" s="43">
        <f t="shared" si="0"/>
        <v>6.0723276232578047E-2</v>
      </c>
      <c r="M6" s="30">
        <f t="shared" si="0"/>
        <v>-0.11438369981843854</v>
      </c>
      <c r="N6" s="30">
        <f t="shared" si="0"/>
        <v>-0.10824389129938337</v>
      </c>
      <c r="O6" s="30">
        <f t="shared" si="0"/>
        <v>-0.10741419963321981</v>
      </c>
      <c r="P6" s="30">
        <f t="shared" si="0"/>
        <v>-0.10987145282561245</v>
      </c>
      <c r="Q6" s="43">
        <f t="shared" si="0"/>
        <v>-0.1102106969205834</v>
      </c>
      <c r="R6" s="30">
        <f t="shared" si="0"/>
        <v>-1.3211845102505721E-2</v>
      </c>
      <c r="S6" s="30">
        <f t="shared" si="0"/>
        <v>2.381562099871962E-2</v>
      </c>
      <c r="T6" s="30">
        <f t="shared" si="0"/>
        <v>-1</v>
      </c>
      <c r="U6" s="30">
        <f t="shared" si="0"/>
        <v>-1</v>
      </c>
      <c r="V6" s="43">
        <f t="shared" si="0"/>
        <v>-0.45810564663023678</v>
      </c>
    </row>
    <row r="7" spans="2:22" x14ac:dyDescent="0.25">
      <c r="B7" s="2" t="s">
        <v>146</v>
      </c>
      <c r="C7" s="2">
        <v>101.5</v>
      </c>
      <c r="D7" s="2">
        <v>79.400000000000006</v>
      </c>
      <c r="E7" s="2">
        <v>61.5</v>
      </c>
      <c r="F7" s="2">
        <v>98.9</v>
      </c>
      <c r="G7" s="38">
        <f>SUM(C7:F7)</f>
        <v>341.3</v>
      </c>
      <c r="H7" s="2">
        <v>123</v>
      </c>
      <c r="I7" s="2">
        <v>97.6</v>
      </c>
      <c r="J7" s="2">
        <v>89.9</v>
      </c>
      <c r="K7" s="2">
        <v>82.7</v>
      </c>
      <c r="L7" s="38">
        <f>SUM(H7:K7)</f>
        <v>393.2</v>
      </c>
      <c r="M7" s="2">
        <v>108.8</v>
      </c>
      <c r="N7" s="2">
        <v>68.5</v>
      </c>
      <c r="O7" s="2">
        <v>60.5</v>
      </c>
      <c r="P7" s="2">
        <v>91</v>
      </c>
      <c r="Q7" s="38">
        <f>SUM(M7:P7)</f>
        <v>328.8</v>
      </c>
      <c r="R7" s="2">
        <v>104.1</v>
      </c>
      <c r="S7" s="2">
        <v>77.900000000000006</v>
      </c>
      <c r="V7" s="38">
        <f>SUM(R7:U7)</f>
        <v>182</v>
      </c>
    </row>
    <row r="8" spans="2:22" x14ac:dyDescent="0.25">
      <c r="B8" s="2" t="s">
        <v>147</v>
      </c>
      <c r="C8" s="2">
        <v>93.4</v>
      </c>
      <c r="D8" s="2">
        <v>69.099999999999994</v>
      </c>
      <c r="E8" s="2">
        <v>52.6</v>
      </c>
      <c r="F8" s="2">
        <v>92.5</v>
      </c>
      <c r="G8" s="38">
        <f>SUM(C8:F8)</f>
        <v>307.60000000000002</v>
      </c>
      <c r="H8" s="2">
        <v>114.7</v>
      </c>
      <c r="I8" s="2">
        <v>88.6</v>
      </c>
      <c r="J8" s="2">
        <v>81.2</v>
      </c>
      <c r="K8" s="2">
        <v>85.9</v>
      </c>
      <c r="L8" s="38">
        <f>SUM(H8:K8)</f>
        <v>370.4</v>
      </c>
      <c r="M8" s="2">
        <v>100.6</v>
      </c>
      <c r="N8" s="2">
        <v>61.1</v>
      </c>
      <c r="O8" s="2">
        <v>52.4</v>
      </c>
      <c r="P8" s="2">
        <v>82.6</v>
      </c>
      <c r="Q8" s="38">
        <f>SUM(M8:P8)</f>
        <v>296.7</v>
      </c>
      <c r="R8" s="2">
        <v>93.6</v>
      </c>
      <c r="S8" s="2">
        <v>67.400000000000006</v>
      </c>
      <c r="V8" s="38">
        <f>SUM(R8:U8)</f>
        <v>161</v>
      </c>
    </row>
    <row r="9" spans="2:22" x14ac:dyDescent="0.25">
      <c r="B9" s="10" t="s">
        <v>148</v>
      </c>
      <c r="C9" s="34">
        <v>0.215</v>
      </c>
      <c r="D9" s="34">
        <v>0.17799999999999999</v>
      </c>
      <c r="E9" s="34">
        <v>0.14499999999999999</v>
      </c>
      <c r="F9" s="34">
        <v>0.20899999999999999</v>
      </c>
      <c r="G9" s="40">
        <f>G8/G5</f>
        <v>0.18886228280223491</v>
      </c>
      <c r="H9" s="34">
        <v>0.23100000000000001</v>
      </c>
      <c r="I9" s="34">
        <v>0.20200000000000001</v>
      </c>
      <c r="J9" s="34">
        <v>0.21299999999999999</v>
      </c>
      <c r="K9" s="34">
        <v>0.20799999999999999</v>
      </c>
      <c r="L9" s="40">
        <f>L8/L5</f>
        <v>0.21440148182449642</v>
      </c>
      <c r="M9" s="34">
        <v>0.22900000000000001</v>
      </c>
      <c r="N9" s="34">
        <v>0.156</v>
      </c>
      <c r="O9" s="34">
        <v>0.154</v>
      </c>
      <c r="P9" s="34">
        <v>0.22500000000000001</v>
      </c>
      <c r="Q9" s="40">
        <f>Q8/Q5</f>
        <v>0.19301327088212333</v>
      </c>
      <c r="R9" s="34">
        <v>0.216</v>
      </c>
      <c r="S9" s="34">
        <v>0.16900000000000001</v>
      </c>
      <c r="T9" s="34"/>
      <c r="U9" s="34"/>
      <c r="V9" s="40">
        <f>V8/V5</f>
        <v>0.19327731092436976</v>
      </c>
    </row>
    <row r="10" spans="2:22" x14ac:dyDescent="0.25">
      <c r="B10" s="2" t="s">
        <v>149</v>
      </c>
      <c r="C10" s="2">
        <v>92.2</v>
      </c>
      <c r="D10" s="2">
        <v>67.900000000000006</v>
      </c>
      <c r="E10" s="2">
        <v>51.4</v>
      </c>
      <c r="F10" s="2">
        <v>91.1</v>
      </c>
      <c r="G10" s="38">
        <f>SUM(C10:F10)</f>
        <v>302.60000000000002</v>
      </c>
      <c r="H10" s="2">
        <v>113.3</v>
      </c>
      <c r="I10" s="2">
        <v>87.3</v>
      </c>
      <c r="J10" s="2">
        <v>79.3</v>
      </c>
      <c r="K10" s="2">
        <v>84.2</v>
      </c>
      <c r="L10" s="38">
        <f>SUM(H10:K10)</f>
        <v>364.09999999999997</v>
      </c>
      <c r="M10" s="2">
        <v>99</v>
      </c>
      <c r="N10" s="2">
        <v>59.4</v>
      </c>
      <c r="O10" s="2">
        <v>50.8</v>
      </c>
      <c r="P10" s="2">
        <v>80.900000000000006</v>
      </c>
      <c r="Q10" s="38">
        <f>SUM(M10:P10)</f>
        <v>290.10000000000002</v>
      </c>
      <c r="R10" s="2">
        <v>91.9</v>
      </c>
      <c r="S10" s="2">
        <v>65.8</v>
      </c>
      <c r="V10" s="38">
        <f>SUM(R10:U10)</f>
        <v>157.69999999999999</v>
      </c>
    </row>
    <row r="11" spans="2:22" x14ac:dyDescent="0.25">
      <c r="B11" s="32" t="s">
        <v>44</v>
      </c>
      <c r="C11" s="33">
        <v>0.21199999999999999</v>
      </c>
      <c r="D11" s="33">
        <v>0.17499999999999999</v>
      </c>
      <c r="E11" s="33">
        <v>0.14199999999999999</v>
      </c>
      <c r="F11" s="33">
        <v>0.20599999999999999</v>
      </c>
      <c r="G11" s="41">
        <f>G10/G5</f>
        <v>0.18579234972677597</v>
      </c>
      <c r="H11" s="33">
        <v>0.22900000000000001</v>
      </c>
      <c r="I11" s="33">
        <v>0.19900000000000001</v>
      </c>
      <c r="J11" s="33">
        <v>0.20799999999999999</v>
      </c>
      <c r="K11" s="33">
        <v>0.20399999999999999</v>
      </c>
      <c r="L11" s="41">
        <f>L10/L5</f>
        <v>0.21075480435285945</v>
      </c>
      <c r="M11" s="33">
        <v>0.22500000000000001</v>
      </c>
      <c r="N11" s="33">
        <v>0.152</v>
      </c>
      <c r="O11" s="33">
        <v>0.14899999999999999</v>
      </c>
      <c r="P11" s="33">
        <v>0.221</v>
      </c>
      <c r="Q11" s="41">
        <f>Q10/Q5</f>
        <v>0.18871975019516005</v>
      </c>
      <c r="R11" s="33">
        <v>0.21199999999999999</v>
      </c>
      <c r="S11" s="33">
        <v>0.16500000000000001</v>
      </c>
      <c r="T11" s="33"/>
      <c r="U11" s="33"/>
      <c r="V11" s="41">
        <f>V10/V5</f>
        <v>0.18931572629051618</v>
      </c>
    </row>
    <row r="12" spans="2:22" x14ac:dyDescent="0.25">
      <c r="B12" s="2" t="s">
        <v>133</v>
      </c>
      <c r="C12" s="2">
        <v>76.2</v>
      </c>
      <c r="D12" s="2">
        <v>72.900000000000006</v>
      </c>
      <c r="E12" s="2">
        <v>52.2</v>
      </c>
      <c r="F12" s="2">
        <v>69.7</v>
      </c>
      <c r="G12" s="38">
        <f>SUM(C12:F12)</f>
        <v>271</v>
      </c>
      <c r="H12" s="2">
        <v>84.1</v>
      </c>
      <c r="I12" s="2">
        <v>74.8</v>
      </c>
      <c r="J12" s="2">
        <v>46.5</v>
      </c>
      <c r="K12" s="2">
        <v>68.400000000000006</v>
      </c>
      <c r="L12" s="38">
        <f>SUM(H12:K12)</f>
        <v>273.79999999999995</v>
      </c>
      <c r="M12" s="2">
        <v>81.3</v>
      </c>
      <c r="N12" s="2">
        <v>66.7</v>
      </c>
      <c r="O12" s="2">
        <v>50.7</v>
      </c>
      <c r="P12" s="2">
        <v>59.6</v>
      </c>
      <c r="Q12" s="38">
        <f>SUM(M12:P12)</f>
        <v>258.3</v>
      </c>
      <c r="R12" s="2">
        <v>76.400000000000006</v>
      </c>
      <c r="S12" s="2">
        <v>66.7</v>
      </c>
      <c r="V12" s="38">
        <f>SUM(R12:U12)</f>
        <v>143.10000000000002</v>
      </c>
    </row>
    <row r="13" spans="2:22" x14ac:dyDescent="0.25">
      <c r="B13" s="29" t="s">
        <v>144</v>
      </c>
      <c r="G13" s="38"/>
      <c r="H13" s="30">
        <f t="shared" ref="H13:V13" si="1">(H12-C12)/C12</f>
        <v>0.10367454068241458</v>
      </c>
      <c r="I13" s="30">
        <f t="shared" si="1"/>
        <v>2.6063100137174094E-2</v>
      </c>
      <c r="J13" s="30">
        <f t="shared" si="1"/>
        <v>-0.10919540229885062</v>
      </c>
      <c r="K13" s="30">
        <f t="shared" si="1"/>
        <v>-1.8651362984218035E-2</v>
      </c>
      <c r="L13" s="43">
        <f t="shared" si="1"/>
        <v>1.0332103321033043E-2</v>
      </c>
      <c r="M13" s="30">
        <f t="shared" si="1"/>
        <v>-3.3293697978596874E-2</v>
      </c>
      <c r="N13" s="30">
        <f t="shared" si="1"/>
        <v>-0.10828877005347587</v>
      </c>
      <c r="O13" s="30">
        <f t="shared" si="1"/>
        <v>9.0322580645161354E-2</v>
      </c>
      <c r="P13" s="30">
        <f t="shared" si="1"/>
        <v>-0.12865497076023397</v>
      </c>
      <c r="Q13" s="43">
        <f t="shared" si="1"/>
        <v>-5.661066471877263E-2</v>
      </c>
      <c r="R13" s="30">
        <f t="shared" si="1"/>
        <v>-6.0270602706026959E-2</v>
      </c>
      <c r="S13" s="30">
        <f t="shared" si="1"/>
        <v>0</v>
      </c>
      <c r="T13" s="30">
        <f t="shared" si="1"/>
        <v>-1</v>
      </c>
      <c r="U13" s="30">
        <f t="shared" si="1"/>
        <v>-1</v>
      </c>
      <c r="V13" s="43">
        <f t="shared" si="1"/>
        <v>-0.44599303135888496</v>
      </c>
    </row>
    <row r="14" spans="2:22" x14ac:dyDescent="0.25">
      <c r="B14" s="2" t="s">
        <v>134</v>
      </c>
      <c r="C14" s="2">
        <v>52.1</v>
      </c>
      <c r="D14" s="2">
        <v>48.7</v>
      </c>
      <c r="E14" s="2">
        <v>45.1</v>
      </c>
      <c r="F14" s="2">
        <v>48.5</v>
      </c>
      <c r="G14" s="38">
        <f>SUM(C14:F14)</f>
        <v>194.4</v>
      </c>
      <c r="H14" s="2">
        <v>60.5</v>
      </c>
      <c r="I14" s="2">
        <v>55.4</v>
      </c>
      <c r="J14" s="2">
        <v>45.6</v>
      </c>
      <c r="K14" s="2">
        <v>54</v>
      </c>
      <c r="L14" s="38">
        <f>SUM(H14:K14)</f>
        <v>215.5</v>
      </c>
      <c r="M14" s="2">
        <v>61</v>
      </c>
      <c r="N14" s="2">
        <v>53.7</v>
      </c>
      <c r="O14" s="2">
        <v>45.5</v>
      </c>
      <c r="P14" s="2">
        <v>51.2</v>
      </c>
      <c r="Q14" s="38">
        <f>SUM(M14:P14)</f>
        <v>211.39999999999998</v>
      </c>
      <c r="R14" s="2">
        <v>63.6</v>
      </c>
      <c r="S14" s="2">
        <v>46.3</v>
      </c>
      <c r="V14" s="38">
        <f>SUM(R14:U14)</f>
        <v>109.9</v>
      </c>
    </row>
    <row r="15" spans="2:22" x14ac:dyDescent="0.25">
      <c r="B15" s="29" t="s">
        <v>144</v>
      </c>
      <c r="G15" s="38"/>
      <c r="H15" s="30">
        <f t="shared" ref="H15" si="2">(H14-C14)/C14</f>
        <v>0.16122840690978885</v>
      </c>
      <c r="I15" s="30">
        <f t="shared" ref="I15" si="3">(I14-D14)/D14</f>
        <v>0.13757700205338799</v>
      </c>
      <c r="J15" s="30">
        <f t="shared" ref="J15" si="4">(J14-E14)/E14</f>
        <v>1.1086474501108647E-2</v>
      </c>
      <c r="K15" s="30">
        <f t="shared" ref="K15" si="5">(K14-F14)/F14</f>
        <v>0.1134020618556701</v>
      </c>
      <c r="L15" s="43">
        <f>(L14-G14)/G14</f>
        <v>0.10853909465020573</v>
      </c>
      <c r="M15" s="30">
        <f t="shared" ref="M15" si="6">(M14-H14)/H14</f>
        <v>8.2644628099173556E-3</v>
      </c>
      <c r="N15" s="30">
        <f t="shared" ref="N15" si="7">(N14-I14)/I14</f>
        <v>-3.0685920577617251E-2</v>
      </c>
      <c r="O15" s="30">
        <f t="shared" ref="O15" si="8">(O14-J14)/J14</f>
        <v>-2.192982456140382E-3</v>
      </c>
      <c r="P15" s="30">
        <f t="shared" ref="P15" si="9">(P14-K14)/K14</f>
        <v>-5.1851851851851802E-2</v>
      </c>
      <c r="Q15" s="43">
        <f>(Q14-L14)/L14</f>
        <v>-1.9025522041763446E-2</v>
      </c>
      <c r="R15" s="30">
        <f t="shared" ref="R15" si="10">(R14-M14)/M14</f>
        <v>4.2622950819672156E-2</v>
      </c>
      <c r="S15" s="30">
        <f>(S14-N14)/N14</f>
        <v>-0.1378026070763502</v>
      </c>
      <c r="T15" s="30">
        <f t="shared" ref="T15" si="11">(T14-O14)/O14</f>
        <v>-1</v>
      </c>
      <c r="U15" s="30">
        <f t="shared" ref="U15" si="12">(U14-P14)/P14</f>
        <v>-1</v>
      </c>
      <c r="V15" s="43">
        <f>(V14-Q14)/Q14</f>
        <v>-0.48013245033112573</v>
      </c>
    </row>
    <row r="16" spans="2:22" x14ac:dyDescent="0.25">
      <c r="B16" s="2" t="s">
        <v>135</v>
      </c>
      <c r="C16" s="2">
        <v>102.5</v>
      </c>
      <c r="D16" s="2">
        <v>91.8</v>
      </c>
      <c r="E16" s="2">
        <v>84.2</v>
      </c>
      <c r="F16" s="2">
        <v>94.8</v>
      </c>
      <c r="G16" s="38">
        <f>SUM(C16:F16)</f>
        <v>373.3</v>
      </c>
      <c r="H16" s="2">
        <v>104.6</v>
      </c>
      <c r="I16" s="2">
        <v>74.7</v>
      </c>
      <c r="J16" s="2">
        <v>75.900000000000006</v>
      </c>
      <c r="K16" s="2">
        <v>64</v>
      </c>
      <c r="L16" s="38">
        <f>SUM(H16:K16)</f>
        <v>319.20000000000005</v>
      </c>
      <c r="M16" s="2">
        <v>83.3</v>
      </c>
      <c r="N16" s="2">
        <v>72.7</v>
      </c>
      <c r="O16" s="2">
        <v>60.1</v>
      </c>
      <c r="P16" s="2">
        <v>60.3</v>
      </c>
      <c r="Q16" s="38">
        <f>SUM(M16:P16)</f>
        <v>276.39999999999998</v>
      </c>
      <c r="R16" s="2">
        <v>66.5</v>
      </c>
      <c r="S16" s="2">
        <v>60.9</v>
      </c>
      <c r="V16" s="38">
        <f>SUM(R16:U16)</f>
        <v>127.4</v>
      </c>
    </row>
    <row r="17" spans="2:22" x14ac:dyDescent="0.25">
      <c r="B17" s="29" t="s">
        <v>144</v>
      </c>
      <c r="G17" s="38"/>
      <c r="H17" s="30">
        <f t="shared" ref="H17" si="13">(H16-C16)/C16</f>
        <v>2.0487804878048726E-2</v>
      </c>
      <c r="I17" s="30">
        <f t="shared" ref="I17" si="14">(I16-D16)/D16</f>
        <v>-0.18627450980392152</v>
      </c>
      <c r="J17" s="30">
        <f t="shared" ref="J17" si="15">(J16-E16)/E16</f>
        <v>-9.8574821852731559E-2</v>
      </c>
      <c r="K17" s="30">
        <f t="shared" ref="K17" si="16">(K16-F16)/F16</f>
        <v>-0.32489451476793246</v>
      </c>
      <c r="L17" s="43">
        <f>(L16-G16)/G16</f>
        <v>-0.14492365389766934</v>
      </c>
      <c r="M17" s="30">
        <f t="shared" ref="M17" si="17">(M16-H16)/H16</f>
        <v>-0.20363288718929254</v>
      </c>
      <c r="N17" s="30">
        <f t="shared" ref="N17" si="18">(N16-I16)/I16</f>
        <v>-2.677376171352075E-2</v>
      </c>
      <c r="O17" s="30">
        <f t="shared" ref="O17" si="19">(O16-J16)/J16</f>
        <v>-0.20816864295125168</v>
      </c>
      <c r="P17" s="30">
        <f t="shared" ref="P17" si="20">(P16-K16)/K16</f>
        <v>-5.7812500000000044E-2</v>
      </c>
      <c r="Q17" s="43">
        <f>(Q16-L16)/L16</f>
        <v>-0.13408521303258164</v>
      </c>
      <c r="R17" s="30">
        <f t="shared" ref="R17" si="21">(R16-M16)/M16</f>
        <v>-0.20168067226890754</v>
      </c>
      <c r="S17" s="30">
        <f>(S16-N16)/N16</f>
        <v>-0.16231086657496566</v>
      </c>
      <c r="T17" s="30">
        <f t="shared" ref="T17" si="22">(T16-O16)/O16</f>
        <v>-1</v>
      </c>
      <c r="U17" s="30">
        <f t="shared" ref="U17" si="23">(U16-P16)/P16</f>
        <v>-1</v>
      </c>
      <c r="V17" s="43">
        <f>(V16-Q16)/Q16</f>
        <v>-0.53907380607814759</v>
      </c>
    </row>
    <row r="18" spans="2:22" x14ac:dyDescent="0.25">
      <c r="B18" s="2" t="s">
        <v>136</v>
      </c>
      <c r="C18" s="2">
        <v>136.1</v>
      </c>
      <c r="D18" s="2">
        <v>111.6</v>
      </c>
      <c r="E18" s="2">
        <v>117.1</v>
      </c>
      <c r="F18" s="2">
        <v>130.6</v>
      </c>
      <c r="G18" s="38">
        <f>SUM(C18:F18)</f>
        <v>495.4</v>
      </c>
      <c r="H18" s="2">
        <v>169.5</v>
      </c>
      <c r="I18" s="2">
        <v>152.1</v>
      </c>
      <c r="J18" s="2">
        <v>135</v>
      </c>
      <c r="K18" s="2">
        <v>134.69999999999999</v>
      </c>
      <c r="L18" s="38">
        <f>SUM(H18:K18)</f>
        <v>591.29999999999995</v>
      </c>
      <c r="M18" s="2">
        <v>134.80000000000001</v>
      </c>
      <c r="N18" s="2">
        <v>112.8</v>
      </c>
      <c r="O18" s="2">
        <v>102.6</v>
      </c>
      <c r="P18" s="2">
        <v>96.2</v>
      </c>
      <c r="Q18" s="38">
        <f>SUM(M18:P18)</f>
        <v>446.40000000000003</v>
      </c>
      <c r="R18" s="2">
        <v>123.3</v>
      </c>
      <c r="S18" s="2">
        <v>126.8</v>
      </c>
      <c r="V18" s="38">
        <f>SUM(R18:U18)</f>
        <v>250.1</v>
      </c>
    </row>
    <row r="19" spans="2:22" x14ac:dyDescent="0.25">
      <c r="B19" s="29" t="s">
        <v>144</v>
      </c>
      <c r="G19" s="38"/>
      <c r="H19" s="30">
        <f t="shared" ref="H19" si="24">(H18-C18)/C18</f>
        <v>0.24540778839088911</v>
      </c>
      <c r="I19" s="30">
        <f t="shared" ref="I19" si="25">(I18-D18)/D18</f>
        <v>0.36290322580645162</v>
      </c>
      <c r="J19" s="30">
        <f t="shared" ref="J19" si="26">(J18-E18)/E18</f>
        <v>0.15286080273270714</v>
      </c>
      <c r="K19" s="30">
        <f t="shared" ref="K19" si="27">(K18-F18)/F18</f>
        <v>3.1393568147013738E-2</v>
      </c>
      <c r="L19" s="43">
        <f>(L18-G18)/G18</f>
        <v>0.19358094469115864</v>
      </c>
      <c r="M19" s="30">
        <f t="shared" ref="M19" si="28">(M18-H18)/H18</f>
        <v>-0.20471976401179934</v>
      </c>
      <c r="N19" s="30">
        <f t="shared" ref="N19" si="29">(N18-I18)/I18</f>
        <v>-0.2583826429980276</v>
      </c>
      <c r="O19" s="30">
        <f t="shared" ref="O19" si="30">(O18-J18)/J18</f>
        <v>-0.24000000000000005</v>
      </c>
      <c r="P19" s="30">
        <f t="shared" ref="P19" si="31">(P18-K18)/K18</f>
        <v>-0.28582034149962871</v>
      </c>
      <c r="Q19" s="43">
        <f>(Q18-L18)/L18</f>
        <v>-0.2450532724505326</v>
      </c>
      <c r="R19" s="30">
        <f t="shared" ref="R19" si="32">(R18-M18)/M18</f>
        <v>-8.5311572700296837E-2</v>
      </c>
      <c r="S19" s="30">
        <f>(S18-N18)/N18</f>
        <v>0.12411347517730496</v>
      </c>
      <c r="T19" s="30">
        <f t="shared" ref="T19" si="33">(T18-O18)/O18</f>
        <v>-1</v>
      </c>
      <c r="U19" s="30">
        <f t="shared" ref="U19" si="34">(U18-P18)/P18</f>
        <v>-1</v>
      </c>
      <c r="V19" s="43">
        <f>(V18-Q18)/Q18</f>
        <v>-0.43974014336917566</v>
      </c>
    </row>
    <row r="20" spans="2:22" x14ac:dyDescent="0.25">
      <c r="B20" s="2" t="s">
        <v>137</v>
      </c>
      <c r="C20" s="2">
        <v>34.4</v>
      </c>
      <c r="D20" s="2">
        <v>24.1</v>
      </c>
      <c r="E20" s="2">
        <v>33</v>
      </c>
      <c r="F20" s="2">
        <v>45.4</v>
      </c>
      <c r="G20" s="38">
        <f>SUM(C20:F20)</f>
        <v>136.9</v>
      </c>
      <c r="H20" s="2">
        <v>43.8</v>
      </c>
      <c r="I20" s="2">
        <v>33.299999999999997</v>
      </c>
      <c r="J20" s="2">
        <v>33.4</v>
      </c>
      <c r="K20" s="2">
        <v>49</v>
      </c>
      <c r="L20" s="38">
        <f>SUM(H20:K20)</f>
        <v>159.5</v>
      </c>
      <c r="M20" s="2">
        <v>39.4</v>
      </c>
      <c r="N20" s="2">
        <v>26.7</v>
      </c>
      <c r="O20" s="2">
        <v>33</v>
      </c>
      <c r="P20" s="2">
        <v>55.2</v>
      </c>
      <c r="Q20" s="38">
        <f>SUM(M20:P20)</f>
        <v>154.30000000000001</v>
      </c>
      <c r="R20" s="2">
        <v>43.5</v>
      </c>
      <c r="S20" s="2">
        <v>41.8</v>
      </c>
      <c r="V20" s="38">
        <f>SUM(R20:U20)</f>
        <v>85.3</v>
      </c>
    </row>
    <row r="21" spans="2:22" x14ac:dyDescent="0.25">
      <c r="B21" s="29" t="s">
        <v>144</v>
      </c>
      <c r="G21" s="38"/>
      <c r="H21" s="30">
        <f t="shared" ref="H21" si="35">(H20-C20)/C20</f>
        <v>0.27325581395348836</v>
      </c>
      <c r="I21" s="30">
        <f t="shared" ref="I21" si="36">(I20-D20)/D20</f>
        <v>0.38174273858921143</v>
      </c>
      <c r="J21" s="30">
        <f t="shared" ref="J21" si="37">(J20-E20)/E20</f>
        <v>1.2121212121212078E-2</v>
      </c>
      <c r="K21" s="30">
        <f t="shared" ref="K21" si="38">(K20-F20)/F20</f>
        <v>7.929515418502206E-2</v>
      </c>
      <c r="L21" s="43">
        <f>(L20-G20)/G20</f>
        <v>0.16508400292184072</v>
      </c>
      <c r="M21" s="30">
        <f t="shared" ref="M21" si="39">(M20-H20)/H20</f>
        <v>-0.10045662100456619</v>
      </c>
      <c r="N21" s="30">
        <f t="shared" ref="N21" si="40">(N20-I20)/I20</f>
        <v>-0.19819819819819814</v>
      </c>
      <c r="O21" s="30">
        <f t="shared" ref="O21" si="41">(O20-J20)/J20</f>
        <v>-1.1976047904191574E-2</v>
      </c>
      <c r="P21" s="30">
        <f t="shared" ref="P21" si="42">(P20-K20)/K20</f>
        <v>0.12653061224489801</v>
      </c>
      <c r="Q21" s="43">
        <f>(Q20-L20)/L20</f>
        <v>-3.2601880877742878E-2</v>
      </c>
      <c r="R21" s="30">
        <f t="shared" ref="R21" si="43">(R20-M20)/M20</f>
        <v>0.10406091370558379</v>
      </c>
      <c r="S21" s="30">
        <f>(S20-N20)/N20</f>
        <v>0.56554307116104863</v>
      </c>
      <c r="T21" s="30">
        <f t="shared" ref="T21" si="44">(T20-O20)/O20</f>
        <v>-1</v>
      </c>
      <c r="U21" s="30">
        <f t="shared" ref="U21" si="45">(U20-P20)/P20</f>
        <v>-1</v>
      </c>
      <c r="V21" s="43">
        <f>(V20-Q20)/Q20</f>
        <v>-0.44718081659105646</v>
      </c>
    </row>
    <row r="22" spans="2:22" x14ac:dyDescent="0.25">
      <c r="B22" s="2" t="s">
        <v>138</v>
      </c>
      <c r="C22" s="2">
        <v>2.6</v>
      </c>
      <c r="D22" s="2">
        <v>2.4</v>
      </c>
      <c r="E22" s="2">
        <v>3</v>
      </c>
      <c r="F22" s="2">
        <v>3.5</v>
      </c>
      <c r="G22" s="38">
        <f>SUM(C22:F22)</f>
        <v>11.5</v>
      </c>
      <c r="H22" s="2">
        <v>3.3</v>
      </c>
      <c r="I22" s="2">
        <v>5.6</v>
      </c>
      <c r="J22" s="2">
        <v>6.7</v>
      </c>
      <c r="K22" s="2">
        <v>5.5</v>
      </c>
      <c r="L22" s="38">
        <f>SUM(H22:K22)</f>
        <v>21.099999999999998</v>
      </c>
      <c r="M22" s="2">
        <v>5.5</v>
      </c>
      <c r="N22" s="2">
        <v>3.7</v>
      </c>
      <c r="O22" s="2">
        <v>4.4000000000000004</v>
      </c>
      <c r="P22" s="2">
        <v>3.4</v>
      </c>
      <c r="Q22" s="38">
        <f>SUM(M22:P22)</f>
        <v>17</v>
      </c>
      <c r="R22" s="2">
        <v>2.1</v>
      </c>
      <c r="S22" s="2">
        <v>1.1000000000000001</v>
      </c>
      <c r="V22" s="38">
        <f>SUM(R22:U22)</f>
        <v>3.2</v>
      </c>
    </row>
    <row r="23" spans="2:22" x14ac:dyDescent="0.25">
      <c r="B23" s="29" t="s">
        <v>144</v>
      </c>
      <c r="G23" s="38"/>
      <c r="H23" s="30">
        <f t="shared" ref="H23" si="46">(H22-C22)/C22</f>
        <v>0.26923076923076911</v>
      </c>
      <c r="I23" s="30">
        <f t="shared" ref="I23" si="47">(I22-D22)/D22</f>
        <v>1.3333333333333333</v>
      </c>
      <c r="J23" s="30">
        <f t="shared" ref="J23" si="48">(J22-E22)/E22</f>
        <v>1.2333333333333334</v>
      </c>
      <c r="K23" s="30">
        <f t="shared" ref="K23" si="49">(K22-F22)/F22</f>
        <v>0.5714285714285714</v>
      </c>
      <c r="L23" s="43">
        <f>(L22-G22)/G22</f>
        <v>0.83478260869565202</v>
      </c>
      <c r="M23" s="30">
        <f t="shared" ref="M23" si="50">(M22-H22)/H22</f>
        <v>0.66666666666666674</v>
      </c>
      <c r="N23" s="30">
        <f t="shared" ref="N23" si="51">(N22-I22)/I22</f>
        <v>-0.33928571428571419</v>
      </c>
      <c r="O23" s="30">
        <f t="shared" ref="O23" si="52">(O22-J22)/J22</f>
        <v>-0.34328358208955223</v>
      </c>
      <c r="P23" s="30">
        <f t="shared" ref="P23" si="53">(P22-K22)/K22</f>
        <v>-0.38181818181818183</v>
      </c>
      <c r="Q23" s="43">
        <f>(Q22-L22)/L22</f>
        <v>-0.19431279620853073</v>
      </c>
      <c r="R23" s="30">
        <f t="shared" ref="R23" si="54">(R22-M22)/M22</f>
        <v>-0.61818181818181817</v>
      </c>
      <c r="S23" s="30">
        <f>(S22-N22)/N22</f>
        <v>-0.70270270270270274</v>
      </c>
      <c r="T23" s="30">
        <f t="shared" ref="T23" si="55">(T22-O22)/O22</f>
        <v>-1</v>
      </c>
      <c r="U23" s="30">
        <f t="shared" ref="U23" si="56">(U22-P22)/P22</f>
        <v>-1</v>
      </c>
      <c r="V23" s="43">
        <f>(V22-Q22)/Q22</f>
        <v>-0.81176470588235294</v>
      </c>
    </row>
    <row r="24" spans="2:22" x14ac:dyDescent="0.25">
      <c r="B24" s="2" t="s">
        <v>140</v>
      </c>
      <c r="C24" s="2">
        <v>21.4</v>
      </c>
      <c r="D24" s="2">
        <v>24.5</v>
      </c>
      <c r="E24" s="2">
        <v>19</v>
      </c>
      <c r="F24" s="2">
        <v>40.299999999999997</v>
      </c>
      <c r="G24" s="38">
        <f>SUM(C24:F24)</f>
        <v>105.2</v>
      </c>
      <c r="H24" s="2">
        <v>24.7</v>
      </c>
      <c r="I24" s="2">
        <v>31.9</v>
      </c>
      <c r="J24" s="2">
        <v>29.7</v>
      </c>
      <c r="K24" s="2">
        <v>26.3</v>
      </c>
      <c r="L24" s="38">
        <f>SUM(H24:K24)</f>
        <v>112.6</v>
      </c>
      <c r="M24" s="2">
        <v>27.2</v>
      </c>
      <c r="N24" s="2">
        <v>38.700000000000003</v>
      </c>
      <c r="O24" s="2">
        <v>23.6</v>
      </c>
      <c r="P24" s="2">
        <v>26.3</v>
      </c>
      <c r="Q24" s="38">
        <f>SUM(M24:P24)</f>
        <v>115.8</v>
      </c>
      <c r="R24" s="2">
        <v>44.3</v>
      </c>
      <c r="S24" s="2">
        <v>32.4</v>
      </c>
      <c r="V24" s="38">
        <f>SUM(R24:U24)</f>
        <v>76.699999999999989</v>
      </c>
    </row>
    <row r="25" spans="2:22" x14ac:dyDescent="0.25">
      <c r="B25" s="29" t="s">
        <v>144</v>
      </c>
      <c r="G25" s="38"/>
      <c r="H25" s="30">
        <f t="shared" ref="H25" si="57">(H24-C24)/C24</f>
        <v>0.15420560747663556</v>
      </c>
      <c r="I25" s="30">
        <f t="shared" ref="I25" si="58">(I24-D24)/D24</f>
        <v>0.30204081632653057</v>
      </c>
      <c r="J25" s="30">
        <f>(J24-E24)/E24</f>
        <v>0.56315789473684208</v>
      </c>
      <c r="K25" s="30">
        <f>(K24-F24)/F24</f>
        <v>-0.34739454094292799</v>
      </c>
      <c r="L25" s="43">
        <f>(L24-G24)/G24</f>
        <v>7.0342205323193838E-2</v>
      </c>
      <c r="M25" s="30">
        <f t="shared" ref="M25" si="59">(M24-H24)/H24</f>
        <v>0.10121457489878542</v>
      </c>
      <c r="N25" s="30">
        <f t="shared" ref="N25" si="60">(N24-I24)/I24</f>
        <v>0.2131661442006271</v>
      </c>
      <c r="O25" s="30">
        <f t="shared" ref="O25" si="61">(O24-J24)/J24</f>
        <v>-0.20538720538720531</v>
      </c>
      <c r="P25" s="30">
        <f t="shared" ref="P25" si="62">(P24-K24)/K24</f>
        <v>0</v>
      </c>
      <c r="Q25" s="43">
        <f>(Q24-L24)/L24</f>
        <v>2.8419182948490256E-2</v>
      </c>
      <c r="R25" s="30">
        <f t="shared" ref="R25" si="63">(R24-M24)/M24</f>
        <v>0.62867647058823528</v>
      </c>
      <c r="S25" s="30">
        <f>(S24-N24)/N24</f>
        <v>-0.1627906976744187</v>
      </c>
      <c r="T25" s="30">
        <f t="shared" ref="T25" si="64">(T24-O24)/O24</f>
        <v>-1</v>
      </c>
      <c r="U25" s="30">
        <f t="shared" ref="U25" si="65">(U24-P24)/P24</f>
        <v>-1</v>
      </c>
      <c r="V25" s="43">
        <f>(V24-Q24)/Q24</f>
        <v>-0.33765112262521596</v>
      </c>
    </row>
    <row r="26" spans="2:22" x14ac:dyDescent="0.25">
      <c r="B26" s="2" t="s">
        <v>141</v>
      </c>
      <c r="C26" s="2">
        <v>0.1</v>
      </c>
      <c r="D26" s="2">
        <v>1.9</v>
      </c>
      <c r="E26" s="2">
        <v>1.2</v>
      </c>
      <c r="F26" s="2">
        <v>1.7</v>
      </c>
      <c r="G26" s="38">
        <f>SUM(C26:F26)</f>
        <v>4.9000000000000004</v>
      </c>
      <c r="H26" s="2">
        <v>0.2</v>
      </c>
      <c r="I26" s="2">
        <v>0</v>
      </c>
      <c r="J26" s="2">
        <v>0</v>
      </c>
      <c r="K26" s="2">
        <v>0.1</v>
      </c>
      <c r="L26" s="38">
        <f>SUM(H26:K26)</f>
        <v>0.30000000000000004</v>
      </c>
      <c r="M26" s="2">
        <v>0</v>
      </c>
      <c r="N26" s="2">
        <v>6.1</v>
      </c>
      <c r="O26" s="2">
        <v>12</v>
      </c>
      <c r="P26" s="2">
        <v>11.3</v>
      </c>
      <c r="Q26" s="38">
        <f>SUM(M26:P26)</f>
        <v>29.400000000000002</v>
      </c>
      <c r="R26" s="2">
        <v>7.5</v>
      </c>
      <c r="S26" s="2">
        <v>18</v>
      </c>
      <c r="V26" s="38">
        <f>SUM(R26:U26)</f>
        <v>25.5</v>
      </c>
    </row>
    <row r="27" spans="2:22" x14ac:dyDescent="0.25">
      <c r="B27" s="29" t="s">
        <v>144</v>
      </c>
      <c r="G27" s="38"/>
      <c r="H27" s="30">
        <f t="shared" ref="H27" si="66">(H26-C26)/C26</f>
        <v>1</v>
      </c>
      <c r="I27" s="30">
        <f t="shared" ref="I27" si="67">(I26-D26)/D26</f>
        <v>-1</v>
      </c>
      <c r="J27" s="30" t="e">
        <f>(J26-E27)/E27</f>
        <v>#DIV/0!</v>
      </c>
      <c r="K27" s="30">
        <f t="shared" ref="K27" si="68">(K26-F26)/F26</f>
        <v>-0.94117647058823528</v>
      </c>
      <c r="L27" s="43">
        <f>(L26-G26)/G26</f>
        <v>-0.93877551020408168</v>
      </c>
      <c r="M27" s="30">
        <f t="shared" ref="M27:N27" si="69">(M26-H26)/H26</f>
        <v>-1</v>
      </c>
      <c r="N27" s="30" t="e">
        <f t="shared" si="69"/>
        <v>#DIV/0!</v>
      </c>
      <c r="O27" s="30" t="e">
        <f>(O26-J26)/J26</f>
        <v>#DIV/0!</v>
      </c>
      <c r="P27" s="30">
        <f>(P26-K26)/K26</f>
        <v>112</v>
      </c>
      <c r="Q27" s="43">
        <f>(Q26-L26)/L26</f>
        <v>96.999999999999986</v>
      </c>
      <c r="R27" s="30" t="e">
        <f t="shared" ref="R27" si="70">(R26-M26)/M26</f>
        <v>#DIV/0!</v>
      </c>
      <c r="S27" s="30">
        <f>(S26-N26)/N26</f>
        <v>1.9508196721311477</v>
      </c>
      <c r="T27" s="30">
        <f t="shared" ref="T27" si="71">(T26-O26)/O26</f>
        <v>-1</v>
      </c>
      <c r="U27" s="30">
        <f t="shared" ref="U27" si="72">(U26-P26)/P26</f>
        <v>-1</v>
      </c>
      <c r="V27" s="43">
        <f>(V26-Q26)/Q26</f>
        <v>-0.13265306122448986</v>
      </c>
    </row>
    <row r="28" spans="2:22" x14ac:dyDescent="0.25">
      <c r="B28" s="2" t="s">
        <v>142</v>
      </c>
      <c r="C28" s="2">
        <v>9.4</v>
      </c>
      <c r="D28" s="2">
        <v>10.4</v>
      </c>
      <c r="E28" s="2">
        <v>7.7</v>
      </c>
      <c r="F28" s="2">
        <v>8.6999999999999993</v>
      </c>
      <c r="G28" s="38">
        <f>SUM(C28:F28)</f>
        <v>36.200000000000003</v>
      </c>
      <c r="H28" s="2">
        <v>5.0999999999999996</v>
      </c>
      <c r="I28" s="2">
        <v>10</v>
      </c>
      <c r="J28" s="2">
        <v>8.8000000000000007</v>
      </c>
      <c r="K28" s="2">
        <v>10.4</v>
      </c>
      <c r="L28" s="38">
        <f>SUM(H28:K28)</f>
        <v>34.299999999999997</v>
      </c>
      <c r="M28" s="2">
        <v>6.5</v>
      </c>
      <c r="N28" s="2">
        <v>9.4</v>
      </c>
      <c r="O28" s="2">
        <v>8.6999999999999993</v>
      </c>
      <c r="P28" s="2">
        <v>3.5</v>
      </c>
      <c r="Q28" s="38">
        <f>SUM(M28:P28)</f>
        <v>28.1</v>
      </c>
      <c r="R28" s="2">
        <v>6</v>
      </c>
      <c r="S28" s="2">
        <v>6</v>
      </c>
      <c r="V28" s="38">
        <f>SUM(R28:U28)</f>
        <v>12</v>
      </c>
    </row>
    <row r="29" spans="2:22" x14ac:dyDescent="0.25">
      <c r="B29" s="29" t="s">
        <v>144</v>
      </c>
      <c r="G29" s="38"/>
      <c r="H29" s="30">
        <f t="shared" ref="H29" si="73">(H28-C28)/C28</f>
        <v>-0.45744680851063835</v>
      </c>
      <c r="I29" s="30">
        <f t="shared" ref="I29" si="74">(I28-D28)/D28</f>
        <v>-3.8461538461538491E-2</v>
      </c>
      <c r="J29" s="30">
        <f t="shared" ref="J29:K29" si="75">(J28-E28)/E28</f>
        <v>0.14285714285714293</v>
      </c>
      <c r="K29" s="30">
        <f t="shared" si="75"/>
        <v>0.19540229885057486</v>
      </c>
      <c r="L29" s="43">
        <f>(L28-G28)/G28</f>
        <v>-5.2486187845304018E-2</v>
      </c>
      <c r="M29" s="30">
        <f t="shared" ref="M29" si="76">(M28-H28)/H28</f>
        <v>0.27450980392156871</v>
      </c>
      <c r="N29" s="30">
        <f t="shared" ref="N29" si="77">(N28-I28)/I28</f>
        <v>-5.9999999999999963E-2</v>
      </c>
      <c r="O29" s="30">
        <f t="shared" ref="O29" si="78">(O28-J28)/J28</f>
        <v>-1.1363636363636524E-2</v>
      </c>
      <c r="P29" s="30">
        <f t="shared" ref="P29" si="79">(P28-K28)/K28</f>
        <v>-0.66346153846153844</v>
      </c>
      <c r="Q29" s="43">
        <f>(Q28-L28)/L28</f>
        <v>-0.18075801749271125</v>
      </c>
      <c r="R29" s="30">
        <f t="shared" ref="R29" si="80">(R28-M28)/M28</f>
        <v>-7.6923076923076927E-2</v>
      </c>
      <c r="S29" s="30">
        <f>(S28-N28)/N28</f>
        <v>-0.36170212765957449</v>
      </c>
      <c r="T29" s="30">
        <f t="shared" ref="T29" si="81">(T28-O28)/O28</f>
        <v>-1</v>
      </c>
      <c r="U29" s="30">
        <f t="shared" ref="U29" si="82">(U28-P28)/P28</f>
        <v>-1</v>
      </c>
      <c r="V29" s="43">
        <f>(V28-Q28)/Q28</f>
        <v>-0.57295373665480431</v>
      </c>
    </row>
    <row r="30" spans="2:22" x14ac:dyDescent="0.25">
      <c r="B30" s="31" t="s">
        <v>150</v>
      </c>
      <c r="C30" s="31">
        <f t="shared" ref="C30:R30" si="83">C12+C14+C16+C18+C20+C22+C24+C26+C28</f>
        <v>434.79999999999995</v>
      </c>
      <c r="D30" s="31">
        <f t="shared" si="83"/>
        <v>388.29999999999995</v>
      </c>
      <c r="E30" s="31">
        <f t="shared" si="83"/>
        <v>362.5</v>
      </c>
      <c r="F30" s="31">
        <f t="shared" si="83"/>
        <v>443.2</v>
      </c>
      <c r="G30" s="42"/>
      <c r="H30" s="31">
        <f t="shared" si="83"/>
        <v>495.8</v>
      </c>
      <c r="I30" s="31">
        <f t="shared" si="83"/>
        <v>437.8</v>
      </c>
      <c r="J30" s="31">
        <f t="shared" si="83"/>
        <v>381.59999999999997</v>
      </c>
      <c r="K30" s="31">
        <f t="shared" si="83"/>
        <v>412.40000000000003</v>
      </c>
      <c r="L30" s="42"/>
      <c r="M30" s="31">
        <f t="shared" si="83"/>
        <v>439</v>
      </c>
      <c r="N30" s="31">
        <f t="shared" si="83"/>
        <v>390.5</v>
      </c>
      <c r="O30" s="31">
        <f t="shared" si="83"/>
        <v>340.59999999999997</v>
      </c>
      <c r="P30" s="31">
        <f t="shared" si="83"/>
        <v>367</v>
      </c>
      <c r="Q30" s="42"/>
      <c r="R30" s="31">
        <f t="shared" si="83"/>
        <v>433.20000000000005</v>
      </c>
      <c r="S30" s="31">
        <f>S12+S14+S16+S18+S20+S22+S24+S26+S28</f>
        <v>400</v>
      </c>
      <c r="T30" s="31">
        <f t="shared" ref="T30:U30" si="84">T12+T14+T16+T18+T20+T22+T24+T26+T28</f>
        <v>0</v>
      </c>
      <c r="U30" s="31">
        <f t="shared" si="84"/>
        <v>0</v>
      </c>
      <c r="V30" s="42"/>
    </row>
    <row r="31" spans="2:22" x14ac:dyDescent="0.25">
      <c r="B31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42B8-541B-9F43-9AF7-AF8351B72277}">
  <dimension ref="B3:V30"/>
  <sheetViews>
    <sheetView showGridLines="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Y13" sqref="Y13"/>
    </sheetView>
  </sheetViews>
  <sheetFormatPr baseColWidth="10" defaultRowHeight="19" x14ac:dyDescent="0.25"/>
  <cols>
    <col min="1" max="1" width="10.83203125" style="2"/>
    <col min="2" max="2" width="25.6640625" style="2" bestFit="1" customWidth="1"/>
    <col min="3" max="16384" width="10.83203125" style="2"/>
  </cols>
  <sheetData>
    <row r="3" spans="2:22" x14ac:dyDescent="0.25">
      <c r="B3" s="2" t="s">
        <v>38</v>
      </c>
      <c r="C3" s="7" t="s">
        <v>3</v>
      </c>
      <c r="D3" s="7" t="s">
        <v>4</v>
      </c>
      <c r="E3" s="7" t="s">
        <v>5</v>
      </c>
      <c r="F3" s="7" t="s">
        <v>6</v>
      </c>
      <c r="G3" s="36">
        <v>2022</v>
      </c>
      <c r="H3" s="7" t="s">
        <v>7</v>
      </c>
      <c r="I3" s="7" t="s">
        <v>8</v>
      </c>
      <c r="J3" s="7" t="s">
        <v>9</v>
      </c>
      <c r="K3" s="7" t="s">
        <v>10</v>
      </c>
      <c r="L3" s="36">
        <v>2023</v>
      </c>
      <c r="M3" s="7" t="s">
        <v>11</v>
      </c>
      <c r="N3" s="7" t="s">
        <v>12</v>
      </c>
      <c r="O3" s="7" t="s">
        <v>13</v>
      </c>
      <c r="P3" s="7" t="s">
        <v>14</v>
      </c>
      <c r="Q3" s="36">
        <v>2024</v>
      </c>
      <c r="R3" s="7" t="s">
        <v>37</v>
      </c>
      <c r="S3" s="7" t="s">
        <v>31</v>
      </c>
      <c r="T3" s="7" t="s">
        <v>35</v>
      </c>
      <c r="U3" s="7" t="s">
        <v>36</v>
      </c>
      <c r="V3" s="38">
        <v>2025</v>
      </c>
    </row>
    <row r="4" spans="2:22" x14ac:dyDescent="0.25">
      <c r="B4" s="1" t="s">
        <v>151</v>
      </c>
      <c r="G4" s="37"/>
      <c r="L4" s="37"/>
      <c r="Q4" s="37"/>
      <c r="V4" s="37"/>
    </row>
    <row r="5" spans="2:22" x14ac:dyDescent="0.25">
      <c r="B5" s="2" t="s">
        <v>145</v>
      </c>
      <c r="C5" s="2">
        <v>552</v>
      </c>
      <c r="D5" s="2">
        <v>574.6</v>
      </c>
      <c r="E5" s="2">
        <v>549.1</v>
      </c>
      <c r="F5" s="2">
        <v>558.79999999999995</v>
      </c>
      <c r="G5" s="38">
        <f>SUM(C5:F5)</f>
        <v>2234.5</v>
      </c>
      <c r="H5" s="2">
        <v>710.8</v>
      </c>
      <c r="I5" s="2">
        <v>820.4</v>
      </c>
      <c r="J5" s="2">
        <v>835.7</v>
      </c>
      <c r="K5" s="2">
        <v>794.8</v>
      </c>
      <c r="L5" s="38">
        <f>SUM(H5:K5)</f>
        <v>3161.7</v>
      </c>
      <c r="M5" s="2">
        <v>854.8</v>
      </c>
      <c r="N5" s="2">
        <v>847.5</v>
      </c>
      <c r="O5" s="2">
        <v>706.3</v>
      </c>
      <c r="P5" s="2">
        <v>635.79999999999995</v>
      </c>
      <c r="Q5" s="38">
        <f>SUM(M5:P5)</f>
        <v>3044.3999999999996</v>
      </c>
      <c r="R5" s="2">
        <v>703.6</v>
      </c>
      <c r="S5" s="2">
        <v>731.8</v>
      </c>
      <c r="V5" s="38">
        <f>SUM(R5:U5)</f>
        <v>1435.4</v>
      </c>
    </row>
    <row r="6" spans="2:22" x14ac:dyDescent="0.25">
      <c r="B6" s="29" t="s">
        <v>144</v>
      </c>
      <c r="C6" s="29"/>
      <c r="D6" s="29"/>
      <c r="E6" s="29"/>
      <c r="F6" s="29"/>
      <c r="G6" s="39"/>
      <c r="H6" s="30">
        <f t="shared" ref="H6:V6" si="0">(H5-C5)/C5</f>
        <v>0.28768115942028977</v>
      </c>
      <c r="I6" s="30">
        <f t="shared" si="0"/>
        <v>0.42777584406543673</v>
      </c>
      <c r="J6" s="30">
        <f t="shared" si="0"/>
        <v>0.52194500091058094</v>
      </c>
      <c r="K6" s="30">
        <f t="shared" si="0"/>
        <v>0.4223335719398712</v>
      </c>
      <c r="L6" s="43">
        <f t="shared" si="0"/>
        <v>0.41494741552920106</v>
      </c>
      <c r="M6" s="30">
        <f t="shared" si="0"/>
        <v>0.20258863252673046</v>
      </c>
      <c r="N6" s="30">
        <f t="shared" si="0"/>
        <v>3.3032666991711389E-2</v>
      </c>
      <c r="O6" s="30">
        <f t="shared" si="0"/>
        <v>-0.15484025367955018</v>
      </c>
      <c r="P6" s="30">
        <f t="shared" si="0"/>
        <v>-0.20005032712632109</v>
      </c>
      <c r="Q6" s="43">
        <f t="shared" si="0"/>
        <v>-3.7100294145554664E-2</v>
      </c>
      <c r="R6" s="30">
        <f t="shared" si="0"/>
        <v>-0.17688348151614405</v>
      </c>
      <c r="S6" s="30">
        <f t="shared" si="0"/>
        <v>-0.13651917404129799</v>
      </c>
      <c r="T6" s="30">
        <f t="shared" si="0"/>
        <v>-1</v>
      </c>
      <c r="U6" s="30">
        <f t="shared" si="0"/>
        <v>-1</v>
      </c>
      <c r="V6" s="43">
        <f t="shared" si="0"/>
        <v>-0.52851136512941788</v>
      </c>
    </row>
    <row r="7" spans="2:22" x14ac:dyDescent="0.25">
      <c r="B7" s="2" t="s">
        <v>146</v>
      </c>
      <c r="C7" s="2">
        <v>54.1</v>
      </c>
      <c r="D7" s="2">
        <v>62.8</v>
      </c>
      <c r="E7" s="2">
        <v>67.400000000000006</v>
      </c>
      <c r="F7" s="2">
        <v>28.3</v>
      </c>
      <c r="G7" s="38">
        <f>SUM(C7:F7)</f>
        <v>212.60000000000002</v>
      </c>
      <c r="H7" s="2">
        <v>90</v>
      </c>
      <c r="I7" s="2">
        <v>116.3</v>
      </c>
      <c r="J7" s="2">
        <v>123</v>
      </c>
      <c r="K7" s="2">
        <v>108.9</v>
      </c>
      <c r="L7" s="38">
        <f>SUM(H7:K7)</f>
        <v>438.20000000000005</v>
      </c>
      <c r="M7" s="2">
        <v>140</v>
      </c>
      <c r="N7" s="2">
        <v>134.1</v>
      </c>
      <c r="O7" s="2">
        <v>108.2</v>
      </c>
      <c r="P7" s="2">
        <v>75.5</v>
      </c>
      <c r="Q7" s="38">
        <f>SUM(M7:P7)</f>
        <v>457.8</v>
      </c>
      <c r="R7" s="2">
        <v>90.4</v>
      </c>
      <c r="S7" s="2">
        <v>99.3</v>
      </c>
      <c r="V7" s="38">
        <f>SUM(R7:U7)</f>
        <v>189.7</v>
      </c>
    </row>
    <row r="8" spans="2:22" x14ac:dyDescent="0.25">
      <c r="B8" s="2" t="s">
        <v>147</v>
      </c>
      <c r="C8" s="2">
        <v>47.3</v>
      </c>
      <c r="D8" s="2">
        <v>56.9</v>
      </c>
      <c r="E8" s="2">
        <v>42.2</v>
      </c>
      <c r="F8" s="2">
        <v>12</v>
      </c>
      <c r="G8" s="38">
        <f>SUM(C8:F8)</f>
        <v>158.39999999999998</v>
      </c>
      <c r="H8" s="2">
        <v>74.599999999999994</v>
      </c>
      <c r="I8" s="2">
        <v>100.6</v>
      </c>
      <c r="J8" s="2">
        <v>106.7</v>
      </c>
      <c r="K8" s="2">
        <v>109.2</v>
      </c>
      <c r="L8" s="38">
        <f>SUM(H8:K8)</f>
        <v>391.09999999999997</v>
      </c>
      <c r="M8" s="2">
        <v>129.6</v>
      </c>
      <c r="N8" s="2">
        <v>121.2</v>
      </c>
      <c r="O8" s="2">
        <v>96.4</v>
      </c>
      <c r="P8" s="2">
        <v>63</v>
      </c>
      <c r="Q8" s="38">
        <f>SUM(M8:P8)</f>
        <v>410.20000000000005</v>
      </c>
      <c r="R8" s="2">
        <v>77.599999999999994</v>
      </c>
      <c r="S8" s="2">
        <v>86</v>
      </c>
      <c r="V8" s="38">
        <f>SUM(R8:U8)</f>
        <v>163.6</v>
      </c>
    </row>
    <row r="9" spans="2:22" x14ac:dyDescent="0.25">
      <c r="B9" s="10" t="s">
        <v>148</v>
      </c>
      <c r="C9" s="34">
        <v>8.5999999999999993E-2</v>
      </c>
      <c r="D9" s="34">
        <v>9.9000000000000005E-2</v>
      </c>
      <c r="E9" s="34">
        <v>7.6999999999999999E-2</v>
      </c>
      <c r="F9" s="34">
        <v>2.1000000000000001E-2</v>
      </c>
      <c r="G9" s="40">
        <f>G8/G5</f>
        <v>7.0888341910942038E-2</v>
      </c>
      <c r="H9" s="34">
        <v>0.105</v>
      </c>
      <c r="I9" s="34">
        <v>0.123</v>
      </c>
      <c r="J9" s="34">
        <v>0.128</v>
      </c>
      <c r="K9" s="34">
        <v>0.13700000000000001</v>
      </c>
      <c r="L9" s="40">
        <f>L8/L5</f>
        <v>0.12369927570610748</v>
      </c>
      <c r="M9" s="34">
        <v>0.152</v>
      </c>
      <c r="N9" s="34">
        <v>0.14299999999999999</v>
      </c>
      <c r="O9" s="34">
        <v>0.13600000000000001</v>
      </c>
      <c r="P9" s="34">
        <v>9.9000000000000005E-2</v>
      </c>
      <c r="Q9" s="40">
        <f>Q8/Q5</f>
        <v>0.13473919327289452</v>
      </c>
      <c r="R9" s="34">
        <v>0.11</v>
      </c>
      <c r="S9" s="34">
        <v>0.11700000000000001</v>
      </c>
      <c r="T9" s="34"/>
      <c r="U9" s="34"/>
      <c r="V9" s="40">
        <f>V8/V5</f>
        <v>0.11397519855092655</v>
      </c>
    </row>
    <row r="10" spans="2:22" x14ac:dyDescent="0.25">
      <c r="B10" s="2" t="s">
        <v>149</v>
      </c>
      <c r="C10" s="2">
        <v>42.2</v>
      </c>
      <c r="D10" s="2">
        <v>51.8</v>
      </c>
      <c r="E10" s="2">
        <v>37.1</v>
      </c>
      <c r="F10" s="2">
        <v>6.7</v>
      </c>
      <c r="G10" s="38">
        <f>SUM(C10:F10)</f>
        <v>137.79999999999998</v>
      </c>
      <c r="H10" s="2">
        <v>69.5</v>
      </c>
      <c r="I10" s="2">
        <v>95.2</v>
      </c>
      <c r="J10" s="2">
        <v>101.2</v>
      </c>
      <c r="K10" s="2">
        <v>103.7</v>
      </c>
      <c r="L10" s="38">
        <f>SUM(H10:K10)</f>
        <v>369.59999999999997</v>
      </c>
      <c r="M10" s="2">
        <v>124.3</v>
      </c>
      <c r="N10" s="2">
        <v>116.1</v>
      </c>
      <c r="O10" s="2">
        <v>91.4</v>
      </c>
      <c r="P10" s="2">
        <v>58</v>
      </c>
      <c r="Q10" s="38">
        <f>SUM(M10:P10)</f>
        <v>389.79999999999995</v>
      </c>
      <c r="R10" s="2">
        <v>72.599999999999994</v>
      </c>
      <c r="S10" s="2">
        <v>81</v>
      </c>
      <c r="V10" s="38">
        <f>SUM(R10:U10)</f>
        <v>153.6</v>
      </c>
    </row>
    <row r="11" spans="2:22" x14ac:dyDescent="0.25">
      <c r="B11" s="32" t="s">
        <v>44</v>
      </c>
      <c r="C11" s="33">
        <v>7.5999999999999998E-2</v>
      </c>
      <c r="D11" s="33">
        <v>0.09</v>
      </c>
      <c r="E11" s="33">
        <v>6.8000000000000005E-2</v>
      </c>
      <c r="F11" s="33">
        <v>1.2E-2</v>
      </c>
      <c r="G11" s="41">
        <f>G10/G5</f>
        <v>6.1669277243231138E-2</v>
      </c>
      <c r="H11" s="33">
        <v>9.8000000000000004E-2</v>
      </c>
      <c r="I11" s="33">
        <v>0.11600000000000001</v>
      </c>
      <c r="J11" s="33">
        <v>0.121</v>
      </c>
      <c r="K11" s="33">
        <v>0.13100000000000001</v>
      </c>
      <c r="L11" s="41">
        <f>L10/L5</f>
        <v>0.11689913654046873</v>
      </c>
      <c r="M11" s="33">
        <v>0.14499999999999999</v>
      </c>
      <c r="N11" s="33">
        <v>0.13700000000000001</v>
      </c>
      <c r="O11" s="33">
        <v>0.129</v>
      </c>
      <c r="P11" s="33">
        <v>9.0999999999999998E-2</v>
      </c>
      <c r="Q11" s="41">
        <f>Q10/Q5</f>
        <v>0.12803836552358427</v>
      </c>
      <c r="R11" s="33">
        <v>0.10299999999999999</v>
      </c>
      <c r="S11" s="33">
        <v>0.111</v>
      </c>
      <c r="T11" s="33"/>
      <c r="U11" s="33"/>
      <c r="V11" s="41">
        <f>V10/V5</f>
        <v>0.10700849937299706</v>
      </c>
    </row>
    <row r="12" spans="2:22" x14ac:dyDescent="0.25">
      <c r="B12" s="2" t="s">
        <v>133</v>
      </c>
      <c r="C12" s="2">
        <v>11</v>
      </c>
      <c r="D12" s="2">
        <v>13.4</v>
      </c>
      <c r="E12" s="2">
        <v>11.6</v>
      </c>
      <c r="F12" s="2">
        <v>12.7</v>
      </c>
      <c r="G12" s="38">
        <f>SUM(C12:F12)</f>
        <v>48.7</v>
      </c>
      <c r="H12" s="2">
        <v>15</v>
      </c>
      <c r="I12" s="2">
        <v>11.5</v>
      </c>
      <c r="J12" s="2">
        <v>9.5</v>
      </c>
      <c r="K12" s="2">
        <v>11.9</v>
      </c>
      <c r="L12" s="38">
        <f>SUM(H12:K12)</f>
        <v>47.9</v>
      </c>
      <c r="M12" s="2">
        <v>13</v>
      </c>
      <c r="N12" s="2">
        <v>11.9</v>
      </c>
      <c r="O12" s="2">
        <v>9.9</v>
      </c>
      <c r="P12" s="2">
        <v>11.8</v>
      </c>
      <c r="Q12" s="38">
        <f>SUM(M12:P12)</f>
        <v>46.599999999999994</v>
      </c>
      <c r="R12" s="2">
        <v>13.4</v>
      </c>
      <c r="S12" s="2">
        <v>11.8</v>
      </c>
      <c r="V12" s="38">
        <f>SUM(R12:U12)</f>
        <v>25.200000000000003</v>
      </c>
    </row>
    <row r="13" spans="2:22" x14ac:dyDescent="0.25">
      <c r="B13" s="29" t="s">
        <v>144</v>
      </c>
      <c r="G13" s="38"/>
      <c r="H13" s="30">
        <f t="shared" ref="H13:V13" si="1">(H12-C12)/C12</f>
        <v>0.36363636363636365</v>
      </c>
      <c r="I13" s="30">
        <f t="shared" si="1"/>
        <v>-0.14179104477611942</v>
      </c>
      <c r="J13" s="30">
        <f t="shared" si="1"/>
        <v>-0.18103448275862066</v>
      </c>
      <c r="K13" s="30">
        <f t="shared" si="1"/>
        <v>-6.2992125984251884E-2</v>
      </c>
      <c r="L13" s="43">
        <f t="shared" si="1"/>
        <v>-1.6427104722792695E-2</v>
      </c>
      <c r="M13" s="30">
        <f t="shared" si="1"/>
        <v>-0.13333333333333333</v>
      </c>
      <c r="N13" s="30">
        <f t="shared" si="1"/>
        <v>3.4782608695652202E-2</v>
      </c>
      <c r="O13" s="30">
        <f t="shared" si="1"/>
        <v>4.2105263157894778E-2</v>
      </c>
      <c r="P13" s="30">
        <f t="shared" si="1"/>
        <v>-8.4033613445377853E-3</v>
      </c>
      <c r="Q13" s="43">
        <f t="shared" si="1"/>
        <v>-2.7139874739039754E-2</v>
      </c>
      <c r="R13" s="30">
        <f t="shared" si="1"/>
        <v>3.0769230769230795E-2</v>
      </c>
      <c r="S13" s="30">
        <f t="shared" si="1"/>
        <v>-8.4033613445377853E-3</v>
      </c>
      <c r="T13" s="30">
        <f t="shared" si="1"/>
        <v>-1</v>
      </c>
      <c r="U13" s="30">
        <f t="shared" si="1"/>
        <v>-1</v>
      </c>
      <c r="V13" s="43">
        <f t="shared" si="1"/>
        <v>-0.4592274678111587</v>
      </c>
    </row>
    <row r="14" spans="2:22" x14ac:dyDescent="0.25">
      <c r="B14" s="2" t="s">
        <v>134</v>
      </c>
      <c r="C14" s="2">
        <v>12.9</v>
      </c>
      <c r="D14" s="2">
        <v>13.3</v>
      </c>
      <c r="E14" s="2">
        <v>14.2</v>
      </c>
      <c r="F14" s="2">
        <v>10.3</v>
      </c>
      <c r="G14" s="38">
        <f>SUM(C14:F14)</f>
        <v>50.7</v>
      </c>
      <c r="H14" s="2">
        <v>13.3</v>
      </c>
      <c r="I14" s="2">
        <v>12.9</v>
      </c>
      <c r="J14" s="2">
        <v>12.6</v>
      </c>
      <c r="K14" s="2">
        <v>11.6</v>
      </c>
      <c r="L14" s="38">
        <f>SUM(H14:K14)</f>
        <v>50.400000000000006</v>
      </c>
      <c r="M14" s="2">
        <v>11.5</v>
      </c>
      <c r="N14" s="2">
        <v>11.5</v>
      </c>
      <c r="O14" s="2">
        <v>12.5</v>
      </c>
      <c r="P14" s="2">
        <v>15</v>
      </c>
      <c r="Q14" s="38">
        <f>SUM(M14:P14)</f>
        <v>50.5</v>
      </c>
      <c r="R14" s="2">
        <v>14</v>
      </c>
      <c r="S14" s="2">
        <v>13.7</v>
      </c>
      <c r="V14" s="38">
        <f>SUM(R14:U14)</f>
        <v>27.7</v>
      </c>
    </row>
    <row r="15" spans="2:22" x14ac:dyDescent="0.25">
      <c r="B15" s="29" t="s">
        <v>144</v>
      </c>
      <c r="G15" s="38"/>
      <c r="H15" s="30">
        <f t="shared" ref="H15:K15" si="2">(H14-C14)/C14</f>
        <v>3.1007751937984523E-2</v>
      </c>
      <c r="I15" s="30">
        <f t="shared" si="2"/>
        <v>-3.0075187969924838E-2</v>
      </c>
      <c r="J15" s="30">
        <f t="shared" si="2"/>
        <v>-0.11267605633802814</v>
      </c>
      <c r="K15" s="30">
        <f t="shared" si="2"/>
        <v>0.1262135922330096</v>
      </c>
      <c r="L15" s="43">
        <f>(L14-G14)/G14</f>
        <v>-5.917159763313553E-3</v>
      </c>
      <c r="M15" s="30">
        <f t="shared" ref="M15:P15" si="3">(M14-H14)/H14</f>
        <v>-0.1353383458646617</v>
      </c>
      <c r="N15" s="30">
        <f t="shared" si="3"/>
        <v>-0.10852713178294576</v>
      </c>
      <c r="O15" s="30">
        <f t="shared" si="3"/>
        <v>-7.9365079365079083E-3</v>
      </c>
      <c r="P15" s="30">
        <f t="shared" si="3"/>
        <v>0.2931034482758621</v>
      </c>
      <c r="Q15" s="43">
        <f>(Q14-L14)/L14</f>
        <v>1.9841269841268713E-3</v>
      </c>
      <c r="R15" s="30">
        <f t="shared" ref="R15" si="4">(R14-M14)/M14</f>
        <v>0.21739130434782608</v>
      </c>
      <c r="S15" s="30">
        <f>(S14-N14)/N14</f>
        <v>0.19130434782608691</v>
      </c>
      <c r="T15" s="30">
        <f t="shared" ref="T15:U15" si="5">(T14-O14)/O14</f>
        <v>-1</v>
      </c>
      <c r="U15" s="30">
        <f t="shared" si="5"/>
        <v>-1</v>
      </c>
      <c r="V15" s="43">
        <f>(V14-Q14)/Q14</f>
        <v>-0.4514851485148515</v>
      </c>
    </row>
    <row r="16" spans="2:22" x14ac:dyDescent="0.25">
      <c r="B16" s="2" t="s">
        <v>135</v>
      </c>
      <c r="C16" s="2">
        <v>6.8</v>
      </c>
      <c r="D16" s="2">
        <v>7.5</v>
      </c>
      <c r="E16" s="2">
        <v>6.4</v>
      </c>
      <c r="F16" s="2">
        <v>5.2</v>
      </c>
      <c r="G16" s="38">
        <f>SUM(C16:F16)</f>
        <v>25.900000000000002</v>
      </c>
      <c r="H16" s="2">
        <v>9</v>
      </c>
      <c r="I16" s="2">
        <v>9.1999999999999993</v>
      </c>
      <c r="J16" s="2">
        <v>8.1999999999999993</v>
      </c>
      <c r="K16" s="2">
        <v>8.1</v>
      </c>
      <c r="L16" s="38">
        <f>SUM(H16:K16)</f>
        <v>34.5</v>
      </c>
      <c r="M16" s="2">
        <v>15.3</v>
      </c>
      <c r="N16" s="2">
        <v>11.3</v>
      </c>
      <c r="O16" s="2">
        <v>9.6</v>
      </c>
      <c r="P16" s="2">
        <v>10.9</v>
      </c>
      <c r="Q16" s="38">
        <f>SUM(M16:P16)</f>
        <v>47.1</v>
      </c>
      <c r="R16" s="2">
        <v>11.1</v>
      </c>
      <c r="S16" s="2">
        <v>10.199999999999999</v>
      </c>
      <c r="V16" s="38">
        <f>SUM(R16:U16)</f>
        <v>21.299999999999997</v>
      </c>
    </row>
    <row r="17" spans="2:22" x14ac:dyDescent="0.25">
      <c r="B17" s="29" t="s">
        <v>144</v>
      </c>
      <c r="G17" s="38"/>
      <c r="H17" s="30">
        <f t="shared" ref="H17:K17" si="6">(H16-C16)/C16</f>
        <v>0.3235294117647059</v>
      </c>
      <c r="I17" s="30">
        <f t="shared" si="6"/>
        <v>0.22666666666666657</v>
      </c>
      <c r="J17" s="30">
        <f t="shared" si="6"/>
        <v>0.28124999999999983</v>
      </c>
      <c r="K17" s="30">
        <f t="shared" si="6"/>
        <v>0.5576923076923076</v>
      </c>
      <c r="L17" s="43">
        <f>(L16-G16)/G16</f>
        <v>0.33204633204633194</v>
      </c>
      <c r="M17" s="30">
        <f t="shared" ref="M17:P17" si="7">(M16-H16)/H16</f>
        <v>0.70000000000000007</v>
      </c>
      <c r="N17" s="30">
        <f t="shared" si="7"/>
        <v>0.22826086956521757</v>
      </c>
      <c r="O17" s="30">
        <f t="shared" si="7"/>
        <v>0.17073170731707324</v>
      </c>
      <c r="P17" s="30">
        <f t="shared" si="7"/>
        <v>0.3456790123456791</v>
      </c>
      <c r="Q17" s="43">
        <f>(Q16-L16)/L16</f>
        <v>0.36521739130434788</v>
      </c>
      <c r="R17" s="30">
        <f t="shared" ref="R17" si="8">(R16-M16)/M16</f>
        <v>-0.27450980392156871</v>
      </c>
      <c r="S17" s="30">
        <f>(S16-N16)/N16</f>
        <v>-9.7345132743362955E-2</v>
      </c>
      <c r="T17" s="30">
        <f t="shared" ref="T17:U17" si="9">(T16-O16)/O16</f>
        <v>-1</v>
      </c>
      <c r="U17" s="30">
        <f t="shared" si="9"/>
        <v>-1</v>
      </c>
      <c r="V17" s="43">
        <f>(V16-Q16)/Q16</f>
        <v>-0.54777070063694278</v>
      </c>
    </row>
    <row r="18" spans="2:22" x14ac:dyDescent="0.25">
      <c r="B18" s="2" t="s">
        <v>136</v>
      </c>
      <c r="C18" s="2">
        <v>52</v>
      </c>
      <c r="D18" s="2">
        <v>55.7</v>
      </c>
      <c r="E18" s="2">
        <v>44.9</v>
      </c>
      <c r="F18" s="2">
        <v>51.7</v>
      </c>
      <c r="G18" s="38">
        <f>SUM(C18:F18)</f>
        <v>204.3</v>
      </c>
      <c r="H18" s="2">
        <v>59.6</v>
      </c>
      <c r="I18" s="2">
        <v>60.7</v>
      </c>
      <c r="J18" s="2">
        <v>53.6</v>
      </c>
      <c r="K18" s="2">
        <v>52.7</v>
      </c>
      <c r="L18" s="38">
        <f>SUM(H18:K18)</f>
        <v>226.60000000000002</v>
      </c>
      <c r="M18" s="2">
        <v>57.9</v>
      </c>
      <c r="N18" s="2">
        <v>59.3</v>
      </c>
      <c r="O18" s="2">
        <v>47</v>
      </c>
      <c r="P18" s="2">
        <v>44.4</v>
      </c>
      <c r="Q18" s="38">
        <f>SUM(M18:P18)</f>
        <v>208.6</v>
      </c>
      <c r="R18" s="2">
        <v>45.2</v>
      </c>
      <c r="S18" s="2">
        <v>50.1</v>
      </c>
      <c r="V18" s="38">
        <f>SUM(R18:U18)</f>
        <v>95.300000000000011</v>
      </c>
    </row>
    <row r="19" spans="2:22" x14ac:dyDescent="0.25">
      <c r="B19" s="29" t="s">
        <v>144</v>
      </c>
      <c r="G19" s="38"/>
      <c r="H19" s="30">
        <f t="shared" ref="H19:K19" si="10">(H18-C18)/C18</f>
        <v>0.14615384615384619</v>
      </c>
      <c r="I19" s="30">
        <f t="shared" si="10"/>
        <v>8.9766606822262118E-2</v>
      </c>
      <c r="J19" s="30">
        <f t="shared" si="10"/>
        <v>0.19376391982182636</v>
      </c>
      <c r="K19" s="30">
        <f t="shared" si="10"/>
        <v>1.9342359767891681E-2</v>
      </c>
      <c r="L19" s="43">
        <f>(L18-G18)/G18</f>
        <v>0.10915320606950568</v>
      </c>
      <c r="M19" s="30">
        <f t="shared" ref="M19:P19" si="11">(M18-H18)/H18</f>
        <v>-2.8523489932885952E-2</v>
      </c>
      <c r="N19" s="30">
        <f t="shared" si="11"/>
        <v>-2.3064250411861706E-2</v>
      </c>
      <c r="O19" s="30">
        <f t="shared" si="11"/>
        <v>-0.12313432835820898</v>
      </c>
      <c r="P19" s="30">
        <f t="shared" si="11"/>
        <v>-0.15749525616698298</v>
      </c>
      <c r="Q19" s="43">
        <f>(Q18-L18)/L18</f>
        <v>-7.943512797881741E-2</v>
      </c>
      <c r="R19" s="30">
        <f t="shared" ref="R19" si="12">(R18-M18)/M18</f>
        <v>-0.21934369602763379</v>
      </c>
      <c r="S19" s="30">
        <f>(S18-N18)/N18</f>
        <v>-0.15514333895446875</v>
      </c>
      <c r="T19" s="30">
        <f t="shared" ref="T19:U19" si="13">(T18-O18)/O18</f>
        <v>-1</v>
      </c>
      <c r="U19" s="30">
        <f t="shared" si="13"/>
        <v>-1</v>
      </c>
      <c r="V19" s="43">
        <f>(V18-Q18)/Q18</f>
        <v>-0.54314477468839883</v>
      </c>
    </row>
    <row r="20" spans="2:22" x14ac:dyDescent="0.25">
      <c r="B20" s="2" t="s">
        <v>137</v>
      </c>
      <c r="C20" s="2">
        <v>373.8</v>
      </c>
      <c r="D20" s="2">
        <v>386.8</v>
      </c>
      <c r="E20" s="2">
        <v>365.2</v>
      </c>
      <c r="F20" s="2">
        <v>388.6</v>
      </c>
      <c r="G20" s="38">
        <f>SUM(C20:F20)</f>
        <v>1514.4</v>
      </c>
      <c r="H20" s="2">
        <v>478.1</v>
      </c>
      <c r="I20" s="2">
        <v>560.9</v>
      </c>
      <c r="J20" s="2">
        <v>585.70000000000005</v>
      </c>
      <c r="K20" s="2">
        <v>565.9</v>
      </c>
      <c r="L20" s="38">
        <f>SUM(H20:K20)</f>
        <v>2190.6</v>
      </c>
      <c r="M20" s="2">
        <v>569.9</v>
      </c>
      <c r="N20" s="2">
        <v>558.9</v>
      </c>
      <c r="O20" s="2">
        <v>449</v>
      </c>
      <c r="P20" s="2">
        <v>398.6</v>
      </c>
      <c r="Q20" s="38">
        <f>SUM(M20:P20)</f>
        <v>1976.4</v>
      </c>
      <c r="R20" s="2">
        <v>447</v>
      </c>
      <c r="S20" s="2">
        <v>418.8</v>
      </c>
      <c r="V20" s="38">
        <f>SUM(R20:U20)</f>
        <v>865.8</v>
      </c>
    </row>
    <row r="21" spans="2:22" x14ac:dyDescent="0.25">
      <c r="B21" s="29" t="s">
        <v>144</v>
      </c>
      <c r="G21" s="38"/>
      <c r="H21" s="30">
        <f t="shared" ref="H21:K21" si="14">(H20-C20)/C20</f>
        <v>0.27902621722846443</v>
      </c>
      <c r="I21" s="30">
        <f t="shared" si="14"/>
        <v>0.45010341261633907</v>
      </c>
      <c r="J21" s="30">
        <f t="shared" si="14"/>
        <v>0.60377875136911296</v>
      </c>
      <c r="K21" s="30">
        <f t="shared" si="14"/>
        <v>0.45625321667524432</v>
      </c>
      <c r="L21" s="43">
        <f>(L20-G20)/G20</f>
        <v>0.44651347068145786</v>
      </c>
      <c r="M21" s="30">
        <f t="shared" ref="M21:P21" si="15">(M20-H20)/H20</f>
        <v>0.19201003974063993</v>
      </c>
      <c r="N21" s="30">
        <f t="shared" si="15"/>
        <v>-3.5656979853806382E-3</v>
      </c>
      <c r="O21" s="30">
        <f t="shared" si="15"/>
        <v>-0.23339593648625581</v>
      </c>
      <c r="P21" s="30">
        <f t="shared" si="15"/>
        <v>-0.29563527124933725</v>
      </c>
      <c r="Q21" s="43">
        <f>(Q20-L20)/L20</f>
        <v>-9.7781429745275192E-2</v>
      </c>
      <c r="R21" s="30">
        <f t="shared" ref="R21" si="16">(R20-M20)/M20</f>
        <v>-0.2156518687489033</v>
      </c>
      <c r="S21" s="30">
        <f>(S20-N20)/N20</f>
        <v>-0.2506709608158883</v>
      </c>
      <c r="T21" s="30">
        <f t="shared" ref="T21:U21" si="17">(T20-O20)/O20</f>
        <v>-1</v>
      </c>
      <c r="U21" s="30">
        <f t="shared" si="17"/>
        <v>-1</v>
      </c>
      <c r="V21" s="43">
        <f>(V20-Q20)/Q20</f>
        <v>-0.56193078324225865</v>
      </c>
    </row>
    <row r="22" spans="2:22" x14ac:dyDescent="0.25">
      <c r="B22" s="2" t="s">
        <v>138</v>
      </c>
      <c r="C22" s="2">
        <v>85.4</v>
      </c>
      <c r="D22" s="2">
        <v>86.8</v>
      </c>
      <c r="E22" s="2">
        <v>96.7</v>
      </c>
      <c r="F22" s="2">
        <v>80.599999999999994</v>
      </c>
      <c r="G22" s="38">
        <f>SUM(C22:F22)</f>
        <v>349.5</v>
      </c>
      <c r="H22" s="2">
        <v>126.1</v>
      </c>
      <c r="I22" s="2">
        <v>150.80000000000001</v>
      </c>
      <c r="J22" s="2">
        <v>150.80000000000001</v>
      </c>
      <c r="K22" s="2">
        <v>132.4</v>
      </c>
      <c r="L22" s="38">
        <f>SUM(H22:K22)</f>
        <v>560.1</v>
      </c>
      <c r="M22" s="2">
        <v>173.3</v>
      </c>
      <c r="N22" s="2">
        <v>184.3</v>
      </c>
      <c r="O22" s="2">
        <v>164.2</v>
      </c>
      <c r="P22" s="2">
        <v>140.9</v>
      </c>
      <c r="Q22" s="38">
        <f>SUM(M22:P22)</f>
        <v>662.69999999999993</v>
      </c>
      <c r="R22" s="2">
        <v>137</v>
      </c>
      <c r="S22" s="2">
        <v>182.7</v>
      </c>
      <c r="V22" s="38">
        <f>SUM(R22:U22)</f>
        <v>319.7</v>
      </c>
    </row>
    <row r="23" spans="2:22" x14ac:dyDescent="0.25">
      <c r="B23" s="29" t="s">
        <v>144</v>
      </c>
      <c r="G23" s="38"/>
      <c r="H23" s="30">
        <f t="shared" ref="H23:K23" si="18">(H22-C22)/C22</f>
        <v>0.47658079625292721</v>
      </c>
      <c r="I23" s="30">
        <f t="shared" si="18"/>
        <v>0.7373271889400923</v>
      </c>
      <c r="J23" s="30">
        <f t="shared" si="18"/>
        <v>0.55946225439503627</v>
      </c>
      <c r="K23" s="30">
        <f t="shared" si="18"/>
        <v>0.64267990074441705</v>
      </c>
      <c r="L23" s="43">
        <f>(L22-G22)/G22</f>
        <v>0.60257510729613739</v>
      </c>
      <c r="M23" s="30">
        <f t="shared" ref="M23:P23" si="19">(M22-H22)/H22</f>
        <v>0.37430610626486932</v>
      </c>
      <c r="N23" s="30">
        <f t="shared" si="19"/>
        <v>0.22214854111405835</v>
      </c>
      <c r="O23" s="30">
        <f t="shared" si="19"/>
        <v>8.8859416445623188E-2</v>
      </c>
      <c r="P23" s="30">
        <f t="shared" si="19"/>
        <v>6.4199395770392742E-2</v>
      </c>
      <c r="Q23" s="43">
        <f>(Q22-L22)/L22</f>
        <v>0.18318157471880003</v>
      </c>
      <c r="R23" s="30">
        <f t="shared" ref="R23" si="20">(R22-M22)/M22</f>
        <v>-0.209463358338142</v>
      </c>
      <c r="S23" s="30">
        <f>(S22-N22)/N22</f>
        <v>-8.681497558328935E-3</v>
      </c>
      <c r="T23" s="30">
        <f t="shared" ref="T23:U23" si="21">(T22-O22)/O22</f>
        <v>-1</v>
      </c>
      <c r="U23" s="30">
        <f t="shared" si="21"/>
        <v>-1</v>
      </c>
      <c r="V23" s="43">
        <f>(V22-Q22)/Q22</f>
        <v>-0.51757959861173986</v>
      </c>
    </row>
    <row r="24" spans="2:22" x14ac:dyDescent="0.25">
      <c r="B24" s="2" t="s">
        <v>141</v>
      </c>
      <c r="C24" s="2">
        <v>5.8</v>
      </c>
      <c r="D24" s="2">
        <v>4.7</v>
      </c>
      <c r="E24" s="2">
        <v>5.7</v>
      </c>
      <c r="F24" s="2">
        <v>5</v>
      </c>
      <c r="G24" s="38">
        <f>SUM(C24:F24)</f>
        <v>21.2</v>
      </c>
      <c r="H24" s="2">
        <v>5</v>
      </c>
      <c r="I24" s="2">
        <v>7.6</v>
      </c>
      <c r="J24" s="2">
        <v>8.1999999999999993</v>
      </c>
      <c r="K24" s="2">
        <v>6.8</v>
      </c>
      <c r="L24" s="38">
        <f>SUM(H24:K24)</f>
        <v>27.599999999999998</v>
      </c>
      <c r="M24" s="2">
        <v>7.6</v>
      </c>
      <c r="N24" s="2">
        <v>6.1</v>
      </c>
      <c r="O24" s="2">
        <v>9.1999999999999993</v>
      </c>
      <c r="P24" s="2">
        <v>8</v>
      </c>
      <c r="Q24" s="38">
        <f>SUM(M24:P24)</f>
        <v>30.9</v>
      </c>
      <c r="R24" s="2">
        <v>6.3</v>
      </c>
      <c r="S24" s="2">
        <v>6.5</v>
      </c>
      <c r="V24" s="38">
        <f>SUM(R24:U24)</f>
        <v>12.8</v>
      </c>
    </row>
    <row r="25" spans="2:22" x14ac:dyDescent="0.25">
      <c r="B25" s="29" t="s">
        <v>144</v>
      </c>
      <c r="G25" s="38"/>
      <c r="H25" s="30">
        <f t="shared" ref="H25:K25" si="22">(H24-C24)/C24</f>
        <v>-0.13793103448275859</v>
      </c>
      <c r="I25" s="30">
        <f t="shared" si="22"/>
        <v>0.61702127659574457</v>
      </c>
      <c r="J25" s="30">
        <f t="shared" si="22"/>
        <v>0.43859649122806998</v>
      </c>
      <c r="K25" s="30">
        <f t="shared" si="22"/>
        <v>0.36</v>
      </c>
      <c r="L25" s="43">
        <f>(L24-G24)/G24</f>
        <v>0.30188679245283012</v>
      </c>
      <c r="M25" s="30">
        <f t="shared" ref="M25:P25" si="23">(M24-H24)/H24</f>
        <v>0.51999999999999991</v>
      </c>
      <c r="N25" s="30">
        <f t="shared" si="23"/>
        <v>-0.19736842105263158</v>
      </c>
      <c r="O25" s="30">
        <f t="shared" si="23"/>
        <v>0.12195121951219513</v>
      </c>
      <c r="P25" s="30">
        <f t="shared" si="23"/>
        <v>0.17647058823529416</v>
      </c>
      <c r="Q25" s="43">
        <f>(Q24-L24)/L24</f>
        <v>0.11956521739130438</v>
      </c>
      <c r="R25" s="30">
        <f t="shared" ref="R25" si="24">(R24-M24)/M24</f>
        <v>-0.17105263157894735</v>
      </c>
      <c r="S25" s="30">
        <f>(S24-N24)/N24</f>
        <v>6.5573770491803338E-2</v>
      </c>
      <c r="T25" s="30">
        <f t="shared" ref="T25:U25" si="25">(T24-O24)/O24</f>
        <v>-1</v>
      </c>
      <c r="U25" s="30">
        <f t="shared" si="25"/>
        <v>-1</v>
      </c>
      <c r="V25" s="43">
        <f>(V24-Q24)/Q24</f>
        <v>-0.58576051779935268</v>
      </c>
    </row>
    <row r="26" spans="2:22" x14ac:dyDescent="0.25">
      <c r="B26" s="2" t="s">
        <v>142</v>
      </c>
      <c r="C26" s="2">
        <v>4.3</v>
      </c>
      <c r="D26" s="2">
        <v>6.3</v>
      </c>
      <c r="E26" s="2">
        <v>4.4000000000000004</v>
      </c>
      <c r="F26" s="2">
        <v>4.5</v>
      </c>
      <c r="G26" s="38">
        <f>SUM(C26:F26)</f>
        <v>19.5</v>
      </c>
      <c r="H26" s="2">
        <v>4.5999999999999996</v>
      </c>
      <c r="I26" s="2">
        <v>6.9</v>
      </c>
      <c r="J26" s="2">
        <v>7.1</v>
      </c>
      <c r="K26" s="2">
        <v>5.5</v>
      </c>
      <c r="L26" s="38">
        <f>SUM(H26:K26)</f>
        <v>24.1</v>
      </c>
      <c r="M26" s="2">
        <v>6.5</v>
      </c>
      <c r="N26" s="2">
        <v>4.2</v>
      </c>
      <c r="O26" s="2">
        <v>5</v>
      </c>
      <c r="P26" s="2">
        <v>6.2</v>
      </c>
      <c r="Q26" s="38">
        <f>SUM(M26:P26)</f>
        <v>21.9</v>
      </c>
      <c r="R26" s="2">
        <v>29.5</v>
      </c>
      <c r="S26" s="2">
        <v>38</v>
      </c>
      <c r="V26" s="38">
        <f>SUM(R26:U26)</f>
        <v>67.5</v>
      </c>
    </row>
    <row r="27" spans="2:22" x14ac:dyDescent="0.25">
      <c r="B27" s="29" t="s">
        <v>144</v>
      </c>
      <c r="G27" s="38"/>
      <c r="H27" s="30">
        <f t="shared" ref="H27:K27" si="26">(H26-C26)/C26</f>
        <v>6.9767441860465074E-2</v>
      </c>
      <c r="I27" s="30">
        <f t="shared" si="26"/>
        <v>9.523809523809533E-2</v>
      </c>
      <c r="J27" s="30">
        <f t="shared" si="26"/>
        <v>0.61363636363636342</v>
      </c>
      <c r="K27" s="30">
        <f t="shared" si="26"/>
        <v>0.22222222222222221</v>
      </c>
      <c r="L27" s="43">
        <f>(L26-G26)/G26</f>
        <v>0.23589743589743598</v>
      </c>
      <c r="M27" s="30">
        <f t="shared" ref="M27:P27" si="27">(M26-H26)/H26</f>
        <v>0.41304347826086968</v>
      </c>
      <c r="N27" s="30">
        <f t="shared" si="27"/>
        <v>-0.39130434782608697</v>
      </c>
      <c r="O27" s="30">
        <f t="shared" si="27"/>
        <v>-0.29577464788732388</v>
      </c>
      <c r="P27" s="30">
        <f t="shared" si="27"/>
        <v>0.12727272727272732</v>
      </c>
      <c r="Q27" s="43">
        <f>(Q26-L26)/L26</f>
        <v>-9.1286307053942015E-2</v>
      </c>
      <c r="R27" s="30">
        <f t="shared" ref="R27" si="28">(R26-M26)/M26</f>
        <v>3.5384615384615383</v>
      </c>
      <c r="S27" s="30">
        <f>(S26-N26)/N26</f>
        <v>8.0476190476190474</v>
      </c>
      <c r="T27" s="30">
        <f t="shared" ref="T27:U27" si="29">(T26-O26)/O26</f>
        <v>-1</v>
      </c>
      <c r="U27" s="30">
        <f t="shared" si="29"/>
        <v>-1</v>
      </c>
      <c r="V27" s="43">
        <f>(V26-Q26)/Q26</f>
        <v>2.0821917808219181</v>
      </c>
    </row>
    <row r="28" spans="2:22" x14ac:dyDescent="0.25">
      <c r="B28" s="31" t="s">
        <v>151</v>
      </c>
      <c r="C28" s="31">
        <f t="shared" ref="C28:R28" si="30">C12+C14+C16+C18+C20+C22+C24+C26</f>
        <v>551.99999999999989</v>
      </c>
      <c r="D28" s="31">
        <f t="shared" si="30"/>
        <v>574.5</v>
      </c>
      <c r="E28" s="31">
        <f t="shared" si="30"/>
        <v>549.1</v>
      </c>
      <c r="F28" s="31">
        <f t="shared" si="30"/>
        <v>558.6</v>
      </c>
      <c r="G28" s="42"/>
      <c r="H28" s="31">
        <f t="shared" si="30"/>
        <v>710.7</v>
      </c>
      <c r="I28" s="31">
        <f t="shared" si="30"/>
        <v>820.5</v>
      </c>
      <c r="J28" s="31">
        <f t="shared" si="30"/>
        <v>835.70000000000016</v>
      </c>
      <c r="K28" s="31">
        <f t="shared" si="30"/>
        <v>794.9</v>
      </c>
      <c r="L28" s="45"/>
      <c r="M28" s="31">
        <f t="shared" si="30"/>
        <v>854.99999999999989</v>
      </c>
      <c r="N28" s="31">
        <f t="shared" si="30"/>
        <v>847.50000000000011</v>
      </c>
      <c r="O28" s="31">
        <f t="shared" si="30"/>
        <v>706.40000000000009</v>
      </c>
      <c r="P28" s="31">
        <f t="shared" si="30"/>
        <v>635.80000000000007</v>
      </c>
      <c r="Q28" s="42"/>
      <c r="R28" s="31">
        <f t="shared" si="30"/>
        <v>703.5</v>
      </c>
      <c r="S28" s="31">
        <f>S12+S14+S16+S18+S20+S22+S24+S26</f>
        <v>731.8</v>
      </c>
      <c r="T28" s="31">
        <f t="shared" ref="T28:U28" si="31">T12+T14+T16+T18+T20+T22+T24+T26</f>
        <v>0</v>
      </c>
      <c r="U28" s="31">
        <f t="shared" si="31"/>
        <v>0</v>
      </c>
      <c r="V28" s="45"/>
    </row>
    <row r="30" spans="2:22" x14ac:dyDescent="0.25">
      <c r="B30" s="29"/>
      <c r="V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1054-77A7-4E46-B3E8-C8F9BB93DDDE}">
  <dimension ref="B3:V32"/>
  <sheetViews>
    <sheetView showGridLines="0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W18" sqref="W18"/>
    </sheetView>
  </sheetViews>
  <sheetFormatPr baseColWidth="10" defaultRowHeight="16" x14ac:dyDescent="0.2"/>
  <cols>
    <col min="2" max="2" width="24.6640625" customWidth="1"/>
  </cols>
  <sheetData>
    <row r="3" spans="2:22" ht="19" x14ac:dyDescent="0.25">
      <c r="B3" s="2" t="s">
        <v>38</v>
      </c>
      <c r="C3" s="7" t="s">
        <v>3</v>
      </c>
      <c r="D3" s="7" t="s">
        <v>4</v>
      </c>
      <c r="E3" s="7" t="s">
        <v>5</v>
      </c>
      <c r="F3" s="7" t="s">
        <v>6</v>
      </c>
      <c r="G3" s="36">
        <v>2022</v>
      </c>
      <c r="H3" s="7" t="s">
        <v>7</v>
      </c>
      <c r="I3" s="7" t="s">
        <v>8</v>
      </c>
      <c r="J3" s="7" t="s">
        <v>9</v>
      </c>
      <c r="K3" s="7" t="s">
        <v>10</v>
      </c>
      <c r="L3" s="36">
        <v>2023</v>
      </c>
      <c r="M3" s="7" t="s">
        <v>11</v>
      </c>
      <c r="N3" s="7" t="s">
        <v>12</v>
      </c>
      <c r="O3" s="7" t="s">
        <v>13</v>
      </c>
      <c r="P3" s="7" t="s">
        <v>14</v>
      </c>
      <c r="Q3" s="36">
        <v>2024</v>
      </c>
      <c r="R3" s="7" t="s">
        <v>37</v>
      </c>
      <c r="S3" s="7" t="s">
        <v>31</v>
      </c>
      <c r="T3" s="7" t="s">
        <v>35</v>
      </c>
      <c r="U3" s="7" t="s">
        <v>36</v>
      </c>
      <c r="V3" s="38">
        <v>2025</v>
      </c>
    </row>
    <row r="4" spans="2:22" ht="19" x14ac:dyDescent="0.25">
      <c r="B4" s="1" t="s">
        <v>151</v>
      </c>
      <c r="C4" s="2"/>
      <c r="D4" s="2"/>
      <c r="E4" s="2"/>
      <c r="F4" s="2"/>
      <c r="G4" s="37"/>
      <c r="H4" s="2"/>
      <c r="I4" s="2"/>
      <c r="J4" s="2"/>
      <c r="K4" s="2"/>
      <c r="L4" s="37"/>
      <c r="M4" s="2"/>
      <c r="N4" s="2"/>
      <c r="O4" s="2"/>
      <c r="P4" s="2"/>
      <c r="Q4" s="37"/>
      <c r="R4" s="2"/>
      <c r="S4" s="2"/>
      <c r="T4" s="2"/>
      <c r="U4" s="2"/>
      <c r="V4" s="37"/>
    </row>
    <row r="5" spans="2:22" ht="19" x14ac:dyDescent="0.25">
      <c r="B5" s="2" t="s">
        <v>145</v>
      </c>
      <c r="C5" s="2">
        <v>168.9</v>
      </c>
      <c r="D5" s="2">
        <v>178.3</v>
      </c>
      <c r="E5" s="2">
        <v>180</v>
      </c>
      <c r="F5" s="2">
        <v>189.5</v>
      </c>
      <c r="G5" s="38">
        <f>SUM(C5:F5)</f>
        <v>716.7</v>
      </c>
      <c r="H5" s="2">
        <v>193.4</v>
      </c>
      <c r="I5" s="2">
        <v>191.9</v>
      </c>
      <c r="J5" s="2">
        <v>222.4</v>
      </c>
      <c r="K5" s="2">
        <v>242.7</v>
      </c>
      <c r="L5" s="38">
        <f>SUM(H5:K5)</f>
        <v>850.40000000000009</v>
      </c>
      <c r="M5" s="2">
        <v>241.7</v>
      </c>
      <c r="N5" s="2">
        <v>255.8</v>
      </c>
      <c r="O5" s="2">
        <v>225.9</v>
      </c>
      <c r="P5" s="2">
        <v>273.89999999999998</v>
      </c>
      <c r="Q5" s="38">
        <f>SUM(M5:P5)</f>
        <v>997.3</v>
      </c>
      <c r="R5" s="2">
        <v>214.5</v>
      </c>
      <c r="S5" s="2">
        <v>230.9</v>
      </c>
      <c r="T5" s="2"/>
      <c r="U5" s="2"/>
      <c r="V5" s="38">
        <f>SUM(R5:U5)</f>
        <v>445.4</v>
      </c>
    </row>
    <row r="6" spans="2:22" x14ac:dyDescent="0.2">
      <c r="B6" s="29" t="s">
        <v>144</v>
      </c>
      <c r="C6" s="29"/>
      <c r="D6" s="29"/>
      <c r="E6" s="29"/>
      <c r="F6" s="29"/>
      <c r="G6" s="39"/>
      <c r="H6" s="30">
        <f t="shared" ref="H6:V6" si="0">(H5-C5)/C5</f>
        <v>0.14505624629958555</v>
      </c>
      <c r="I6" s="30">
        <f t="shared" si="0"/>
        <v>7.6275939427930414E-2</v>
      </c>
      <c r="J6" s="30">
        <f t="shared" si="0"/>
        <v>0.23555555555555557</v>
      </c>
      <c r="K6" s="30">
        <f t="shared" si="0"/>
        <v>0.28073878627968329</v>
      </c>
      <c r="L6" s="43">
        <f t="shared" si="0"/>
        <v>0.18654946281568305</v>
      </c>
      <c r="M6" s="30">
        <f t="shared" si="0"/>
        <v>0.24974146845915193</v>
      </c>
      <c r="N6" s="30">
        <f t="shared" si="0"/>
        <v>0.33298593017196459</v>
      </c>
      <c r="O6" s="30">
        <f t="shared" si="0"/>
        <v>1.5737410071942445E-2</v>
      </c>
      <c r="P6" s="30">
        <f t="shared" si="0"/>
        <v>0.12855377008652655</v>
      </c>
      <c r="Q6" s="43">
        <f t="shared" si="0"/>
        <v>0.172742238946378</v>
      </c>
      <c r="R6" s="30">
        <f t="shared" si="0"/>
        <v>-0.11253620190318572</v>
      </c>
      <c r="S6" s="30">
        <f t="shared" si="0"/>
        <v>-9.7341673182173585E-2</v>
      </c>
      <c r="T6" s="30">
        <f t="shared" si="0"/>
        <v>-1</v>
      </c>
      <c r="U6" s="30">
        <f t="shared" si="0"/>
        <v>-1</v>
      </c>
      <c r="V6" s="43">
        <f t="shared" si="0"/>
        <v>-0.55339416424345733</v>
      </c>
    </row>
    <row r="7" spans="2:22" ht="19" x14ac:dyDescent="0.25">
      <c r="B7" s="2" t="s">
        <v>146</v>
      </c>
      <c r="C7" s="2">
        <v>31.3</v>
      </c>
      <c r="D7" s="2">
        <v>29.6</v>
      </c>
      <c r="E7" s="2">
        <v>24.8</v>
      </c>
      <c r="F7" s="2">
        <v>44.1</v>
      </c>
      <c r="G7" s="38">
        <f>SUM(C7:F7)</f>
        <v>129.80000000000001</v>
      </c>
      <c r="H7" s="2">
        <v>27.6</v>
      </c>
      <c r="I7" s="2">
        <v>36.200000000000003</v>
      </c>
      <c r="J7" s="2">
        <v>45</v>
      </c>
      <c r="K7" s="2">
        <v>38.200000000000003</v>
      </c>
      <c r="L7" s="38">
        <f>SUM(H7:K7)</f>
        <v>147</v>
      </c>
      <c r="M7" s="2">
        <v>39.5</v>
      </c>
      <c r="N7" s="2">
        <v>46</v>
      </c>
      <c r="O7" s="2">
        <v>32.200000000000003</v>
      </c>
      <c r="P7" s="2">
        <v>61.9</v>
      </c>
      <c r="Q7" s="38">
        <f>SUM(M7:P7)</f>
        <v>179.6</v>
      </c>
      <c r="R7" s="2">
        <v>21.2</v>
      </c>
      <c r="S7" s="2">
        <v>39.5</v>
      </c>
      <c r="T7" s="2"/>
      <c r="U7" s="2"/>
      <c r="V7" s="38">
        <f>SUM(R7:U7)</f>
        <v>60.7</v>
      </c>
    </row>
    <row r="8" spans="2:22" ht="19" x14ac:dyDescent="0.25">
      <c r="B8" s="2" t="s">
        <v>147</v>
      </c>
      <c r="C8" s="2">
        <v>27.2</v>
      </c>
      <c r="D8" s="2">
        <v>25.6</v>
      </c>
      <c r="E8" s="2">
        <v>21.2</v>
      </c>
      <c r="F8" s="2">
        <v>39.799999999999997</v>
      </c>
      <c r="G8" s="38">
        <f>SUM(C8:F8)</f>
        <v>113.8</v>
      </c>
      <c r="H8" s="2">
        <v>22.5</v>
      </c>
      <c r="I8" s="2">
        <v>31.3</v>
      </c>
      <c r="J8" s="2">
        <v>40</v>
      </c>
      <c r="K8" s="2">
        <v>31.6</v>
      </c>
      <c r="L8" s="38">
        <f>SUM(H8:K8)</f>
        <v>125.4</v>
      </c>
      <c r="M8" s="2">
        <v>35.299999999999997</v>
      </c>
      <c r="N8" s="2">
        <v>39.6</v>
      </c>
      <c r="O8" s="2">
        <v>27.1</v>
      </c>
      <c r="P8" s="2">
        <v>54.9</v>
      </c>
      <c r="Q8" s="38">
        <f>SUM(M8:P8)</f>
        <v>156.9</v>
      </c>
      <c r="R8" s="2">
        <v>13.8</v>
      </c>
      <c r="S8" s="2">
        <v>32.6</v>
      </c>
      <c r="T8" s="2"/>
      <c r="U8" s="2"/>
      <c r="V8" s="38">
        <f>SUM(R8:U8)</f>
        <v>46.400000000000006</v>
      </c>
    </row>
    <row r="9" spans="2:22" ht="19" x14ac:dyDescent="0.25">
      <c r="B9" s="10" t="s">
        <v>148</v>
      </c>
      <c r="C9" s="34">
        <v>0.161</v>
      </c>
      <c r="D9" s="34">
        <v>0.14399999999999999</v>
      </c>
      <c r="E9" s="34">
        <v>0.11799999999999999</v>
      </c>
      <c r="F9" s="34">
        <v>0.21</v>
      </c>
      <c r="G9" s="40">
        <f>G8/G5</f>
        <v>0.15878331240407423</v>
      </c>
      <c r="H9" s="34">
        <v>0.11600000000000001</v>
      </c>
      <c r="I9" s="34">
        <v>0.16300000000000001</v>
      </c>
      <c r="J9" s="34">
        <v>0.18</v>
      </c>
      <c r="K9" s="34">
        <v>0.13</v>
      </c>
      <c r="L9" s="40">
        <f>L8/L5</f>
        <v>0.14746001881467544</v>
      </c>
      <c r="M9" s="34">
        <v>0.14599999999999999</v>
      </c>
      <c r="N9" s="34">
        <v>0.155</v>
      </c>
      <c r="O9" s="34">
        <v>0.12</v>
      </c>
      <c r="P9" s="34">
        <v>0.2</v>
      </c>
      <c r="Q9" s="40">
        <f>Q8/Q5</f>
        <v>0.15732477689762359</v>
      </c>
      <c r="R9" s="34">
        <v>6.4000000000000001E-2</v>
      </c>
      <c r="S9" s="34">
        <v>0.14099999999999999</v>
      </c>
      <c r="T9" s="34"/>
      <c r="U9" s="34"/>
      <c r="V9" s="40">
        <f>V8/V5</f>
        <v>0.10417602155365965</v>
      </c>
    </row>
    <row r="10" spans="2:22" ht="19" x14ac:dyDescent="0.25">
      <c r="B10" s="2" t="s">
        <v>149</v>
      </c>
      <c r="C10" s="2">
        <v>25.8</v>
      </c>
      <c r="D10" s="2">
        <v>24.1</v>
      </c>
      <c r="E10" s="2">
        <v>20.5</v>
      </c>
      <c r="F10" s="2">
        <v>38.700000000000003</v>
      </c>
      <c r="G10" s="38">
        <f>SUM(C10:F10)</f>
        <v>109.10000000000001</v>
      </c>
      <c r="H10" s="2">
        <v>21.1</v>
      </c>
      <c r="I10" s="2">
        <v>29.9</v>
      </c>
      <c r="J10" s="2">
        <v>38.6</v>
      </c>
      <c r="K10" s="2">
        <v>30.1</v>
      </c>
      <c r="L10" s="38">
        <f>SUM(H10:K10)</f>
        <v>119.69999999999999</v>
      </c>
      <c r="M10" s="2">
        <v>34.200000000000003</v>
      </c>
      <c r="N10" s="2">
        <v>38.5</v>
      </c>
      <c r="O10" s="2">
        <v>26.1</v>
      </c>
      <c r="P10" s="2">
        <v>38.200000000000003</v>
      </c>
      <c r="Q10" s="38">
        <f>SUM(M10:P10)</f>
        <v>137</v>
      </c>
      <c r="R10" s="2">
        <v>9</v>
      </c>
      <c r="S10" s="2">
        <v>28.1</v>
      </c>
      <c r="T10" s="2"/>
      <c r="U10" s="2"/>
      <c r="V10" s="38">
        <f>SUM(R10:U10)</f>
        <v>37.1</v>
      </c>
    </row>
    <row r="11" spans="2:22" ht="19" x14ac:dyDescent="0.25">
      <c r="B11" s="32" t="s">
        <v>44</v>
      </c>
      <c r="C11" s="33">
        <v>0.153</v>
      </c>
      <c r="D11" s="33">
        <v>0.13500000000000001</v>
      </c>
      <c r="E11" s="33">
        <v>0.114</v>
      </c>
      <c r="F11" s="33">
        <v>0.20399999999999999</v>
      </c>
      <c r="G11" s="41">
        <f>G10/G5</f>
        <v>0.15222547788474955</v>
      </c>
      <c r="H11" s="33">
        <v>0.109</v>
      </c>
      <c r="I11" s="33">
        <v>0.156</v>
      </c>
      <c r="J11" s="33">
        <v>0.17299999999999999</v>
      </c>
      <c r="K11" s="33">
        <v>0.124</v>
      </c>
      <c r="L11" s="41">
        <f>L10/L5</f>
        <v>0.14075729068673562</v>
      </c>
      <c r="M11" s="33">
        <v>0.14099999999999999</v>
      </c>
      <c r="N11" s="33">
        <v>0.15</v>
      </c>
      <c r="O11" s="33">
        <v>0.115</v>
      </c>
      <c r="P11" s="33">
        <v>0.14000000000000001</v>
      </c>
      <c r="Q11" s="41">
        <f>Q10/Q5</f>
        <v>0.13737090143387146</v>
      </c>
      <c r="R11" s="33">
        <v>4.2000000000000003E-2</v>
      </c>
      <c r="S11" s="33">
        <v>0.122</v>
      </c>
      <c r="T11" s="33"/>
      <c r="U11" s="33"/>
      <c r="V11" s="41">
        <f>V10/V5</f>
        <v>8.3295913785361483E-2</v>
      </c>
    </row>
    <row r="12" spans="2:22" ht="19" x14ac:dyDescent="0.25">
      <c r="B12" s="2" t="s">
        <v>133</v>
      </c>
      <c r="C12" s="2">
        <v>0.9</v>
      </c>
      <c r="D12" s="2">
        <v>1.2</v>
      </c>
      <c r="E12" s="2">
        <v>1.1000000000000001</v>
      </c>
      <c r="F12" s="2">
        <v>0.9</v>
      </c>
      <c r="G12" s="38">
        <f>SUM(C12:F12)</f>
        <v>4.1000000000000005</v>
      </c>
      <c r="H12" s="2">
        <v>1</v>
      </c>
      <c r="I12" s="2">
        <v>1</v>
      </c>
      <c r="J12" s="2">
        <v>0.8</v>
      </c>
      <c r="K12" s="2">
        <v>1.3</v>
      </c>
      <c r="L12" s="38">
        <f>SUM(H12:K12)</f>
        <v>4.0999999999999996</v>
      </c>
      <c r="M12" s="2">
        <v>1.1000000000000001</v>
      </c>
      <c r="N12" s="2">
        <v>1.1000000000000001</v>
      </c>
      <c r="O12" s="2">
        <v>1.2</v>
      </c>
      <c r="P12" s="2">
        <v>1.5</v>
      </c>
      <c r="Q12" s="38">
        <f>SUM(M12:P12)</f>
        <v>4.9000000000000004</v>
      </c>
      <c r="R12" s="2">
        <v>1.3</v>
      </c>
      <c r="S12" s="2">
        <v>1.7</v>
      </c>
      <c r="T12" s="2"/>
      <c r="U12" s="2"/>
      <c r="V12" s="38">
        <f>SUM(R12:U12)</f>
        <v>3</v>
      </c>
    </row>
    <row r="13" spans="2:22" x14ac:dyDescent="0.2">
      <c r="B13" s="29" t="s">
        <v>144</v>
      </c>
      <c r="C13" s="29"/>
      <c r="D13" s="29"/>
      <c r="E13" s="29"/>
      <c r="F13" s="29"/>
      <c r="G13" s="39"/>
      <c r="H13" s="30">
        <f>(H12-C12)/C12</f>
        <v>0.11111111111111108</v>
      </c>
      <c r="I13" s="30">
        <f>(I12-D12)/D12</f>
        <v>-0.16666666666666663</v>
      </c>
      <c r="J13" s="30">
        <f>(J12-E12)/E12</f>
        <v>-0.27272727272727276</v>
      </c>
      <c r="K13" s="30">
        <f>(K12-F12)/F12</f>
        <v>0.44444444444444448</v>
      </c>
      <c r="L13" s="43">
        <f t="shared" ref="L13" si="1">(L12-G12)/G12</f>
        <v>-2.1662888285368905E-16</v>
      </c>
      <c r="M13" s="30">
        <f>(M12-H12)/H12</f>
        <v>0.10000000000000009</v>
      </c>
      <c r="N13" s="30">
        <f>(N12-I12)/I12</f>
        <v>0.10000000000000009</v>
      </c>
      <c r="O13" s="30">
        <f>(O12-J12)/J12</f>
        <v>0.49999999999999989</v>
      </c>
      <c r="P13" s="30">
        <f>(P12-K12)/K12</f>
        <v>0.1538461538461538</v>
      </c>
      <c r="Q13" s="43">
        <f t="shared" ref="Q13" si="2">(Q12-L12)/L12</f>
        <v>0.1951219512195124</v>
      </c>
      <c r="R13" s="30">
        <f>(R12-M12)/M12</f>
        <v>0.18181818181818177</v>
      </c>
      <c r="S13" s="30">
        <f>(S12-N12)/N12</f>
        <v>0.5454545454545453</v>
      </c>
      <c r="T13" s="30">
        <f>(T12-O12)/O12</f>
        <v>-1</v>
      </c>
      <c r="U13" s="30">
        <f>(U12-P12)/P12</f>
        <v>-1</v>
      </c>
      <c r="V13" s="43">
        <f t="shared" ref="V13" si="3">(V12-Q12)/Q12</f>
        <v>-0.38775510204081637</v>
      </c>
    </row>
    <row r="14" spans="2:22" ht="19" x14ac:dyDescent="0.25">
      <c r="B14" s="2" t="s">
        <v>134</v>
      </c>
      <c r="C14" s="2">
        <v>0.7</v>
      </c>
      <c r="D14" s="2">
        <v>0.7</v>
      </c>
      <c r="E14" s="2">
        <v>0.9</v>
      </c>
      <c r="F14" s="2">
        <v>0.9</v>
      </c>
      <c r="G14" s="38">
        <f>SUM(C14:F14)</f>
        <v>3.1999999999999997</v>
      </c>
      <c r="H14" s="2">
        <v>1.5</v>
      </c>
      <c r="I14" s="2">
        <v>0.8</v>
      </c>
      <c r="J14" s="2">
        <v>1.1000000000000001</v>
      </c>
      <c r="K14" s="2">
        <v>1.3</v>
      </c>
      <c r="L14" s="38">
        <f>SUM(H14:K14)</f>
        <v>4.7</v>
      </c>
      <c r="M14" s="2">
        <v>1.3</v>
      </c>
      <c r="N14" s="2">
        <v>0.9</v>
      </c>
      <c r="O14" s="2">
        <v>1.3</v>
      </c>
      <c r="P14" s="2">
        <v>1</v>
      </c>
      <c r="Q14" s="38">
        <f>SUM(M14:P14)</f>
        <v>4.5</v>
      </c>
      <c r="R14" s="2">
        <v>0.9</v>
      </c>
      <c r="S14" s="2">
        <v>0.2</v>
      </c>
      <c r="T14" s="2"/>
      <c r="U14" s="2"/>
      <c r="V14" s="38">
        <f>SUM(R14:U14)</f>
        <v>1.1000000000000001</v>
      </c>
    </row>
    <row r="15" spans="2:22" x14ac:dyDescent="0.2">
      <c r="B15" s="29" t="s">
        <v>144</v>
      </c>
      <c r="C15" s="29"/>
      <c r="D15" s="29"/>
      <c r="E15" s="29"/>
      <c r="F15" s="29"/>
      <c r="G15" s="39"/>
      <c r="H15" s="30">
        <f>(H14-C14)/C14</f>
        <v>1.142857142857143</v>
      </c>
      <c r="I15" s="30">
        <f>(I14-D14)/D14</f>
        <v>0.14285714285714299</v>
      </c>
      <c r="J15" s="30">
        <f>(J14-E14)/E14</f>
        <v>0.22222222222222229</v>
      </c>
      <c r="K15" s="30">
        <f>(K14-F14)/F14</f>
        <v>0.44444444444444448</v>
      </c>
      <c r="L15" s="43">
        <f t="shared" ref="L15" si="4">(L14-G14)/G14</f>
        <v>0.46875000000000017</v>
      </c>
      <c r="M15" s="30">
        <f>(M14-H14)/H14</f>
        <v>-0.1333333333333333</v>
      </c>
      <c r="N15" s="30">
        <f>(N14-I14)/I14</f>
        <v>0.12499999999999997</v>
      </c>
      <c r="O15" s="30">
        <f>(O14-J14)/J14</f>
        <v>0.18181818181818177</v>
      </c>
      <c r="P15" s="30">
        <f>(P14-K14)/K14</f>
        <v>-0.23076923076923078</v>
      </c>
      <c r="Q15" s="43">
        <f t="shared" ref="Q15" si="5">(Q14-L14)/L14</f>
        <v>-4.2553191489361736E-2</v>
      </c>
      <c r="R15" s="30">
        <f>(R14-M14)/M14</f>
        <v>-0.30769230769230771</v>
      </c>
      <c r="S15" s="30">
        <f>(S14-N14)/N14</f>
        <v>-0.77777777777777768</v>
      </c>
      <c r="T15" s="30">
        <f>(T14-O14)/O14</f>
        <v>-1</v>
      </c>
      <c r="U15" s="30">
        <f>(U14-P14)/P14</f>
        <v>-1</v>
      </c>
      <c r="V15" s="43">
        <f t="shared" ref="V15" si="6">(V14-Q14)/Q14</f>
        <v>-0.75555555555555554</v>
      </c>
    </row>
    <row r="16" spans="2:22" ht="19" x14ac:dyDescent="0.25">
      <c r="B16" s="2" t="s">
        <v>135</v>
      </c>
      <c r="C16" s="2">
        <v>50.7</v>
      </c>
      <c r="D16" s="2">
        <v>46.6</v>
      </c>
      <c r="E16" s="2">
        <v>46.3</v>
      </c>
      <c r="F16" s="2">
        <v>46.5</v>
      </c>
      <c r="G16" s="38">
        <f>SUM(C16:F16)</f>
        <v>190.10000000000002</v>
      </c>
      <c r="H16" s="2">
        <v>51.8</v>
      </c>
      <c r="I16" s="2">
        <v>49.3</v>
      </c>
      <c r="J16" s="2">
        <v>48.8</v>
      </c>
      <c r="K16" s="2">
        <v>49.2</v>
      </c>
      <c r="L16" s="38">
        <f>SUM(H16:K16)</f>
        <v>199.09999999999997</v>
      </c>
      <c r="M16" s="2">
        <v>55.9</v>
      </c>
      <c r="N16" s="2">
        <v>48.7</v>
      </c>
      <c r="O16" s="2">
        <v>42.5</v>
      </c>
      <c r="P16" s="2">
        <v>52.7</v>
      </c>
      <c r="Q16" s="38">
        <f>SUM(M16:P16)</f>
        <v>199.8</v>
      </c>
      <c r="R16" s="2">
        <v>46.4</v>
      </c>
      <c r="S16" s="2">
        <v>43.4</v>
      </c>
      <c r="T16" s="2"/>
      <c r="U16" s="2"/>
      <c r="V16" s="38">
        <f>SUM(R16:U16)</f>
        <v>89.8</v>
      </c>
    </row>
    <row r="17" spans="2:22" x14ac:dyDescent="0.2">
      <c r="B17" s="29" t="s">
        <v>144</v>
      </c>
      <c r="C17" s="29"/>
      <c r="D17" s="29"/>
      <c r="E17" s="29"/>
      <c r="F17" s="29"/>
      <c r="G17" s="39"/>
      <c r="H17" s="30">
        <f t="shared" ref="H17:L17" si="7">(H16-C16)/C16</f>
        <v>2.169625246548312E-2</v>
      </c>
      <c r="I17" s="30">
        <f t="shared" si="7"/>
        <v>5.7939914163090037E-2</v>
      </c>
      <c r="J17" s="30">
        <f t="shared" si="7"/>
        <v>5.399568034557236E-2</v>
      </c>
      <c r="K17" s="30">
        <f t="shared" si="7"/>
        <v>5.8064516129032316E-2</v>
      </c>
      <c r="L17" s="43">
        <f t="shared" si="7"/>
        <v>4.7343503419252718E-2</v>
      </c>
      <c r="M17" s="30">
        <f t="shared" ref="M17:Q17" si="8">(M16-H16)/H16</f>
        <v>7.9150579150579187E-2</v>
      </c>
      <c r="N17" s="30">
        <f t="shared" si="8"/>
        <v>-1.2170385395537411E-2</v>
      </c>
      <c r="O17" s="30">
        <f t="shared" si="8"/>
        <v>-0.12909836065573765</v>
      </c>
      <c r="P17" s="30">
        <f t="shared" si="8"/>
        <v>7.113821138211382E-2</v>
      </c>
      <c r="Q17" s="43">
        <f t="shared" si="8"/>
        <v>3.5158211953794354E-3</v>
      </c>
      <c r="R17" s="30">
        <f t="shared" ref="R17" si="9">(R16-M16)/M16</f>
        <v>-0.16994633273703041</v>
      </c>
      <c r="S17" s="30">
        <f>(S16-N16)/N16</f>
        <v>-0.10882956878850111</v>
      </c>
      <c r="T17" s="30">
        <f t="shared" ref="T17:V17" si="10">(T16-O16)/O16</f>
        <v>-1</v>
      </c>
      <c r="U17" s="30">
        <f t="shared" si="10"/>
        <v>-1</v>
      </c>
      <c r="V17" s="43">
        <f t="shared" si="10"/>
        <v>-0.55055055055055058</v>
      </c>
    </row>
    <row r="18" spans="2:22" ht="19" x14ac:dyDescent="0.25">
      <c r="B18" s="2" t="s">
        <v>136</v>
      </c>
      <c r="C18" s="2">
        <v>17.7</v>
      </c>
      <c r="D18" s="2">
        <v>19.100000000000001</v>
      </c>
      <c r="E18" s="2">
        <v>17.7</v>
      </c>
      <c r="F18" s="2">
        <v>27.8</v>
      </c>
      <c r="G18" s="38">
        <f>SUM(C18:F18)</f>
        <v>82.3</v>
      </c>
      <c r="H18" s="2">
        <v>21.9</v>
      </c>
      <c r="I18" s="2">
        <v>24.7</v>
      </c>
      <c r="J18" s="2">
        <v>38.4</v>
      </c>
      <c r="K18" s="2">
        <v>46.5</v>
      </c>
      <c r="L18" s="38">
        <f>SUM(H18:K18)</f>
        <v>131.5</v>
      </c>
      <c r="M18" s="2">
        <v>33.9</v>
      </c>
      <c r="N18" s="2">
        <v>43.9</v>
      </c>
      <c r="O18" s="2">
        <v>17.399999999999999</v>
      </c>
      <c r="P18" s="2">
        <v>36.799999999999997</v>
      </c>
      <c r="Q18" s="38">
        <f>SUM(M18:P18)</f>
        <v>132</v>
      </c>
      <c r="R18" s="2">
        <v>21.8</v>
      </c>
      <c r="S18" s="2">
        <v>26.9</v>
      </c>
      <c r="T18" s="2"/>
      <c r="U18" s="2"/>
      <c r="V18" s="38">
        <f>SUM(R18:U18)</f>
        <v>48.7</v>
      </c>
    </row>
    <row r="19" spans="2:22" x14ac:dyDescent="0.2">
      <c r="B19" s="29" t="s">
        <v>144</v>
      </c>
      <c r="C19" s="29"/>
      <c r="D19" s="29"/>
      <c r="E19" s="29"/>
      <c r="F19" s="29"/>
      <c r="G19" s="39"/>
      <c r="H19" s="30">
        <f t="shared" ref="H19:L19" si="11">(H18-C18)/C18</f>
        <v>0.23728813559322032</v>
      </c>
      <c r="I19" s="30">
        <f t="shared" si="11"/>
        <v>0.29319371727748678</v>
      </c>
      <c r="J19" s="30">
        <f t="shared" si="11"/>
        <v>1.1694915254237288</v>
      </c>
      <c r="K19" s="30">
        <f t="shared" si="11"/>
        <v>0.67266187050359705</v>
      </c>
      <c r="L19" s="43">
        <f t="shared" si="11"/>
        <v>0.59781287970838404</v>
      </c>
      <c r="M19" s="30">
        <f t="shared" ref="M19:Q19" si="12">(M18-H18)/H18</f>
        <v>0.54794520547945214</v>
      </c>
      <c r="N19" s="30">
        <f t="shared" si="12"/>
        <v>0.77732793522267207</v>
      </c>
      <c r="O19" s="30">
        <f t="shared" si="12"/>
        <v>-0.546875</v>
      </c>
      <c r="P19" s="30">
        <f t="shared" si="12"/>
        <v>-0.20860215053763448</v>
      </c>
      <c r="Q19" s="43">
        <f t="shared" si="12"/>
        <v>3.8022813688212928E-3</v>
      </c>
      <c r="R19" s="30">
        <f t="shared" ref="R19" si="13">(R18-M18)/M18</f>
        <v>-0.35693215339233031</v>
      </c>
      <c r="S19" s="30">
        <f>(S18-N18)/N18</f>
        <v>-0.38724373576309795</v>
      </c>
      <c r="T19" s="30">
        <f t="shared" ref="T19:V19" si="14">(T18-O18)/O18</f>
        <v>-1</v>
      </c>
      <c r="U19" s="30">
        <f t="shared" si="14"/>
        <v>-1</v>
      </c>
      <c r="V19" s="43">
        <f t="shared" si="14"/>
        <v>-0.63106060606060599</v>
      </c>
    </row>
    <row r="20" spans="2:22" ht="19" x14ac:dyDescent="0.25">
      <c r="B20" s="2" t="s">
        <v>137</v>
      </c>
      <c r="C20" s="2">
        <v>49.9</v>
      </c>
      <c r="D20" s="2">
        <v>47.9</v>
      </c>
      <c r="E20" s="2">
        <v>48.6</v>
      </c>
      <c r="F20" s="2">
        <v>42</v>
      </c>
      <c r="G20" s="38">
        <f>SUM(C20:F20)</f>
        <v>188.4</v>
      </c>
      <c r="H20" s="2">
        <v>53.2</v>
      </c>
      <c r="I20" s="2">
        <v>48.9</v>
      </c>
      <c r="J20" s="2">
        <v>51.8</v>
      </c>
      <c r="K20" s="2">
        <v>49</v>
      </c>
      <c r="L20" s="38">
        <f>SUM(H20:K20)</f>
        <v>202.89999999999998</v>
      </c>
      <c r="M20" s="2">
        <v>48.6</v>
      </c>
      <c r="N20" s="2">
        <v>51.7</v>
      </c>
      <c r="O20" s="2">
        <v>51.5</v>
      </c>
      <c r="P20" s="2">
        <v>70.5</v>
      </c>
      <c r="Q20" s="38">
        <f>SUM(M20:P20)</f>
        <v>222.3</v>
      </c>
      <c r="R20" s="2">
        <v>48.4</v>
      </c>
      <c r="S20" s="2">
        <v>57.6</v>
      </c>
      <c r="T20" s="2"/>
      <c r="U20" s="2"/>
      <c r="V20" s="38">
        <f>SUM(R20:U20)</f>
        <v>106</v>
      </c>
    </row>
    <row r="21" spans="2:22" x14ac:dyDescent="0.2">
      <c r="B21" s="29" t="s">
        <v>144</v>
      </c>
      <c r="C21" s="29"/>
      <c r="D21" s="29"/>
      <c r="E21" s="29"/>
      <c r="F21" s="29"/>
      <c r="G21" s="39"/>
      <c r="H21" s="30">
        <f t="shared" ref="H21:L21" si="15">(H20-C20)/C20</f>
        <v>6.613226452905821E-2</v>
      </c>
      <c r="I21" s="30">
        <f t="shared" si="15"/>
        <v>2.0876826722338204E-2</v>
      </c>
      <c r="J21" s="30">
        <f t="shared" si="15"/>
        <v>6.5843621399176863E-2</v>
      </c>
      <c r="K21" s="30">
        <f t="shared" si="15"/>
        <v>0.16666666666666666</v>
      </c>
      <c r="L21" s="43">
        <f t="shared" si="15"/>
        <v>7.6963906581740821E-2</v>
      </c>
      <c r="M21" s="30">
        <f t="shared" ref="M21:Q21" si="16">(M20-H20)/H20</f>
        <v>-8.6466165413533858E-2</v>
      </c>
      <c r="N21" s="30">
        <f t="shared" si="16"/>
        <v>5.7259713701431583E-2</v>
      </c>
      <c r="O21" s="30">
        <f t="shared" si="16"/>
        <v>-5.7915057915057366E-3</v>
      </c>
      <c r="P21" s="30">
        <f t="shared" si="16"/>
        <v>0.43877551020408162</v>
      </c>
      <c r="Q21" s="43">
        <f t="shared" si="16"/>
        <v>9.5613602759980459E-2</v>
      </c>
      <c r="R21" s="30">
        <f t="shared" ref="R21" si="17">(R20-M20)/M20</f>
        <v>-4.1152263374486181E-3</v>
      </c>
      <c r="S21" s="30">
        <f>(S20-N20)/N20</f>
        <v>0.11411992263056089</v>
      </c>
      <c r="T21" s="30">
        <f t="shared" ref="T21:V21" si="18">(T20-O20)/O20</f>
        <v>-1</v>
      </c>
      <c r="U21" s="30">
        <f t="shared" si="18"/>
        <v>-1</v>
      </c>
      <c r="V21" s="43">
        <f t="shared" si="18"/>
        <v>-0.52316689158794427</v>
      </c>
    </row>
    <row r="22" spans="2:22" ht="19" x14ac:dyDescent="0.25">
      <c r="B22" s="2" t="s">
        <v>138</v>
      </c>
      <c r="C22" s="2">
        <v>1.4</v>
      </c>
      <c r="D22" s="2">
        <v>1.1000000000000001</v>
      </c>
      <c r="E22" s="2">
        <v>1.3</v>
      </c>
      <c r="F22" s="2">
        <v>1.9</v>
      </c>
      <c r="G22" s="38">
        <f>SUM(C22:F22)</f>
        <v>5.6999999999999993</v>
      </c>
      <c r="H22" s="2">
        <v>2.7</v>
      </c>
      <c r="I22" s="2">
        <v>2.2000000000000002</v>
      </c>
      <c r="J22" s="2">
        <v>2.2999999999999998</v>
      </c>
      <c r="K22" s="2">
        <v>2.2999999999999998</v>
      </c>
      <c r="L22" s="38">
        <f>SUM(H22:K22)</f>
        <v>9.5</v>
      </c>
      <c r="M22" s="2">
        <v>1.4</v>
      </c>
      <c r="N22" s="2">
        <v>1.8</v>
      </c>
      <c r="O22" s="2">
        <v>2.2000000000000002</v>
      </c>
      <c r="P22" s="2">
        <v>2.4</v>
      </c>
      <c r="Q22" s="38">
        <f>SUM(M22:P22)</f>
        <v>7.8000000000000007</v>
      </c>
      <c r="R22" s="2">
        <v>2.2999999999999998</v>
      </c>
      <c r="S22" s="2">
        <v>2.8</v>
      </c>
      <c r="T22" s="1"/>
      <c r="U22" s="1"/>
      <c r="V22" s="38">
        <f>SUM(R22:U22)</f>
        <v>5.0999999999999996</v>
      </c>
    </row>
    <row r="23" spans="2:22" ht="19" x14ac:dyDescent="0.25">
      <c r="B23" s="29" t="s">
        <v>144</v>
      </c>
      <c r="C23" s="29"/>
      <c r="D23" s="29"/>
      <c r="E23" s="29"/>
      <c r="F23" s="29"/>
      <c r="G23" s="38"/>
      <c r="H23" s="30">
        <f t="shared" ref="H23:L23" si="19">(H22-C22)/C22</f>
        <v>0.92857142857142883</v>
      </c>
      <c r="I23" s="30">
        <f t="shared" si="19"/>
        <v>1</v>
      </c>
      <c r="J23" s="30">
        <f t="shared" si="19"/>
        <v>0.76923076923076905</v>
      </c>
      <c r="K23" s="30">
        <f t="shared" si="19"/>
        <v>0.21052631578947364</v>
      </c>
      <c r="L23" s="43">
        <f t="shared" si="19"/>
        <v>0.66666666666666685</v>
      </c>
      <c r="M23" s="30">
        <f t="shared" ref="M23:Q23" si="20">(M22-H22)/H22</f>
        <v>-0.48148148148148157</v>
      </c>
      <c r="N23" s="30">
        <f t="shared" si="20"/>
        <v>-0.18181818181818185</v>
      </c>
      <c r="O23" s="30">
        <f t="shared" si="20"/>
        <v>-4.3478260869565064E-2</v>
      </c>
      <c r="P23" s="30">
        <f t="shared" si="20"/>
        <v>4.3478260869565258E-2</v>
      </c>
      <c r="Q23" s="43">
        <f t="shared" si="20"/>
        <v>-0.17894736842105255</v>
      </c>
      <c r="R23" s="30">
        <f t="shared" ref="R23" si="21">(R22-M22)/M22</f>
        <v>0.64285714285714279</v>
      </c>
      <c r="S23" s="30">
        <f>(S22-N22)/N22</f>
        <v>0.55555555555555547</v>
      </c>
      <c r="T23" s="30">
        <f t="shared" ref="T23:V23" si="22">(T22-O22)/O22</f>
        <v>-1</v>
      </c>
      <c r="U23" s="30">
        <f t="shared" si="22"/>
        <v>-1</v>
      </c>
      <c r="V23" s="43">
        <f t="shared" si="22"/>
        <v>-0.34615384615384626</v>
      </c>
    </row>
    <row r="24" spans="2:22" ht="19" x14ac:dyDescent="0.25">
      <c r="B24" s="2" t="s">
        <v>139</v>
      </c>
      <c r="C24" s="2">
        <v>21.1</v>
      </c>
      <c r="D24" s="2">
        <v>30.7</v>
      </c>
      <c r="E24" s="2">
        <v>28.4</v>
      </c>
      <c r="F24" s="2">
        <v>26.1</v>
      </c>
      <c r="G24" s="38">
        <f>SUM(C24:F24)</f>
        <v>106.29999999999998</v>
      </c>
      <c r="H24" s="2">
        <v>27.3</v>
      </c>
      <c r="I24" s="2">
        <v>35.9</v>
      </c>
      <c r="J24" s="2">
        <v>38.299999999999997</v>
      </c>
      <c r="K24" s="2">
        <v>35.299999999999997</v>
      </c>
      <c r="L24" s="38">
        <f>SUM(H24:K24)</f>
        <v>136.80000000000001</v>
      </c>
      <c r="M24" s="2">
        <v>31.1</v>
      </c>
      <c r="N24" s="2">
        <v>33.799999999999997</v>
      </c>
      <c r="O24" s="2">
        <v>32.200000000000003</v>
      </c>
      <c r="P24" s="2">
        <v>26</v>
      </c>
      <c r="Q24" s="38">
        <f>SUM(M24:P24)</f>
        <v>123.10000000000001</v>
      </c>
      <c r="R24" s="2">
        <v>28.7</v>
      </c>
      <c r="S24" s="2">
        <v>33.799999999999997</v>
      </c>
      <c r="T24" s="2"/>
      <c r="U24" s="2"/>
      <c r="V24" s="38">
        <f>SUM(R24:U24)</f>
        <v>62.5</v>
      </c>
    </row>
    <row r="25" spans="2:22" x14ac:dyDescent="0.2">
      <c r="B25" s="29" t="s">
        <v>144</v>
      </c>
      <c r="C25" s="29"/>
      <c r="D25" s="29"/>
      <c r="E25" s="29"/>
      <c r="F25" s="29"/>
      <c r="G25" s="39"/>
      <c r="H25" s="30">
        <f t="shared" ref="H25:L25" si="23">(H24-C24)/C24</f>
        <v>0.29383886255924163</v>
      </c>
      <c r="I25" s="30">
        <f t="shared" si="23"/>
        <v>0.16938110749185667</v>
      </c>
      <c r="J25" s="30">
        <f t="shared" si="23"/>
        <v>0.34859154929577463</v>
      </c>
      <c r="K25" s="30">
        <f t="shared" si="23"/>
        <v>0.35249042145593851</v>
      </c>
      <c r="L25" s="43">
        <f t="shared" si="23"/>
        <v>0.28692380056444056</v>
      </c>
      <c r="M25" s="30">
        <f t="shared" ref="M25:Q25" si="24">(M24-H24)/H24</f>
        <v>0.13919413919413923</v>
      </c>
      <c r="N25" s="30">
        <f t="shared" si="24"/>
        <v>-5.8495821727019538E-2</v>
      </c>
      <c r="O25" s="30">
        <f t="shared" si="24"/>
        <v>-0.1592689295039163</v>
      </c>
      <c r="P25" s="30">
        <f t="shared" si="24"/>
        <v>-0.26345609065155801</v>
      </c>
      <c r="Q25" s="43">
        <f t="shared" si="24"/>
        <v>-0.10014619883040937</v>
      </c>
      <c r="R25" s="30">
        <f t="shared" ref="R25" si="25">(R24-M24)/M24</f>
        <v>-7.717041800643093E-2</v>
      </c>
      <c r="S25" s="30">
        <f>(S24-N24)/N24</f>
        <v>0</v>
      </c>
      <c r="T25" s="30">
        <f t="shared" ref="T25:V25" si="26">(T24-O24)/O24</f>
        <v>-1</v>
      </c>
      <c r="U25" s="30">
        <f t="shared" si="26"/>
        <v>-1</v>
      </c>
      <c r="V25" s="43">
        <f t="shared" si="26"/>
        <v>-0.4922826969943136</v>
      </c>
    </row>
    <row r="26" spans="2:22" ht="19" x14ac:dyDescent="0.25">
      <c r="B26" s="2" t="s">
        <v>140</v>
      </c>
      <c r="C26" s="2">
        <v>5.4</v>
      </c>
      <c r="D26" s="2">
        <v>4.0999999999999996</v>
      </c>
      <c r="E26" s="2">
        <v>3.4</v>
      </c>
      <c r="F26" s="2">
        <v>4</v>
      </c>
      <c r="G26" s="38">
        <f>SUM(C26:F26)</f>
        <v>16.899999999999999</v>
      </c>
      <c r="H26" s="2">
        <v>6.5</v>
      </c>
      <c r="I26" s="2">
        <v>3.3</v>
      </c>
      <c r="J26" s="2">
        <v>8.9</v>
      </c>
      <c r="K26" s="2">
        <v>8.9</v>
      </c>
      <c r="L26" s="38">
        <f>SUM(H26:K26)</f>
        <v>27.6</v>
      </c>
      <c r="M26" s="2">
        <v>12.1</v>
      </c>
      <c r="N26" s="2">
        <v>14.3</v>
      </c>
      <c r="O26" s="2">
        <v>16.8</v>
      </c>
      <c r="P26" s="2">
        <v>23.8</v>
      </c>
      <c r="Q26" s="38">
        <f>SUM(M26:P26)</f>
        <v>67</v>
      </c>
      <c r="R26" s="2">
        <v>12.9</v>
      </c>
      <c r="S26" s="2">
        <v>10.9</v>
      </c>
      <c r="T26" s="2"/>
      <c r="U26" s="2"/>
      <c r="V26" s="38">
        <f>SUM(R26:U26)</f>
        <v>23.8</v>
      </c>
    </row>
    <row r="27" spans="2:22" x14ac:dyDescent="0.2">
      <c r="B27" s="29" t="s">
        <v>144</v>
      </c>
      <c r="C27" s="29"/>
      <c r="D27" s="29"/>
      <c r="E27" s="29"/>
      <c r="F27" s="29"/>
      <c r="G27" s="39"/>
      <c r="H27" s="30">
        <f t="shared" ref="H27:L27" si="27">(H26-C26)/C26</f>
        <v>0.20370370370370364</v>
      </c>
      <c r="I27" s="30">
        <f t="shared" si="27"/>
        <v>-0.19512195121951217</v>
      </c>
      <c r="J27" s="30">
        <f t="shared" si="27"/>
        <v>1.6176470588235294</v>
      </c>
      <c r="K27" s="30">
        <f t="shared" si="27"/>
        <v>1.2250000000000001</v>
      </c>
      <c r="L27" s="43">
        <f t="shared" si="27"/>
        <v>0.63313609467455645</v>
      </c>
      <c r="M27" s="30">
        <f t="shared" ref="M27:Q27" si="28">(M26-H26)/H26</f>
        <v>0.86153846153846148</v>
      </c>
      <c r="N27" s="30">
        <f t="shared" si="28"/>
        <v>3.3333333333333335</v>
      </c>
      <c r="O27" s="30">
        <f t="shared" si="28"/>
        <v>0.88764044943820231</v>
      </c>
      <c r="P27" s="30">
        <f t="shared" si="28"/>
        <v>1.6741573033707864</v>
      </c>
      <c r="Q27" s="43">
        <f t="shared" si="28"/>
        <v>1.4275362318840579</v>
      </c>
      <c r="R27" s="30">
        <f t="shared" ref="R27" si="29">(R26-M26)/M26</f>
        <v>6.61157024793389E-2</v>
      </c>
      <c r="S27" s="30">
        <f>(S26-N26)/N26</f>
        <v>-0.23776223776223779</v>
      </c>
      <c r="T27" s="30">
        <f t="shared" ref="T27:V27" si="30">(T26-O26)/O26</f>
        <v>-1</v>
      </c>
      <c r="U27" s="30">
        <f t="shared" si="30"/>
        <v>-1</v>
      </c>
      <c r="V27" s="43">
        <f t="shared" si="30"/>
        <v>-0.64477611940298507</v>
      </c>
    </row>
    <row r="28" spans="2:22" ht="19" x14ac:dyDescent="0.25">
      <c r="B28" s="2" t="s">
        <v>141</v>
      </c>
      <c r="C28" s="2">
        <v>4.9000000000000004</v>
      </c>
      <c r="D28" s="2">
        <v>6.4</v>
      </c>
      <c r="E28" s="2">
        <v>13.6</v>
      </c>
      <c r="F28" s="2">
        <v>18.8</v>
      </c>
      <c r="G28" s="38">
        <f>SUM(C28:F28)</f>
        <v>43.7</v>
      </c>
      <c r="H28" s="2">
        <v>5.4</v>
      </c>
      <c r="I28" s="2">
        <v>6.6</v>
      </c>
      <c r="J28" s="2">
        <v>10.4</v>
      </c>
      <c r="K28" s="2">
        <v>7.3</v>
      </c>
      <c r="L28" s="38">
        <f>SUM(H28:K28)</f>
        <v>29.7</v>
      </c>
      <c r="M28" s="2">
        <v>5.4</v>
      </c>
      <c r="N28" s="2">
        <v>8.4</v>
      </c>
      <c r="O28" s="2">
        <v>6.3</v>
      </c>
      <c r="P28" s="2">
        <v>6.5</v>
      </c>
      <c r="Q28" s="38">
        <f>SUM(M28:P28)</f>
        <v>26.6</v>
      </c>
      <c r="R28" s="2">
        <v>5.9</v>
      </c>
      <c r="S28" s="2">
        <v>6.2</v>
      </c>
      <c r="T28" s="2"/>
      <c r="U28" s="2"/>
      <c r="V28" s="38">
        <f>SUM(R28:U28)</f>
        <v>12.100000000000001</v>
      </c>
    </row>
    <row r="29" spans="2:22" x14ac:dyDescent="0.2">
      <c r="B29" s="29" t="s">
        <v>144</v>
      </c>
      <c r="C29" s="29"/>
      <c r="D29" s="29"/>
      <c r="E29" s="29"/>
      <c r="F29" s="29"/>
      <c r="G29" s="39"/>
      <c r="H29" s="30">
        <f t="shared" ref="H29:L29" si="31">(H28-C28)/C28</f>
        <v>0.1020408163265306</v>
      </c>
      <c r="I29" s="30">
        <f t="shared" si="31"/>
        <v>3.1249999999999889E-2</v>
      </c>
      <c r="J29" s="30">
        <f t="shared" si="31"/>
        <v>-0.23529411764705876</v>
      </c>
      <c r="K29" s="30">
        <f t="shared" si="31"/>
        <v>-0.61170212765957444</v>
      </c>
      <c r="L29" s="43">
        <f t="shared" si="31"/>
        <v>-0.32036613272311221</v>
      </c>
      <c r="M29" s="30">
        <f t="shared" ref="M29:Q29" si="32">(M28-H28)/H28</f>
        <v>0</v>
      </c>
      <c r="N29" s="30">
        <f t="shared" si="32"/>
        <v>0.27272727272727287</v>
      </c>
      <c r="O29" s="30">
        <f t="shared" si="32"/>
        <v>-0.39423076923076927</v>
      </c>
      <c r="P29" s="30">
        <f t="shared" si="32"/>
        <v>-0.10958904109589039</v>
      </c>
      <c r="Q29" s="43">
        <f t="shared" si="32"/>
        <v>-0.1043771043771043</v>
      </c>
      <c r="R29" s="30">
        <f t="shared" ref="R29" si="33">(R28-M28)/M28</f>
        <v>9.2592592592592587E-2</v>
      </c>
      <c r="S29" s="30">
        <f>(S28-N28)/N28</f>
        <v>-0.26190476190476192</v>
      </c>
      <c r="T29" s="30">
        <f t="shared" ref="T29:V29" si="34">(T28-O28)/O28</f>
        <v>-1</v>
      </c>
      <c r="U29" s="30">
        <f t="shared" si="34"/>
        <v>-1</v>
      </c>
      <c r="V29" s="43">
        <f t="shared" si="34"/>
        <v>-0.54511278195488722</v>
      </c>
    </row>
    <row r="30" spans="2:22" ht="19" x14ac:dyDescent="0.25">
      <c r="B30" s="2" t="s">
        <v>142</v>
      </c>
      <c r="C30" s="2">
        <v>16.100000000000001</v>
      </c>
      <c r="D30" s="2">
        <v>20.399999999999999</v>
      </c>
      <c r="E30" s="2">
        <v>18.7</v>
      </c>
      <c r="F30" s="2">
        <v>20.6</v>
      </c>
      <c r="G30" s="38">
        <f>SUM(C30:F30)</f>
        <v>75.800000000000011</v>
      </c>
      <c r="H30" s="2">
        <v>22.2</v>
      </c>
      <c r="I30" s="2">
        <v>19.100000000000001</v>
      </c>
      <c r="J30" s="2">
        <v>21.5</v>
      </c>
      <c r="K30" s="2">
        <v>41.6</v>
      </c>
      <c r="L30" s="38">
        <f>SUM(H30:K30)</f>
        <v>104.4</v>
      </c>
      <c r="M30" s="2">
        <v>51</v>
      </c>
      <c r="N30" s="2">
        <v>51.1</v>
      </c>
      <c r="O30" s="2">
        <v>54.6</v>
      </c>
      <c r="P30" s="2">
        <v>62.7</v>
      </c>
      <c r="Q30" s="38">
        <f>SUM(M30:P30)</f>
        <v>219.39999999999998</v>
      </c>
      <c r="R30" s="2">
        <v>46</v>
      </c>
      <c r="S30" s="2">
        <v>47.3</v>
      </c>
      <c r="T30" s="2"/>
      <c r="U30" s="2"/>
      <c r="V30" s="38">
        <f>SUM(R30:U30)</f>
        <v>93.3</v>
      </c>
    </row>
    <row r="31" spans="2:22" x14ac:dyDescent="0.2">
      <c r="B31" s="29" t="s">
        <v>144</v>
      </c>
      <c r="C31" s="29"/>
      <c r="D31" s="29"/>
      <c r="E31" s="29"/>
      <c r="F31" s="29"/>
      <c r="G31" s="46"/>
      <c r="H31" s="30">
        <f t="shared" ref="H31:I31" si="35">(H30-C30)/C30</f>
        <v>0.37888198757763958</v>
      </c>
      <c r="I31" s="30">
        <f t="shared" si="35"/>
        <v>-6.3725490196078302E-2</v>
      </c>
      <c r="J31" s="30">
        <f>(J30-E30)/E30</f>
        <v>0.14973262032085566</v>
      </c>
      <c r="K31" s="30">
        <f t="shared" ref="K31:L31" si="36">(K30-F30)/F30</f>
        <v>1.0194174757281553</v>
      </c>
      <c r="L31" s="43">
        <f t="shared" si="36"/>
        <v>0.37730870712401043</v>
      </c>
      <c r="M31" s="30">
        <f t="shared" ref="M31:P31" si="37">(M30-H30)/H30</f>
        <v>1.2972972972972974</v>
      </c>
      <c r="N31" s="30">
        <f t="shared" si="37"/>
        <v>1.6753926701570678</v>
      </c>
      <c r="O31" s="30">
        <f t="shared" si="37"/>
        <v>1.5395348837209304</v>
      </c>
      <c r="P31" s="30">
        <f t="shared" si="37"/>
        <v>0.50721153846153844</v>
      </c>
      <c r="Q31" s="43">
        <f>(Q30-L30)/L30</f>
        <v>1.1015325670498082</v>
      </c>
      <c r="R31" s="30">
        <f t="shared" ref="R31" si="38">(R30-M30)/M30</f>
        <v>-9.8039215686274508E-2</v>
      </c>
      <c r="S31" s="30">
        <f>(S30-N30)/N30</f>
        <v>-7.4363992172211429E-2</v>
      </c>
      <c r="T31" s="30">
        <f t="shared" ref="T31:V31" si="39">(T30-O30)/O30</f>
        <v>-1</v>
      </c>
      <c r="U31" s="30">
        <f t="shared" si="39"/>
        <v>-1</v>
      </c>
      <c r="V31" s="43">
        <f t="shared" si="39"/>
        <v>-0.57474931631722881</v>
      </c>
    </row>
    <row r="32" spans="2:22" ht="19" x14ac:dyDescent="0.25">
      <c r="B32" s="31" t="s">
        <v>143</v>
      </c>
      <c r="C32" s="31">
        <f t="shared" ref="C32:R32" si="40">C12+C14+C16+C18+C20+C22+C24+C26+C28+C30</f>
        <v>168.8</v>
      </c>
      <c r="D32" s="31">
        <f t="shared" si="40"/>
        <v>178.2</v>
      </c>
      <c r="E32" s="31">
        <f t="shared" si="40"/>
        <v>179.99999999999997</v>
      </c>
      <c r="F32" s="31">
        <f t="shared" si="40"/>
        <v>189.5</v>
      </c>
      <c r="G32" s="42"/>
      <c r="H32" s="31">
        <f t="shared" si="40"/>
        <v>193.49999999999997</v>
      </c>
      <c r="I32" s="31">
        <f t="shared" si="40"/>
        <v>191.79999999999998</v>
      </c>
      <c r="J32" s="31">
        <f t="shared" si="40"/>
        <v>222.3</v>
      </c>
      <c r="K32" s="31">
        <f t="shared" si="40"/>
        <v>242.70000000000005</v>
      </c>
      <c r="L32" s="42"/>
      <c r="M32" s="31">
        <f t="shared" si="40"/>
        <v>241.79999999999998</v>
      </c>
      <c r="N32" s="31">
        <f t="shared" si="40"/>
        <v>255.70000000000005</v>
      </c>
      <c r="O32" s="31">
        <f t="shared" si="40"/>
        <v>226.00000000000003</v>
      </c>
      <c r="P32" s="31">
        <f t="shared" si="40"/>
        <v>283.90000000000003</v>
      </c>
      <c r="Q32" s="42"/>
      <c r="R32" s="31">
        <f t="shared" si="40"/>
        <v>214.60000000000002</v>
      </c>
      <c r="S32" s="31">
        <f>S12+S14+S16+S18+S20+S22+S24+S26+S28+S30</f>
        <v>230.79999999999995</v>
      </c>
      <c r="T32" s="26"/>
      <c r="U32" s="26"/>
      <c r="V32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6A85-6B8F-C643-8532-50B55F2F5B3C}">
  <dimension ref="B3:V24"/>
  <sheetViews>
    <sheetView showGridLines="0" zoomScaleNormal="100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S12" sqref="S12"/>
    </sheetView>
  </sheetViews>
  <sheetFormatPr baseColWidth="10" defaultRowHeight="19" x14ac:dyDescent="0.25"/>
  <cols>
    <col min="1" max="1" width="10.83203125" style="2"/>
    <col min="2" max="2" width="25.33203125" style="2" customWidth="1"/>
    <col min="3" max="16384" width="10.83203125" style="2"/>
  </cols>
  <sheetData>
    <row r="3" spans="2:22" x14ac:dyDescent="0.25">
      <c r="B3" s="2" t="s">
        <v>38</v>
      </c>
      <c r="C3" s="7" t="s">
        <v>3</v>
      </c>
      <c r="D3" s="7" t="s">
        <v>4</v>
      </c>
      <c r="E3" s="7" t="s">
        <v>5</v>
      </c>
      <c r="F3" s="7" t="s">
        <v>6</v>
      </c>
      <c r="G3" s="36">
        <v>2022</v>
      </c>
      <c r="H3" s="7" t="s">
        <v>7</v>
      </c>
      <c r="I3" s="7" t="s">
        <v>8</v>
      </c>
      <c r="J3" s="7" t="s">
        <v>9</v>
      </c>
      <c r="K3" s="7" t="s">
        <v>10</v>
      </c>
      <c r="L3" s="36">
        <v>2023</v>
      </c>
      <c r="M3" s="7" t="s">
        <v>11</v>
      </c>
      <c r="N3" s="7" t="s">
        <v>12</v>
      </c>
      <c r="O3" s="7" t="s">
        <v>13</v>
      </c>
      <c r="P3" s="7" t="s">
        <v>14</v>
      </c>
      <c r="Q3" s="36">
        <v>2024</v>
      </c>
      <c r="R3" s="7" t="s">
        <v>37</v>
      </c>
      <c r="S3" s="7" t="s">
        <v>31</v>
      </c>
      <c r="T3" s="7" t="s">
        <v>35</v>
      </c>
      <c r="U3" s="7" t="s">
        <v>36</v>
      </c>
      <c r="V3" s="38">
        <v>2025</v>
      </c>
    </row>
    <row r="4" spans="2:22" x14ac:dyDescent="0.25">
      <c r="B4" s="2" t="s">
        <v>133</v>
      </c>
      <c r="C4" s="2">
        <v>88.1</v>
      </c>
      <c r="D4" s="2">
        <v>87.5</v>
      </c>
      <c r="E4" s="2">
        <v>64.900000000000006</v>
      </c>
      <c r="F4" s="2">
        <v>83.3</v>
      </c>
      <c r="G4" s="38">
        <f>SUM(C4:F4)</f>
        <v>323.8</v>
      </c>
      <c r="H4" s="2">
        <v>100.1</v>
      </c>
      <c r="I4" s="2">
        <v>87.3</v>
      </c>
      <c r="J4" s="2">
        <v>56.9</v>
      </c>
      <c r="K4" s="2">
        <v>81.5</v>
      </c>
      <c r="L4" s="38">
        <f>SUM(H4:K4)</f>
        <v>325.79999999999995</v>
      </c>
      <c r="M4" s="2">
        <v>95.4</v>
      </c>
      <c r="N4" s="2">
        <v>79.8</v>
      </c>
      <c r="O4" s="2">
        <v>61.8</v>
      </c>
      <c r="P4" s="2">
        <v>72.900000000000006</v>
      </c>
      <c r="Q4" s="38">
        <f>SUM(M4:P4)</f>
        <v>309.89999999999998</v>
      </c>
      <c r="R4" s="2">
        <v>91.1</v>
      </c>
      <c r="S4" s="2">
        <v>80.2</v>
      </c>
      <c r="V4" s="38">
        <f>SUM(R4:U4)</f>
        <v>171.3</v>
      </c>
    </row>
    <row r="5" spans="2:22" x14ac:dyDescent="0.25">
      <c r="B5" s="29" t="s">
        <v>144</v>
      </c>
      <c r="C5" s="29"/>
      <c r="D5" s="29"/>
      <c r="E5" s="29"/>
      <c r="F5" s="29"/>
      <c r="G5" s="39"/>
      <c r="H5" s="30">
        <f t="shared" ref="H5" si="0">(H4-C4)/C4</f>
        <v>0.1362088535754824</v>
      </c>
      <c r="I5" s="30">
        <f t="shared" ref="I5" si="1">(I4-D4)/D4</f>
        <v>-2.2857142857143184E-3</v>
      </c>
      <c r="J5" s="30">
        <f t="shared" ref="J5" si="2">(J4-E4)/E4</f>
        <v>-0.12326656394453014</v>
      </c>
      <c r="K5" s="30">
        <f t="shared" ref="K5" si="3">(K4-F4)/F4</f>
        <v>-2.160864345738292E-2</v>
      </c>
      <c r="L5" s="44">
        <f>(L4-G4)/G4</f>
        <v>6.1766522544778974E-3</v>
      </c>
      <c r="M5" s="30">
        <f t="shared" ref="M5" si="4">(M4-H4)/H4</f>
        <v>-4.6953046953046841E-2</v>
      </c>
      <c r="N5" s="30">
        <f t="shared" ref="N5" si="5">(N4-I4)/I4</f>
        <v>-8.5910652920962199E-2</v>
      </c>
      <c r="O5" s="30">
        <f t="shared" ref="O5" si="6">(O4-J4)/J4</f>
        <v>8.6115992970122998E-2</v>
      </c>
      <c r="P5" s="30">
        <f t="shared" ref="P5" si="7">(P4-K4)/K4</f>
        <v>-0.10552147239263797</v>
      </c>
      <c r="Q5" s="44">
        <f>(Q4-L4)/L4</f>
        <v>-4.8802946593001779E-2</v>
      </c>
      <c r="R5" s="30">
        <f t="shared" ref="R5" si="8">(R4-M4)/M4</f>
        <v>-4.5073375262054627E-2</v>
      </c>
      <c r="S5" s="30">
        <f>(S4-N4)/N4</f>
        <v>5.0125313283208737E-3</v>
      </c>
      <c r="T5" s="30">
        <f t="shared" ref="T5" si="9">(T4-O4)/O4</f>
        <v>-1</v>
      </c>
      <c r="U5" s="30">
        <f t="shared" ref="U5" si="10">(U4-P4)/P4</f>
        <v>-1</v>
      </c>
      <c r="V5" s="44">
        <f>(V4-Q4)/Q4</f>
        <v>-0.44724104549854782</v>
      </c>
    </row>
    <row r="6" spans="2:22" x14ac:dyDescent="0.25">
      <c r="B6" s="2" t="s">
        <v>134</v>
      </c>
      <c r="C6" s="2">
        <v>65.7</v>
      </c>
      <c r="D6" s="2">
        <v>62.8</v>
      </c>
      <c r="E6" s="2">
        <v>60.2</v>
      </c>
      <c r="F6" s="2">
        <v>59.7</v>
      </c>
      <c r="G6" s="38">
        <f>SUM(C6:F6)</f>
        <v>248.39999999999998</v>
      </c>
      <c r="H6" s="2">
        <v>75.3</v>
      </c>
      <c r="I6" s="2">
        <v>69.2</v>
      </c>
      <c r="J6" s="2">
        <v>59.4</v>
      </c>
      <c r="K6" s="2">
        <v>66.900000000000006</v>
      </c>
      <c r="L6" s="38">
        <f>SUM(H6:K6)</f>
        <v>270.8</v>
      </c>
      <c r="M6" s="2">
        <v>73.3</v>
      </c>
      <c r="N6" s="2">
        <v>66.5</v>
      </c>
      <c r="O6" s="2">
        <v>59.4</v>
      </c>
      <c r="P6" s="2">
        <v>67.2</v>
      </c>
      <c r="Q6" s="38">
        <f>SUM(M6:P6)</f>
        <v>266.40000000000003</v>
      </c>
      <c r="R6" s="2">
        <v>78.5</v>
      </c>
      <c r="S6" s="2">
        <v>60.2</v>
      </c>
      <c r="V6" s="38">
        <f>SUM(R6:U6)</f>
        <v>138.69999999999999</v>
      </c>
    </row>
    <row r="7" spans="2:22" x14ac:dyDescent="0.25">
      <c r="B7" s="29" t="s">
        <v>144</v>
      </c>
      <c r="C7" s="29"/>
      <c r="D7" s="29"/>
      <c r="E7" s="29"/>
      <c r="F7" s="29"/>
      <c r="G7" s="39"/>
      <c r="H7" s="30">
        <f t="shared" ref="H7" si="11">(H6-C6)/C6</f>
        <v>0.14611872146118712</v>
      </c>
      <c r="I7" s="30">
        <f t="shared" ref="I7" si="12">(I6-D6)/D6</f>
        <v>0.1019108280254778</v>
      </c>
      <c r="J7" s="30">
        <f t="shared" ref="J7" si="13">(J6-E6)/E6</f>
        <v>-1.3289036544850568E-2</v>
      </c>
      <c r="K7" s="30">
        <f t="shared" ref="K7" si="14">(K6-F6)/F6</f>
        <v>0.12060301507537692</v>
      </c>
      <c r="L7" s="44">
        <f>(L6-G6)/G6</f>
        <v>9.0177133655394676E-2</v>
      </c>
      <c r="M7" s="30">
        <f t="shared" ref="M7" si="15">(M6-H6)/H6</f>
        <v>-2.6560424966799469E-2</v>
      </c>
      <c r="N7" s="30">
        <f t="shared" ref="N7" si="16">(N6-I6)/I6</f>
        <v>-3.9017341040462464E-2</v>
      </c>
      <c r="O7" s="30">
        <f t="shared" ref="O7" si="17">(O6-J6)/J6</f>
        <v>0</v>
      </c>
      <c r="P7" s="30">
        <f t="shared" ref="P7" si="18">(P6-K6)/K6</f>
        <v>4.4843049327353834E-3</v>
      </c>
      <c r="Q7" s="44">
        <f>(Q6-L6)/L6</f>
        <v>-1.6248153618906858E-2</v>
      </c>
      <c r="R7" s="30">
        <f t="shared" ref="R7" si="19">(R6-M6)/M6</f>
        <v>7.094133697135066E-2</v>
      </c>
      <c r="S7" s="30">
        <f>(S6-N6)/N6</f>
        <v>-9.4736842105263119E-2</v>
      </c>
      <c r="T7" s="30">
        <f t="shared" ref="T7" si="20">(T6-O6)/O6</f>
        <v>-1</v>
      </c>
      <c r="U7" s="30">
        <f t="shared" ref="U7" si="21">(U6-P6)/P6</f>
        <v>-1</v>
      </c>
      <c r="V7" s="44">
        <f>(V6-Q6)/Q6</f>
        <v>-0.47935435435435447</v>
      </c>
    </row>
    <row r="8" spans="2:22" x14ac:dyDescent="0.25">
      <c r="B8" s="2" t="s">
        <v>135</v>
      </c>
      <c r="C8" s="2">
        <v>159.9</v>
      </c>
      <c r="D8" s="2">
        <v>146</v>
      </c>
      <c r="E8" s="2">
        <v>136.9</v>
      </c>
      <c r="F8" s="2">
        <v>146.5</v>
      </c>
      <c r="G8" s="38">
        <f>SUM(C8:F8)</f>
        <v>589.29999999999995</v>
      </c>
      <c r="H8" s="2">
        <v>165.5</v>
      </c>
      <c r="I8" s="2">
        <v>133.19999999999999</v>
      </c>
      <c r="J8" s="2">
        <v>132.9</v>
      </c>
      <c r="K8" s="2">
        <v>121.3</v>
      </c>
      <c r="L8" s="38">
        <f>SUM(H8:K8)</f>
        <v>552.9</v>
      </c>
      <c r="M8" s="2">
        <v>154.5</v>
      </c>
      <c r="N8" s="2">
        <v>132.69999999999999</v>
      </c>
      <c r="O8" s="2">
        <v>112.1</v>
      </c>
      <c r="P8" s="2">
        <v>123.9</v>
      </c>
      <c r="Q8" s="38">
        <f>SUM(M8:P8)</f>
        <v>523.19999999999993</v>
      </c>
      <c r="R8" s="2">
        <v>124.1</v>
      </c>
      <c r="S8" s="2">
        <v>114.5</v>
      </c>
      <c r="V8" s="38">
        <f>SUM(R8:U8)</f>
        <v>238.6</v>
      </c>
    </row>
    <row r="9" spans="2:22" x14ac:dyDescent="0.25">
      <c r="B9" s="29" t="s">
        <v>144</v>
      </c>
      <c r="C9" s="29"/>
      <c r="D9" s="29"/>
      <c r="E9" s="29"/>
      <c r="F9" s="29"/>
      <c r="G9" s="39"/>
      <c r="H9" s="30">
        <f t="shared" ref="H9" si="22">(H8-C8)/C8</f>
        <v>3.5021888680425231E-2</v>
      </c>
      <c r="I9" s="30">
        <f t="shared" ref="I9" si="23">(I8-D8)/D8</f>
        <v>-8.7671232876712413E-2</v>
      </c>
      <c r="J9" s="30">
        <f t="shared" ref="J9" si="24">(J8-E8)/E8</f>
        <v>-2.9218407596785973E-2</v>
      </c>
      <c r="K9" s="30">
        <f t="shared" ref="K9" si="25">(K8-F8)/F8</f>
        <v>-0.17201365187713313</v>
      </c>
      <c r="L9" s="44">
        <f>(L8-G8)/G8</f>
        <v>-6.1768199558798538E-2</v>
      </c>
      <c r="M9" s="30">
        <f t="shared" ref="M9" si="26">(M8-H8)/H8</f>
        <v>-6.6465256797583083E-2</v>
      </c>
      <c r="N9" s="30">
        <f t="shared" ref="N9" si="27">(N8-I8)/I8</f>
        <v>-3.7537537537537542E-3</v>
      </c>
      <c r="O9" s="30">
        <f t="shared" ref="O9" si="28">(O8-J8)/J8</f>
        <v>-0.15650865312264869</v>
      </c>
      <c r="P9" s="30">
        <f t="shared" ref="P9" si="29">(P8-K8)/K8</f>
        <v>2.1434460016488115E-2</v>
      </c>
      <c r="Q9" s="44">
        <f>(Q8-L8)/L8</f>
        <v>-5.371676614215961E-2</v>
      </c>
      <c r="R9" s="30">
        <f t="shared" ref="R9" si="30">(R8-M8)/M8</f>
        <v>-0.19676375404530749</v>
      </c>
      <c r="S9" s="30">
        <f>(S8-N8)/N8</f>
        <v>-0.13715146948003007</v>
      </c>
      <c r="T9" s="30">
        <f t="shared" ref="T9" si="31">(T8-O8)/O8</f>
        <v>-1</v>
      </c>
      <c r="U9" s="30">
        <f t="shared" ref="U9" si="32">(U8-P8)/P8</f>
        <v>-1</v>
      </c>
      <c r="V9" s="44">
        <f>(V8-Q8)/Q8</f>
        <v>-0.54396024464831794</v>
      </c>
    </row>
    <row r="10" spans="2:22" x14ac:dyDescent="0.25">
      <c r="B10" s="2" t="s">
        <v>136</v>
      </c>
      <c r="C10" s="2">
        <v>205.7</v>
      </c>
      <c r="D10" s="2">
        <v>186.5</v>
      </c>
      <c r="E10" s="2">
        <v>179.8</v>
      </c>
      <c r="F10" s="2">
        <v>210.1</v>
      </c>
      <c r="G10" s="38">
        <f>SUM(C10:F10)</f>
        <v>782.1</v>
      </c>
      <c r="H10" s="2">
        <v>251</v>
      </c>
      <c r="I10" s="2">
        <v>237.6</v>
      </c>
      <c r="J10" s="2">
        <v>227</v>
      </c>
      <c r="K10" s="2">
        <v>233.8</v>
      </c>
      <c r="L10" s="38">
        <f>SUM(H10:K10)</f>
        <v>949.40000000000009</v>
      </c>
      <c r="M10" s="2">
        <v>226.4</v>
      </c>
      <c r="N10" s="2">
        <v>216.1</v>
      </c>
      <c r="O10" s="2">
        <v>167</v>
      </c>
      <c r="P10" s="2">
        <v>177.4</v>
      </c>
      <c r="Q10" s="38">
        <f>SUM(M10:P10)</f>
        <v>786.9</v>
      </c>
      <c r="R10" s="2">
        <v>190.3</v>
      </c>
      <c r="S10" s="2">
        <v>203.7</v>
      </c>
      <c r="V10" s="38">
        <f>SUM(R10:U10)</f>
        <v>394</v>
      </c>
    </row>
    <row r="11" spans="2:22" x14ac:dyDescent="0.25">
      <c r="B11" s="29" t="s">
        <v>144</v>
      </c>
      <c r="C11" s="29"/>
      <c r="D11" s="29"/>
      <c r="E11" s="29"/>
      <c r="F11" s="29"/>
      <c r="G11" s="39"/>
      <c r="H11" s="30">
        <f t="shared" ref="H11" si="33">(H10-C10)/C10</f>
        <v>0.220223626640739</v>
      </c>
      <c r="I11" s="30">
        <f t="shared" ref="I11" si="34">(I10-D10)/D10</f>
        <v>0.27399463806970509</v>
      </c>
      <c r="J11" s="30">
        <f t="shared" ref="J11" si="35">(J10-E10)/E10</f>
        <v>0.26251390433815341</v>
      </c>
      <c r="K11" s="30">
        <f t="shared" ref="K11" si="36">(K10-F10)/F10</f>
        <v>0.11280342693955268</v>
      </c>
      <c r="L11" s="44">
        <f>(L10-G10)/G10</f>
        <v>0.21391126454417603</v>
      </c>
      <c r="M11" s="30">
        <f t="shared" ref="M11" si="37">(M10-H10)/H10</f>
        <v>-9.8007968127490019E-2</v>
      </c>
      <c r="N11" s="30">
        <f t="shared" ref="N11" si="38">(N10-I10)/I10</f>
        <v>-9.0488215488215493E-2</v>
      </c>
      <c r="O11" s="30">
        <f t="shared" ref="O11" si="39">(O10-J10)/J10</f>
        <v>-0.26431718061674009</v>
      </c>
      <c r="P11" s="30">
        <f t="shared" ref="P11" si="40">(P10-K10)/K10</f>
        <v>-0.24123182207014543</v>
      </c>
      <c r="Q11" s="44">
        <f>(Q10-L10)/L10</f>
        <v>-0.17116073309458615</v>
      </c>
      <c r="R11" s="30">
        <f t="shared" ref="R11" si="41">(R10-M10)/M10</f>
        <v>-0.15945229681978795</v>
      </c>
      <c r="S11" s="30">
        <f>(S10-N10)/N10</f>
        <v>-5.7380842202683968E-2</v>
      </c>
      <c r="T11" s="30">
        <f t="shared" ref="T11" si="42">(T10-O10)/O10</f>
        <v>-1</v>
      </c>
      <c r="U11" s="30">
        <f t="shared" ref="U11" si="43">(U10-P10)/P10</f>
        <v>-1</v>
      </c>
      <c r="V11" s="44">
        <f>(V10-Q10)/Q10</f>
        <v>-0.49930105477188969</v>
      </c>
    </row>
    <row r="12" spans="2:22" x14ac:dyDescent="0.25">
      <c r="B12" s="2" t="s">
        <v>137</v>
      </c>
      <c r="C12" s="2">
        <v>458.9</v>
      </c>
      <c r="D12" s="2">
        <v>458.9</v>
      </c>
      <c r="E12" s="2">
        <v>446.8</v>
      </c>
      <c r="F12" s="2">
        <v>476</v>
      </c>
      <c r="G12" s="38">
        <f>SUM(C12:F12)</f>
        <v>1840.6</v>
      </c>
      <c r="H12" s="2">
        <v>575.1</v>
      </c>
      <c r="I12" s="2">
        <v>643</v>
      </c>
      <c r="J12" s="2">
        <v>671</v>
      </c>
      <c r="K12" s="2">
        <v>663.9</v>
      </c>
      <c r="L12" s="38">
        <f>SUM(H12:K12)</f>
        <v>2553</v>
      </c>
      <c r="M12" s="2">
        <v>657.8</v>
      </c>
      <c r="N12" s="2">
        <v>637.4</v>
      </c>
      <c r="O12" s="2">
        <v>533.5</v>
      </c>
      <c r="P12" s="2">
        <v>524.29999999999995</v>
      </c>
      <c r="Q12" s="38">
        <f>SUM(M12:P12)</f>
        <v>2353</v>
      </c>
      <c r="R12" s="2">
        <v>538.79999999999995</v>
      </c>
      <c r="S12" s="2">
        <v>518.20000000000005</v>
      </c>
      <c r="V12" s="38">
        <f>SUM(R12:U12)</f>
        <v>1057</v>
      </c>
    </row>
    <row r="13" spans="2:22" x14ac:dyDescent="0.25">
      <c r="B13" s="29" t="s">
        <v>144</v>
      </c>
      <c r="C13" s="29"/>
      <c r="D13" s="29"/>
      <c r="E13" s="29"/>
      <c r="F13" s="29"/>
      <c r="G13" s="39"/>
      <c r="H13" s="30">
        <f t="shared" ref="H13" si="44">(H12-C12)/C12</f>
        <v>0.25321420788842897</v>
      </c>
      <c r="I13" s="30">
        <f t="shared" ref="I13" si="45">(I12-D12)/D12</f>
        <v>0.40117672695576384</v>
      </c>
      <c r="J13" s="30">
        <f t="shared" ref="J13" si="46">(J12-E12)/E12</f>
        <v>0.5017905102954342</v>
      </c>
      <c r="K13" s="30">
        <f t="shared" ref="K13" si="47">(K12-F12)/F12</f>
        <v>0.3947478991596638</v>
      </c>
      <c r="L13" s="44">
        <f>(L12-G12)/G12</f>
        <v>0.38704770183635778</v>
      </c>
      <c r="M13" s="30">
        <f t="shared" ref="M13" si="48">(M12-H12)/H12</f>
        <v>0.14380107807337841</v>
      </c>
      <c r="N13" s="30">
        <f t="shared" ref="N13" si="49">(N12-I12)/I12</f>
        <v>-8.7091757387247632E-3</v>
      </c>
      <c r="O13" s="30">
        <f t="shared" ref="O13" si="50">(O12-J12)/J12</f>
        <v>-0.20491803278688525</v>
      </c>
      <c r="P13" s="30">
        <f t="shared" ref="P13" si="51">(P12-K12)/K12</f>
        <v>-0.21027263142039468</v>
      </c>
      <c r="Q13" s="44">
        <f>(Q12-L12)/L12</f>
        <v>-7.8339208773991378E-2</v>
      </c>
      <c r="R13" s="30">
        <f t="shared" ref="R13" si="52">(R12-M12)/M12</f>
        <v>-0.18090605047126787</v>
      </c>
      <c r="S13" s="30">
        <f>(S12-N12)/N12</f>
        <v>-0.18700972701600241</v>
      </c>
      <c r="T13" s="30">
        <f t="shared" ref="T13" si="53">(T12-O12)/O12</f>
        <v>-1</v>
      </c>
      <c r="U13" s="30">
        <f t="shared" ref="U13" si="54">(U12-P12)/P12</f>
        <v>-1</v>
      </c>
      <c r="V13" s="44">
        <f>(V12-Q12)/Q12</f>
        <v>-0.55078623034424135</v>
      </c>
    </row>
    <row r="14" spans="2:22" x14ac:dyDescent="0.25">
      <c r="B14" s="2" t="s">
        <v>138</v>
      </c>
      <c r="C14" s="2">
        <v>90.3</v>
      </c>
      <c r="D14" s="2">
        <v>90.3</v>
      </c>
      <c r="E14" s="2">
        <v>101</v>
      </c>
      <c r="F14" s="2">
        <v>86.1</v>
      </c>
      <c r="G14" s="38">
        <f>SUM(C14:F14)</f>
        <v>367.70000000000005</v>
      </c>
      <c r="H14" s="2">
        <v>132.1</v>
      </c>
      <c r="I14" s="2">
        <v>158.6</v>
      </c>
      <c r="J14" s="2">
        <v>159.9</v>
      </c>
      <c r="K14" s="2">
        <v>140.19999999999999</v>
      </c>
      <c r="L14" s="38">
        <f>SUM(H14:K14)</f>
        <v>590.79999999999995</v>
      </c>
      <c r="M14" s="2">
        <v>180.2</v>
      </c>
      <c r="N14" s="2">
        <v>189.7</v>
      </c>
      <c r="O14" s="2">
        <v>170.8</v>
      </c>
      <c r="P14" s="2">
        <v>146.69999999999999</v>
      </c>
      <c r="Q14" s="38">
        <f>SUM(M14:P14)</f>
        <v>687.40000000000009</v>
      </c>
      <c r="R14" s="2">
        <v>141.30000000000001</v>
      </c>
      <c r="S14" s="2">
        <v>186.6</v>
      </c>
      <c r="T14" s="1"/>
      <c r="U14" s="1"/>
      <c r="V14" s="38">
        <f>SUM(R14:U14)</f>
        <v>327.9</v>
      </c>
    </row>
    <row r="15" spans="2:22" x14ac:dyDescent="0.25">
      <c r="B15" s="29" t="s">
        <v>144</v>
      </c>
      <c r="C15" s="29"/>
      <c r="D15" s="29"/>
      <c r="E15" s="29"/>
      <c r="F15" s="29"/>
      <c r="G15" s="39"/>
      <c r="H15" s="30">
        <f t="shared" ref="H15" si="55">(H14-C14)/C14</f>
        <v>0.46290143964562569</v>
      </c>
      <c r="I15" s="30">
        <f t="shared" ref="I15" si="56">(I14-D14)/D14</f>
        <v>0.75636766334440753</v>
      </c>
      <c r="J15" s="30">
        <f t="shared" ref="J15" si="57">(J14-E14)/E14</f>
        <v>0.58316831683168324</v>
      </c>
      <c r="K15" s="30">
        <f t="shared" ref="K15" si="58">(K14-F14)/F14</f>
        <v>0.62833914053426243</v>
      </c>
      <c r="L15" s="44">
        <f>(L14-G14)/G14</f>
        <v>0.60674462877345625</v>
      </c>
      <c r="M15" s="30">
        <f t="shared" ref="M15" si="59">(M14-H14)/H14</f>
        <v>0.36411809235427706</v>
      </c>
      <c r="N15" s="30">
        <f t="shared" ref="N15" si="60">(N14-I14)/I14</f>
        <v>0.19609079445145017</v>
      </c>
      <c r="O15" s="30">
        <f t="shared" ref="O15" si="61">(O14-J14)/J14</f>
        <v>6.8167604752970637E-2</v>
      </c>
      <c r="P15" s="30">
        <f t="shared" ref="P15" si="62">(P14-K14)/K14</f>
        <v>4.6362339514978604E-2</v>
      </c>
      <c r="Q15" s="44">
        <f>(Q14-L14)/L14</f>
        <v>0.16350710900473958</v>
      </c>
      <c r="R15" s="30">
        <f t="shared" ref="R15" si="63">(R14-M14)/M14</f>
        <v>-0.21587125416204206</v>
      </c>
      <c r="S15" s="30">
        <f>(S14-N14)/N14</f>
        <v>-1.6341591987348417E-2</v>
      </c>
      <c r="T15" s="30">
        <f t="shared" ref="T15" si="64">(T14-O14)/O14</f>
        <v>-1</v>
      </c>
      <c r="U15" s="30">
        <f t="shared" ref="U15" si="65">(U14-P14)/P14</f>
        <v>-1</v>
      </c>
      <c r="V15" s="44">
        <f>(V14-Q14)/Q14</f>
        <v>-0.52298516147803331</v>
      </c>
    </row>
    <row r="16" spans="2:22" x14ac:dyDescent="0.25">
      <c r="B16" s="2" t="s">
        <v>139</v>
      </c>
      <c r="C16" s="2">
        <v>34.700000000000003</v>
      </c>
      <c r="D16" s="2">
        <v>34.700000000000003</v>
      </c>
      <c r="E16" s="2">
        <v>30.9</v>
      </c>
      <c r="F16" s="2">
        <v>29.4</v>
      </c>
      <c r="G16" s="38">
        <f>SUM(C16:F16)</f>
        <v>129.70000000000002</v>
      </c>
      <c r="H16" s="2">
        <v>29.2</v>
      </c>
      <c r="I16" s="2">
        <v>39</v>
      </c>
      <c r="J16" s="2">
        <v>40.299999999999997</v>
      </c>
      <c r="K16" s="2">
        <v>37</v>
      </c>
      <c r="L16" s="38">
        <f>SUM(H16:K16)</f>
        <v>145.5</v>
      </c>
      <c r="M16" s="2">
        <v>32.9</v>
      </c>
      <c r="N16" s="2">
        <v>35.1</v>
      </c>
      <c r="O16" s="2">
        <v>33.6</v>
      </c>
      <c r="P16" s="2">
        <v>26.8</v>
      </c>
      <c r="Q16" s="38">
        <f>SUM(M16:P16)</f>
        <v>128.4</v>
      </c>
      <c r="R16" s="2">
        <v>52</v>
      </c>
      <c r="S16" s="2">
        <v>63.3</v>
      </c>
      <c r="V16" s="38">
        <f>SUM(R16:U16)</f>
        <v>115.3</v>
      </c>
    </row>
    <row r="17" spans="2:22" x14ac:dyDescent="0.25">
      <c r="B17" s="29" t="s">
        <v>144</v>
      </c>
      <c r="C17" s="29"/>
      <c r="D17" s="29"/>
      <c r="E17" s="29"/>
      <c r="F17" s="29"/>
      <c r="G17" s="39"/>
      <c r="H17" s="30">
        <f t="shared" ref="H17" si="66">(H16-C16)/C16</f>
        <v>-0.15850144092219029</v>
      </c>
      <c r="I17" s="30">
        <f t="shared" ref="I17" si="67">(I16-D16)/D16</f>
        <v>0.12391930835734861</v>
      </c>
      <c r="J17" s="30">
        <f t="shared" ref="J17" si="68">(J16-E16)/E16</f>
        <v>0.30420711974110032</v>
      </c>
      <c r="K17" s="30">
        <f t="shared" ref="K17" si="69">(K16-F16)/F16</f>
        <v>0.25850340136054428</v>
      </c>
      <c r="L17" s="44">
        <f>(L16-G16)/G16</f>
        <v>0.12181958365458737</v>
      </c>
      <c r="M17" s="30">
        <f t="shared" ref="M17" si="70">(M16-H16)/H16</f>
        <v>0.12671232876712327</v>
      </c>
      <c r="N17" s="30">
        <f t="shared" ref="N17" si="71">(N16-I16)/I16</f>
        <v>-9.9999999999999964E-2</v>
      </c>
      <c r="O17" s="30">
        <f t="shared" ref="O17" si="72">(O16-J16)/J16</f>
        <v>-0.16625310173697261</v>
      </c>
      <c r="P17" s="30">
        <f t="shared" ref="P17" si="73">(P16-K16)/K16</f>
        <v>-0.27567567567567564</v>
      </c>
      <c r="Q17" s="44">
        <f>(Q16-L16)/L16</f>
        <v>-0.11752577319587625</v>
      </c>
      <c r="R17" s="30">
        <f t="shared" ref="R17" si="74">(R16-M16)/M16</f>
        <v>0.58054711246200619</v>
      </c>
      <c r="S17" s="30">
        <f>(S16-N16)/N16</f>
        <v>0.80341880341880323</v>
      </c>
      <c r="T17" s="30">
        <f t="shared" ref="T17" si="75">(T16-O16)/O16</f>
        <v>-1</v>
      </c>
      <c r="U17" s="30">
        <f t="shared" ref="U17" si="76">(U16-P16)/P16</f>
        <v>-1</v>
      </c>
      <c r="V17" s="44">
        <f>(V16-Q16)/Q16</f>
        <v>-0.10202492211838013</v>
      </c>
    </row>
    <row r="18" spans="2:22" x14ac:dyDescent="0.25">
      <c r="B18" s="2" t="s">
        <v>140</v>
      </c>
      <c r="C18" s="2">
        <v>29</v>
      </c>
      <c r="D18" s="2">
        <v>29</v>
      </c>
      <c r="E18" s="2">
        <v>22.6</v>
      </c>
      <c r="F18" s="2">
        <v>44.8</v>
      </c>
      <c r="G18" s="38">
        <f>SUM(C18:F18)</f>
        <v>125.39999999999999</v>
      </c>
      <c r="H18" s="2">
        <v>31.6</v>
      </c>
      <c r="I18" s="2">
        <v>35.9</v>
      </c>
      <c r="J18" s="2">
        <v>39.1</v>
      </c>
      <c r="K18" s="2">
        <v>35.9</v>
      </c>
      <c r="L18" s="38">
        <f>SUM(H18:K18)</f>
        <v>142.5</v>
      </c>
      <c r="M18" s="2">
        <v>40.299999999999997</v>
      </c>
      <c r="N18" s="2">
        <v>53.3</v>
      </c>
      <c r="O18" s="2">
        <v>40.9</v>
      </c>
      <c r="P18" s="2">
        <v>40.5</v>
      </c>
      <c r="Q18" s="38">
        <f>SUM(M18:P18)</f>
        <v>175</v>
      </c>
      <c r="R18" s="2">
        <v>57.6</v>
      </c>
      <c r="S18" s="2">
        <v>43.7</v>
      </c>
      <c r="V18" s="38">
        <f>SUM(R18:U18)</f>
        <v>101.30000000000001</v>
      </c>
    </row>
    <row r="19" spans="2:22" x14ac:dyDescent="0.25">
      <c r="B19" s="29" t="s">
        <v>144</v>
      </c>
      <c r="C19" s="29"/>
      <c r="D19" s="29"/>
      <c r="E19" s="29"/>
      <c r="F19" s="29"/>
      <c r="G19" s="39"/>
      <c r="H19" s="30">
        <f t="shared" ref="H19" si="77">(H18-C18)/C18</f>
        <v>8.9655172413793158E-2</v>
      </c>
      <c r="I19" s="30">
        <f t="shared" ref="I19" si="78">(I18-D18)/D18</f>
        <v>0.23793103448275857</v>
      </c>
      <c r="J19" s="30">
        <f t="shared" ref="J19" si="79">(J18-E18)/E18</f>
        <v>0.73008849557522115</v>
      </c>
      <c r="K19" s="30">
        <f t="shared" ref="K19" si="80">(K18-F18)/F18</f>
        <v>-0.19866071428571427</v>
      </c>
      <c r="L19" s="44">
        <f>(L18-G18)/G18</f>
        <v>0.13636363636363644</v>
      </c>
      <c r="M19" s="30">
        <f t="shared" ref="M19" si="81">(M18-H18)/H18</f>
        <v>0.27531645569620239</v>
      </c>
      <c r="N19" s="30">
        <f t="shared" ref="N19" si="82">(N18-I18)/I18</f>
        <v>0.48467966573816151</v>
      </c>
      <c r="O19" s="30">
        <f t="shared" ref="O19" si="83">(O18-J18)/J18</f>
        <v>4.603580562659839E-2</v>
      </c>
      <c r="P19" s="30">
        <f t="shared" ref="P19" si="84">(P18-K18)/K18</f>
        <v>0.12813370473537608</v>
      </c>
      <c r="Q19" s="44">
        <f>(Q18-L18)/L18</f>
        <v>0.22807017543859648</v>
      </c>
      <c r="R19" s="30">
        <f t="shared" ref="R19" si="85">(R18-M18)/M18</f>
        <v>0.42928039702233262</v>
      </c>
      <c r="S19" s="30">
        <f>(S18-N18)/N18</f>
        <v>-0.18011257035647271</v>
      </c>
      <c r="T19" s="30">
        <f t="shared" ref="T19" si="86">(T18-O18)/O18</f>
        <v>-1</v>
      </c>
      <c r="U19" s="30">
        <f t="shared" ref="U19" si="87">(U18-P18)/P18</f>
        <v>-1</v>
      </c>
      <c r="V19" s="44">
        <f>(V18-Q18)/Q18</f>
        <v>-0.4211428571428571</v>
      </c>
    </row>
    <row r="20" spans="2:22" x14ac:dyDescent="0.25">
      <c r="B20" s="2" t="s">
        <v>141</v>
      </c>
      <c r="C20" s="2">
        <v>12.9</v>
      </c>
      <c r="D20" s="2">
        <v>12.9</v>
      </c>
      <c r="E20" s="2">
        <v>20.5</v>
      </c>
      <c r="F20" s="2">
        <v>25.5</v>
      </c>
      <c r="G20" s="38">
        <f>SUM(C20:F20)</f>
        <v>71.8</v>
      </c>
      <c r="H20" s="2">
        <v>10.5</v>
      </c>
      <c r="I20" s="2">
        <v>14.3</v>
      </c>
      <c r="J20" s="2">
        <v>18.600000000000001</v>
      </c>
      <c r="K20" s="2">
        <v>14.2</v>
      </c>
      <c r="L20" s="38">
        <f>SUM(H20:K20)</f>
        <v>57.600000000000009</v>
      </c>
      <c r="M20" s="2">
        <v>13</v>
      </c>
      <c r="N20" s="2">
        <v>20.6</v>
      </c>
      <c r="O20" s="2">
        <v>27.4</v>
      </c>
      <c r="P20" s="2">
        <v>25.8</v>
      </c>
      <c r="Q20" s="38">
        <f>SUM(M20:P20)</f>
        <v>86.8</v>
      </c>
      <c r="R20" s="2">
        <v>19.7</v>
      </c>
      <c r="S20" s="2">
        <v>30.8</v>
      </c>
      <c r="V20" s="38">
        <f>SUM(R20:U20)</f>
        <v>50.5</v>
      </c>
    </row>
    <row r="21" spans="2:22" x14ac:dyDescent="0.25">
      <c r="B21" s="29" t="s">
        <v>144</v>
      </c>
      <c r="C21" s="29"/>
      <c r="D21" s="29"/>
      <c r="E21" s="29"/>
      <c r="F21" s="29"/>
      <c r="G21" s="39"/>
      <c r="H21" s="30">
        <f t="shared" ref="H21" si="88">(H20-C20)/C20</f>
        <v>-0.186046511627907</v>
      </c>
      <c r="I21" s="30">
        <f t="shared" ref="I21" si="89">(I20-D20)/D20</f>
        <v>0.10852713178294576</v>
      </c>
      <c r="J21" s="30">
        <f t="shared" ref="J21" si="90">(J20-E20)/E20</f>
        <v>-9.2682926829268222E-2</v>
      </c>
      <c r="K21" s="30">
        <f t="shared" ref="K21" si="91">(K20-F20)/F20</f>
        <v>-0.44313725490196082</v>
      </c>
      <c r="L21" s="44">
        <f>(L20-G20)/G20</f>
        <v>-0.19777158774373244</v>
      </c>
      <c r="M21" s="30">
        <f t="shared" ref="M21" si="92">(M20-H20)/H20</f>
        <v>0.23809523809523808</v>
      </c>
      <c r="N21" s="30">
        <f t="shared" ref="N21" si="93">(N20-I20)/I20</f>
        <v>0.44055944055944057</v>
      </c>
      <c r="O21" s="30">
        <f t="shared" ref="O21" si="94">(O20-J20)/J20</f>
        <v>0.47311827956989227</v>
      </c>
      <c r="P21" s="30">
        <f t="shared" ref="P21" si="95">(P20-K20)/K20</f>
        <v>0.81690140845070436</v>
      </c>
      <c r="Q21" s="44">
        <f>(Q20-L20)/L20</f>
        <v>0.5069444444444442</v>
      </c>
      <c r="R21" s="30">
        <f t="shared" ref="R21" si="96">(R20-M20)/M20</f>
        <v>0.51538461538461533</v>
      </c>
      <c r="S21" s="30">
        <f>(S20-N20)/N20</f>
        <v>0.49514563106796111</v>
      </c>
      <c r="T21" s="30">
        <f t="shared" ref="T21" si="97">(T20-O20)/O20</f>
        <v>-1</v>
      </c>
      <c r="U21" s="30">
        <f t="shared" ref="U21" si="98">(U20-P20)/P20</f>
        <v>-1</v>
      </c>
      <c r="V21" s="44">
        <f>(V20-Q20)/Q20</f>
        <v>-0.41820276497695852</v>
      </c>
    </row>
    <row r="22" spans="2:22" x14ac:dyDescent="0.25">
      <c r="B22" s="2" t="s">
        <v>142</v>
      </c>
      <c r="C22" s="2">
        <v>32.799999999999997</v>
      </c>
      <c r="D22" s="2">
        <v>32.799999999999997</v>
      </c>
      <c r="E22" s="2">
        <v>28.1</v>
      </c>
      <c r="F22" s="2">
        <v>30.2</v>
      </c>
      <c r="G22" s="38">
        <f>SUM(C22:F22)</f>
        <v>123.89999999999999</v>
      </c>
      <c r="H22" s="2">
        <v>29</v>
      </c>
      <c r="I22" s="2">
        <v>32.200000000000003</v>
      </c>
      <c r="J22" s="2">
        <v>34.700000000000003</v>
      </c>
      <c r="K22" s="2">
        <v>55.2</v>
      </c>
      <c r="L22" s="38">
        <f>SUM(H22:K22)</f>
        <v>151.10000000000002</v>
      </c>
      <c r="M22" s="2">
        <v>61.2</v>
      </c>
      <c r="N22" s="2">
        <v>63.1</v>
      </c>
      <c r="O22" s="2">
        <v>66.5</v>
      </c>
      <c r="P22" s="2">
        <v>71.2</v>
      </c>
      <c r="Q22" s="38">
        <f>SUM(M22:P22)</f>
        <v>262</v>
      </c>
      <c r="R22" s="2">
        <v>57.8</v>
      </c>
      <c r="S22" s="2">
        <v>61.3</v>
      </c>
      <c r="V22" s="38">
        <f>SUM(R22:U22)</f>
        <v>119.1</v>
      </c>
    </row>
    <row r="23" spans="2:22" x14ac:dyDescent="0.25">
      <c r="B23" s="29" t="s">
        <v>144</v>
      </c>
      <c r="C23" s="29"/>
      <c r="D23" s="29"/>
      <c r="E23" s="29"/>
      <c r="F23" s="29"/>
      <c r="G23" s="46"/>
      <c r="H23" s="30">
        <f t="shared" ref="H23" si="99">(H22-C22)/C22</f>
        <v>-0.11585365853658529</v>
      </c>
      <c r="I23" s="30">
        <f t="shared" ref="I23" si="100">(I22-D22)/D22</f>
        <v>-1.8292682926829097E-2</v>
      </c>
      <c r="J23" s="30">
        <f>(J22-E22)/E22</f>
        <v>0.2348754448398577</v>
      </c>
      <c r="K23" s="30">
        <f t="shared" ref="K23" si="101">(K22-F22)/F22</f>
        <v>0.82781456953642396</v>
      </c>
      <c r="L23" s="44">
        <f>(L22-G22)/G22</f>
        <v>0.21953188054882997</v>
      </c>
      <c r="M23" s="30">
        <f t="shared" ref="M23" si="102">(M22-H22)/H22</f>
        <v>1.1103448275862069</v>
      </c>
      <c r="N23" s="30">
        <f t="shared" ref="N23" si="103">(N22-I22)/I22</f>
        <v>0.95962732919254645</v>
      </c>
      <c r="O23" s="30">
        <f t="shared" ref="O23" si="104">(O22-J22)/J22</f>
        <v>0.91642651296829958</v>
      </c>
      <c r="P23" s="30">
        <f t="shared" ref="P23" si="105">(P22-K22)/K22</f>
        <v>0.28985507246376813</v>
      </c>
      <c r="Q23" s="44">
        <f>(Q22-L22)/L22</f>
        <v>0.73395102581072114</v>
      </c>
      <c r="R23" s="30">
        <f t="shared" ref="R23" si="106">(R22-M22)/M22</f>
        <v>-5.5555555555555643E-2</v>
      </c>
      <c r="S23" s="30">
        <f>(S22-N22)/N22</f>
        <v>-2.8526148969889132E-2</v>
      </c>
      <c r="T23" s="30">
        <f t="shared" ref="T23" si="107">(T22-O22)/O22</f>
        <v>-1</v>
      </c>
      <c r="U23" s="30">
        <f t="shared" ref="U23" si="108">(U22-P22)/P22</f>
        <v>-1</v>
      </c>
      <c r="V23" s="44">
        <f>(V22-Q22)/Q22</f>
        <v>-0.54541984732824433</v>
      </c>
    </row>
    <row r="24" spans="2:22" x14ac:dyDescent="0.25">
      <c r="B24" s="31" t="s">
        <v>143</v>
      </c>
      <c r="C24" s="35">
        <f t="shared" ref="C24:R24" si="109">C4+C6+C8+C10+C12+C14+C16+C18+C20+C22</f>
        <v>1178.0000000000002</v>
      </c>
      <c r="D24" s="35">
        <f t="shared" si="109"/>
        <v>1141.4000000000001</v>
      </c>
      <c r="E24" s="35">
        <f t="shared" si="109"/>
        <v>1091.6999999999998</v>
      </c>
      <c r="F24" s="35">
        <f t="shared" si="109"/>
        <v>1191.6000000000001</v>
      </c>
      <c r="G24" s="48"/>
      <c r="H24" s="35">
        <f t="shared" si="109"/>
        <v>1399.3999999999999</v>
      </c>
      <c r="I24" s="35">
        <f t="shared" si="109"/>
        <v>1450.3</v>
      </c>
      <c r="J24" s="35">
        <f t="shared" si="109"/>
        <v>1439.8</v>
      </c>
      <c r="K24" s="35">
        <f t="shared" si="109"/>
        <v>1449.9000000000003</v>
      </c>
      <c r="L24" s="48"/>
      <c r="M24" s="35">
        <f t="shared" si="109"/>
        <v>1535.0000000000002</v>
      </c>
      <c r="N24" s="35">
        <f t="shared" si="109"/>
        <v>1494.2999999999997</v>
      </c>
      <c r="O24" s="35">
        <f t="shared" si="109"/>
        <v>1273</v>
      </c>
      <c r="P24" s="35">
        <f t="shared" si="109"/>
        <v>1276.6999999999998</v>
      </c>
      <c r="Q24" s="48"/>
      <c r="R24" s="35">
        <f t="shared" si="109"/>
        <v>1351.1999999999998</v>
      </c>
      <c r="S24" s="35">
        <f>S4+S6+S8+S10+S12+S14+S16+S18+S20+S22</f>
        <v>1362.5</v>
      </c>
      <c r="T24" s="26"/>
      <c r="U24" s="26"/>
      <c r="V24" s="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6"/>
  <sheetViews>
    <sheetView showGridLines="0" workbookViewId="0">
      <selection activeCell="G6" sqref="G6"/>
    </sheetView>
  </sheetViews>
  <sheetFormatPr baseColWidth="10" defaultRowHeight="16" x14ac:dyDescent="0.2"/>
  <cols>
    <col min="3" max="3" width="29.5" bestFit="1" customWidth="1"/>
    <col min="4" max="4" width="28.5" bestFit="1" customWidth="1"/>
    <col min="5" max="6" width="28.33203125" bestFit="1" customWidth="1"/>
  </cols>
  <sheetData>
    <row r="4" spans="3:6" ht="62" x14ac:dyDescent="0.7">
      <c r="C4" s="23"/>
      <c r="D4" s="23">
        <v>2025</v>
      </c>
      <c r="E4" s="23">
        <v>2026</v>
      </c>
      <c r="F4" s="23">
        <v>2027</v>
      </c>
    </row>
    <row r="5" spans="3:6" ht="62" x14ac:dyDescent="0.7">
      <c r="C5" s="23" t="s">
        <v>29</v>
      </c>
      <c r="D5" s="24">
        <f>Modell!$B$9/Modell!AF13</f>
        <v>11.242842267243841</v>
      </c>
      <c r="E5" s="24">
        <f>Modell!$B$9/Modell!AG13</f>
        <v>10.70746882594651</v>
      </c>
      <c r="F5" s="24">
        <f>Modell!$B$9/Modell!AH13</f>
        <v>9.9604361171595439</v>
      </c>
    </row>
    <row r="6" spans="3:6" ht="62" x14ac:dyDescent="0.7">
      <c r="C6" s="23" t="s">
        <v>30</v>
      </c>
      <c r="D6" s="24">
        <f>Modell!$B$4/Modell!AF19</f>
        <v>13.480624954823213</v>
      </c>
      <c r="E6" s="24">
        <f>Modell!$B$4/Modell!AG19</f>
        <v>12.838690433164958</v>
      </c>
      <c r="F6" s="24">
        <f>Modell!$B$4/Modell!AH19</f>
        <v>11.942967844804613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Info</vt:lpstr>
      <vt:lpstr>Modell</vt:lpstr>
      <vt:lpstr>T&amp;T</vt:lpstr>
      <vt:lpstr>Mobile thermal sol</vt:lpstr>
      <vt:lpstr>Ringfender power trans</vt:lpstr>
      <vt:lpstr>Land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2025-08-01T07:30:47Z</dcterms:modified>
</cp:coreProperties>
</file>