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ugusthodt/Desktop/Aksjemodellering/"/>
    </mc:Choice>
  </mc:AlternateContent>
  <xr:revisionPtr revIDLastSave="0" documentId="13_ncr:1_{C7F91E4A-FBE3-5C4D-9685-E032A0A43683}" xr6:coauthVersionLast="47" xr6:coauthVersionMax="47" xr10:uidLastSave="{00000000-0000-0000-0000-000000000000}"/>
  <bookViews>
    <workbookView xWindow="22300" yWindow="760" windowWidth="28900" windowHeight="26500" xr2:uid="{5AE0DF26-B7DD-1242-A60E-253C73A930AF}"/>
  </bookViews>
  <sheets>
    <sheet name="Info" sheetId="1" r:id="rId1"/>
    <sheet name="Modell" sheetId="2" r:id="rId2"/>
    <sheet name="Segementer" sheetId="4" r:id="rId3"/>
    <sheet name="SOTP" sheetId="5" r:id="rId4"/>
    <sheet name="Nøkkeltall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64" i="2" l="1"/>
  <c r="P6" i="2"/>
  <c r="P11" i="2" s="1"/>
  <c r="P16" i="2" s="1"/>
  <c r="P18" i="2" s="1"/>
  <c r="P19" i="2" s="1"/>
  <c r="P89" i="2"/>
  <c r="P79" i="2"/>
  <c r="P66" i="2"/>
  <c r="P53" i="2"/>
  <c r="P42" i="2"/>
  <c r="P37" i="2"/>
  <c r="D21" i="5"/>
  <c r="D33" i="5"/>
  <c r="D30" i="5"/>
  <c r="D17" i="5"/>
  <c r="D11" i="5"/>
  <c r="D27" i="5"/>
  <c r="D25" i="5"/>
  <c r="D20" i="5"/>
  <c r="D22" i="5"/>
  <c r="D16" i="5"/>
  <c r="D10" i="5"/>
  <c r="AN23" i="2"/>
  <c r="AA12" i="2"/>
  <c r="AB12" i="2" s="1"/>
  <c r="AC12" i="2" s="1"/>
  <c r="AD12" i="2" s="1"/>
  <c r="AE12" i="2" s="1"/>
  <c r="AF12" i="2" s="1"/>
  <c r="AG12" i="2" s="1"/>
  <c r="AH12" i="2" s="1"/>
  <c r="AI12" i="2" s="1"/>
  <c r="AJ12" i="2" s="1"/>
  <c r="AK12" i="2" s="1"/>
  <c r="AB8" i="2"/>
  <c r="AC8" i="2" s="1"/>
  <c r="AD8" i="2" s="1"/>
  <c r="AE8" i="2" s="1"/>
  <c r="AF8" i="2" s="1"/>
  <c r="AG8" i="2" s="1"/>
  <c r="AH8" i="2" s="1"/>
  <c r="AI8" i="2" s="1"/>
  <c r="AJ8" i="2" s="1"/>
  <c r="AK8" i="2" s="1"/>
  <c r="AB9" i="2"/>
  <c r="AC9" i="2" s="1"/>
  <c r="AD9" i="2" s="1"/>
  <c r="AE9" i="2" s="1"/>
  <c r="AF9" i="2" s="1"/>
  <c r="AG9" i="2" s="1"/>
  <c r="AH9" i="2" s="1"/>
  <c r="AI9" i="2" s="1"/>
  <c r="AJ9" i="2" s="1"/>
  <c r="AK9" i="2" s="1"/>
  <c r="AA9" i="2"/>
  <c r="AA8" i="2"/>
  <c r="AA7" i="2"/>
  <c r="AB7" i="2" s="1"/>
  <c r="AC7" i="2" s="1"/>
  <c r="AD7" i="2" s="1"/>
  <c r="AE7" i="2" s="1"/>
  <c r="AF7" i="2" s="1"/>
  <c r="AG7" i="2" s="1"/>
  <c r="AH7" i="2" s="1"/>
  <c r="AI7" i="2" s="1"/>
  <c r="AJ7" i="2" s="1"/>
  <c r="AK7" i="2" s="1"/>
  <c r="AA10" i="2"/>
  <c r="AB10" i="2" s="1"/>
  <c r="AC10" i="2" s="1"/>
  <c r="AD10" i="2" s="1"/>
  <c r="AE10" i="2" s="1"/>
  <c r="AF10" i="2" s="1"/>
  <c r="AG10" i="2" s="1"/>
  <c r="AH10" i="2" s="1"/>
  <c r="AI10" i="2" s="1"/>
  <c r="AJ10" i="2" s="1"/>
  <c r="AK10" i="2" s="1"/>
  <c r="AB4" i="2"/>
  <c r="AB6" i="2" s="1"/>
  <c r="AA4" i="2"/>
  <c r="AK20" i="2"/>
  <c r="AJ20" i="2"/>
  <c r="AI20" i="2"/>
  <c r="AH20" i="2"/>
  <c r="AG20" i="2"/>
  <c r="AF20" i="2"/>
  <c r="AE20" i="2"/>
  <c r="AD20" i="2"/>
  <c r="AC20" i="2"/>
  <c r="AB20" i="2"/>
  <c r="AA20" i="2"/>
  <c r="AA6" i="2"/>
  <c r="U64" i="2"/>
  <c r="U66" i="2" s="1"/>
  <c r="U91" i="2" s="1"/>
  <c r="V64" i="2"/>
  <c r="V66" i="2" s="1"/>
  <c r="U89" i="2"/>
  <c r="V89" i="2"/>
  <c r="U79" i="2"/>
  <c r="V79" i="2"/>
  <c r="V20" i="2"/>
  <c r="U20" i="2"/>
  <c r="W64" i="2"/>
  <c r="W66" i="2"/>
  <c r="X64" i="2"/>
  <c r="W20" i="2"/>
  <c r="X20" i="2"/>
  <c r="U6" i="2"/>
  <c r="U11" i="2" s="1"/>
  <c r="V6" i="2"/>
  <c r="W6" i="2"/>
  <c r="W11" i="2" s="1"/>
  <c r="W16" i="2" s="1"/>
  <c r="W18" i="2" s="1"/>
  <c r="W19" i="2" s="1"/>
  <c r="X6" i="2"/>
  <c r="X11" i="2" s="1"/>
  <c r="X16" i="2" s="1"/>
  <c r="P57" i="2" l="1"/>
  <c r="P91" i="2"/>
  <c r="P23" i="2"/>
  <c r="AA11" i="2"/>
  <c r="W23" i="2"/>
  <c r="P93" i="2"/>
  <c r="AC4" i="2"/>
  <c r="P54" i="2"/>
  <c r="D23" i="5"/>
  <c r="D29" i="5"/>
  <c r="D31" i="5" s="1"/>
  <c r="D34" i="5" s="1"/>
  <c r="B2" i="5" s="1"/>
  <c r="AB11" i="2"/>
  <c r="AB23" i="2" s="1"/>
  <c r="AA16" i="2"/>
  <c r="AA23" i="2"/>
  <c r="AB22" i="2"/>
  <c r="U93" i="2"/>
  <c r="V91" i="2"/>
  <c r="V93" i="2"/>
  <c r="U23" i="2"/>
  <c r="U16" i="2"/>
  <c r="V22" i="2"/>
  <c r="W22" i="2"/>
  <c r="V11" i="2"/>
  <c r="X18" i="2"/>
  <c r="X19" i="2" s="1"/>
  <c r="D64" i="2"/>
  <c r="D6" i="2"/>
  <c r="D11" i="2" s="1"/>
  <c r="D16" i="2" s="1"/>
  <c r="D18" i="2" s="1"/>
  <c r="E64" i="2"/>
  <c r="E37" i="2"/>
  <c r="E6" i="2"/>
  <c r="E11" i="2" s="1"/>
  <c r="E16" i="2" s="1"/>
  <c r="E18" i="2" s="1"/>
  <c r="F64" i="2"/>
  <c r="F6" i="2"/>
  <c r="F11" i="2" s="1"/>
  <c r="F16" i="2" s="1"/>
  <c r="F18" i="2" s="1"/>
  <c r="G64" i="2"/>
  <c r="G6" i="2"/>
  <c r="G11" i="2" s="1"/>
  <c r="H64" i="2"/>
  <c r="L64" i="2"/>
  <c r="H6" i="2"/>
  <c r="H11" i="2" s="1"/>
  <c r="H16" i="2" s="1"/>
  <c r="H18" i="2" s="1"/>
  <c r="L20" i="2"/>
  <c r="L6" i="2"/>
  <c r="AA17" i="2" l="1"/>
  <c r="AA18" i="2" s="1"/>
  <c r="AA19" i="2" s="1"/>
  <c r="D6" i="3" s="1"/>
  <c r="L11" i="2"/>
  <c r="L16" i="2" s="1"/>
  <c r="L18" i="2" s="1"/>
  <c r="L19" i="2" s="1"/>
  <c r="P22" i="2"/>
  <c r="AC6" i="2"/>
  <c r="AD4" i="2"/>
  <c r="AB16" i="2"/>
  <c r="AB17" i="2" s="1"/>
  <c r="AB18" i="2" s="1"/>
  <c r="AB19" i="2" s="1"/>
  <c r="E6" i="3" s="1"/>
  <c r="U18" i="2"/>
  <c r="U19" i="2" s="1"/>
  <c r="U57" i="2"/>
  <c r="V16" i="2"/>
  <c r="V23" i="2"/>
  <c r="G16" i="2"/>
  <c r="G18" i="2" s="1"/>
  <c r="I64" i="2"/>
  <c r="M64" i="2"/>
  <c r="I6" i="2"/>
  <c r="I11" i="2" s="1"/>
  <c r="I16" i="2" s="1"/>
  <c r="I18" i="2" s="1"/>
  <c r="J6" i="2"/>
  <c r="J11" i="2" s="1"/>
  <c r="J16" i="2" s="1"/>
  <c r="J18" i="2" s="1"/>
  <c r="M20" i="2"/>
  <c r="M6" i="2"/>
  <c r="J64" i="2"/>
  <c r="N64" i="2"/>
  <c r="D53" i="2"/>
  <c r="E53" i="2"/>
  <c r="F53" i="2"/>
  <c r="G53" i="2"/>
  <c r="H53" i="2"/>
  <c r="I53" i="2"/>
  <c r="J53" i="2"/>
  <c r="K53" i="2"/>
  <c r="L53" i="2"/>
  <c r="M53" i="2"/>
  <c r="N53" i="2"/>
  <c r="D42" i="2"/>
  <c r="E42" i="2"/>
  <c r="F42" i="2"/>
  <c r="G42" i="2"/>
  <c r="H42" i="2"/>
  <c r="I42" i="2"/>
  <c r="J42" i="2"/>
  <c r="K42" i="2"/>
  <c r="L42" i="2"/>
  <c r="M42" i="2"/>
  <c r="N42" i="2"/>
  <c r="D37" i="2"/>
  <c r="F37" i="2"/>
  <c r="G37" i="2"/>
  <c r="H37" i="2"/>
  <c r="I37" i="2"/>
  <c r="J37" i="2"/>
  <c r="K37" i="2"/>
  <c r="L37" i="2"/>
  <c r="M37" i="2"/>
  <c r="N37" i="2"/>
  <c r="N20" i="2"/>
  <c r="N6" i="2"/>
  <c r="N11" i="2" s="1"/>
  <c r="N16" i="2" s="1"/>
  <c r="N18" i="2" s="1"/>
  <c r="X23" i="2"/>
  <c r="X22" i="2"/>
  <c r="D23" i="2"/>
  <c r="E23" i="2"/>
  <c r="F23" i="2"/>
  <c r="G23" i="2"/>
  <c r="H22" i="2"/>
  <c r="L22" i="2"/>
  <c r="AD6" i="2" l="1"/>
  <c r="AE4" i="2"/>
  <c r="AC22" i="2"/>
  <c r="AC11" i="2"/>
  <c r="V18" i="2"/>
  <c r="V19" i="2" s="1"/>
  <c r="V57" i="2"/>
  <c r="N54" i="2"/>
  <c r="J22" i="2"/>
  <c r="I22" i="2"/>
  <c r="K54" i="2"/>
  <c r="M22" i="2"/>
  <c r="M54" i="2"/>
  <c r="D54" i="2"/>
  <c r="E54" i="2"/>
  <c r="F54" i="2"/>
  <c r="G54" i="2"/>
  <c r="J54" i="2"/>
  <c r="H54" i="2"/>
  <c r="L54" i="2"/>
  <c r="I54" i="2"/>
  <c r="M11" i="2"/>
  <c r="M23" i="2" s="1"/>
  <c r="N19" i="2"/>
  <c r="N22" i="2"/>
  <c r="K64" i="2"/>
  <c r="K66" i="2" s="1"/>
  <c r="K93" i="2" s="1"/>
  <c r="D66" i="2"/>
  <c r="D93" i="2" s="1"/>
  <c r="E66" i="2"/>
  <c r="E93" i="2" s="1"/>
  <c r="F66" i="2"/>
  <c r="F93" i="2" s="1"/>
  <c r="G66" i="2"/>
  <c r="G93" i="2" s="1"/>
  <c r="H66" i="2"/>
  <c r="H93" i="2" s="1"/>
  <c r="I66" i="2"/>
  <c r="I93" i="2" s="1"/>
  <c r="J66" i="2"/>
  <c r="J93" i="2" s="1"/>
  <c r="L66" i="2"/>
  <c r="L93" i="2" s="1"/>
  <c r="M66" i="2"/>
  <c r="N66" i="2"/>
  <c r="N93" i="2" s="1"/>
  <c r="D79" i="2"/>
  <c r="E79" i="2"/>
  <c r="F79" i="2"/>
  <c r="G79" i="2"/>
  <c r="H79" i="2"/>
  <c r="I79" i="2"/>
  <c r="J79" i="2"/>
  <c r="K79" i="2"/>
  <c r="L79" i="2"/>
  <c r="M79" i="2"/>
  <c r="N79" i="2"/>
  <c r="D89" i="2"/>
  <c r="E89" i="2"/>
  <c r="F89" i="2"/>
  <c r="G89" i="2"/>
  <c r="H89" i="2"/>
  <c r="I89" i="2"/>
  <c r="J89" i="2"/>
  <c r="K89" i="2"/>
  <c r="L89" i="2"/>
  <c r="M89" i="2"/>
  <c r="N89" i="2"/>
  <c r="O89" i="2"/>
  <c r="O79" i="2"/>
  <c r="O64" i="2"/>
  <c r="O66" i="2" s="1"/>
  <c r="D57" i="2"/>
  <c r="E57" i="2"/>
  <c r="F57" i="2"/>
  <c r="G57" i="2"/>
  <c r="H57" i="2"/>
  <c r="I57" i="2"/>
  <c r="J57" i="2"/>
  <c r="L57" i="2"/>
  <c r="N57" i="2"/>
  <c r="O53" i="2"/>
  <c r="O42" i="2"/>
  <c r="O37" i="2"/>
  <c r="N23" i="2"/>
  <c r="L23" i="2"/>
  <c r="J23" i="2"/>
  <c r="I23" i="2"/>
  <c r="H23" i="2"/>
  <c r="K20" i="2"/>
  <c r="K6" i="2"/>
  <c r="O20" i="2"/>
  <c r="O6" i="2"/>
  <c r="Y64" i="2"/>
  <c r="Y66" i="2" s="1"/>
  <c r="Y93" i="2" s="1"/>
  <c r="W89" i="2"/>
  <c r="X89" i="2"/>
  <c r="Y89" i="2"/>
  <c r="W79" i="2"/>
  <c r="X79" i="2"/>
  <c r="Y79" i="2"/>
  <c r="Z89" i="2"/>
  <c r="Z79" i="2"/>
  <c r="X66" i="2"/>
  <c r="X93" i="2" s="1"/>
  <c r="Z64" i="2"/>
  <c r="Z66" i="2" s="1"/>
  <c r="Z93" i="2" s="1"/>
  <c r="W57" i="2"/>
  <c r="X57" i="2"/>
  <c r="Z91" i="2" l="1"/>
  <c r="AC16" i="2"/>
  <c r="AC17" i="2" s="1"/>
  <c r="AC18" i="2" s="1"/>
  <c r="AC19" i="2" s="1"/>
  <c r="F6" i="3" s="1"/>
  <c r="AC23" i="2"/>
  <c r="AF4" i="2"/>
  <c r="AE6" i="2"/>
  <c r="AD11" i="2"/>
  <c r="AD22" i="2"/>
  <c r="O22" i="2"/>
  <c r="O54" i="2"/>
  <c r="W91" i="2"/>
  <c r="O93" i="2"/>
  <c r="O91" i="2"/>
  <c r="W93" i="2"/>
  <c r="K11" i="2"/>
  <c r="K22" i="2"/>
  <c r="M16" i="2"/>
  <c r="M57" i="2" s="1"/>
  <c r="O11" i="2"/>
  <c r="D91" i="2"/>
  <c r="F91" i="2"/>
  <c r="G91" i="2"/>
  <c r="H91" i="2"/>
  <c r="E91" i="2"/>
  <c r="L91" i="2"/>
  <c r="M91" i="2"/>
  <c r="M93" i="2"/>
  <c r="N91" i="2"/>
  <c r="J91" i="2"/>
  <c r="K91" i="2"/>
  <c r="I91" i="2"/>
  <c r="X91" i="2"/>
  <c r="Y91" i="2"/>
  <c r="AD23" i="2" l="1"/>
  <c r="AD16" i="2"/>
  <c r="AD17" i="2" s="1"/>
  <c r="AD18" i="2" s="1"/>
  <c r="AE11" i="2"/>
  <c r="AE22" i="2"/>
  <c r="AG4" i="2"/>
  <c r="AF6" i="2"/>
  <c r="M18" i="2"/>
  <c r="M19" i="2" s="1"/>
  <c r="K16" i="2"/>
  <c r="K57" i="2" s="1"/>
  <c r="K23" i="2"/>
  <c r="O23" i="2"/>
  <c r="O16" i="2"/>
  <c r="Y20" i="2"/>
  <c r="Y6" i="2"/>
  <c r="Z20" i="2"/>
  <c r="Z6" i="2"/>
  <c r="AA22" i="2" s="1"/>
  <c r="B5" i="2"/>
  <c r="B6" i="2" s="1"/>
  <c r="B9" i="2" s="1"/>
  <c r="AE23" i="2" l="1"/>
  <c r="AE16" i="2"/>
  <c r="AE17" i="2" s="1"/>
  <c r="AE18" i="2" s="1"/>
  <c r="AE19" i="2" s="1"/>
  <c r="AH4" i="2"/>
  <c r="AG6" i="2"/>
  <c r="AD19" i="2"/>
  <c r="AF22" i="2"/>
  <c r="AF11" i="2"/>
  <c r="E5" i="3"/>
  <c r="D5" i="3"/>
  <c r="F5" i="3"/>
  <c r="Y11" i="2"/>
  <c r="Y22" i="2"/>
  <c r="Z22" i="2"/>
  <c r="O57" i="2"/>
  <c r="O18" i="2"/>
  <c r="O19" i="2" s="1"/>
  <c r="Z11" i="2"/>
  <c r="K18" i="2"/>
  <c r="K19" i="2" s="1"/>
  <c r="AF23" i="2" l="1"/>
  <c r="AF16" i="2"/>
  <c r="AF17" i="2" s="1"/>
  <c r="AF18" i="2" s="1"/>
  <c r="AI4" i="2"/>
  <c r="AH6" i="2"/>
  <c r="AG22" i="2"/>
  <c r="AG11" i="2"/>
  <c r="Z16" i="2"/>
  <c r="Z23" i="2"/>
  <c r="Y16" i="2"/>
  <c r="Y23" i="2"/>
  <c r="AG23" i="2" l="1"/>
  <c r="AG16" i="2"/>
  <c r="AG17" i="2" s="1"/>
  <c r="AG18" i="2" s="1"/>
  <c r="AG19" i="2" s="1"/>
  <c r="AH11" i="2"/>
  <c r="AH22" i="2"/>
  <c r="AI6" i="2"/>
  <c r="AJ4" i="2"/>
  <c r="AF19" i="2"/>
  <c r="Y18" i="2"/>
  <c r="Y19" i="2" s="1"/>
  <c r="Y57" i="2"/>
  <c r="Z18" i="2"/>
  <c r="Z19" i="2" s="1"/>
  <c r="Z57" i="2"/>
  <c r="AJ6" i="2" l="1"/>
  <c r="AK4" i="2"/>
  <c r="AK6" i="2" s="1"/>
  <c r="AI11" i="2"/>
  <c r="AI22" i="2"/>
  <c r="AH23" i="2"/>
  <c r="AH16" i="2"/>
  <c r="AH17" i="2" s="1"/>
  <c r="AH18" i="2" s="1"/>
  <c r="AK22" i="2" l="1"/>
  <c r="AK11" i="2"/>
  <c r="AH19" i="2"/>
  <c r="AI16" i="2"/>
  <c r="AI17" i="2" s="1"/>
  <c r="AI18" i="2" s="1"/>
  <c r="AI19" i="2" s="1"/>
  <c r="AI23" i="2"/>
  <c r="AJ11" i="2"/>
  <c r="AJ22" i="2"/>
  <c r="AJ16" i="2" l="1"/>
  <c r="AJ17" i="2" s="1"/>
  <c r="AJ18" i="2" s="1"/>
  <c r="AJ19" i="2" s="1"/>
  <c r="AJ23" i="2"/>
  <c r="AK16" i="2"/>
  <c r="AK17" i="2" s="1"/>
  <c r="AK18" i="2" s="1"/>
  <c r="AK23" i="2"/>
  <c r="AL18" i="2" l="1"/>
  <c r="AM18" i="2" s="1"/>
  <c r="AN18" i="2" s="1"/>
  <c r="AO18" i="2" s="1"/>
  <c r="AP18" i="2" s="1"/>
  <c r="AQ18" i="2" s="1"/>
  <c r="AR18" i="2" s="1"/>
  <c r="AS18" i="2" s="1"/>
  <c r="AT18" i="2" s="1"/>
  <c r="AU18" i="2" s="1"/>
  <c r="AV18" i="2" s="1"/>
  <c r="AW18" i="2" s="1"/>
  <c r="AX18" i="2" s="1"/>
  <c r="AY18" i="2" s="1"/>
  <c r="AZ18" i="2" s="1"/>
  <c r="BA18" i="2" s="1"/>
  <c r="BB18" i="2" s="1"/>
  <c r="BC18" i="2" s="1"/>
  <c r="BD18" i="2" s="1"/>
  <c r="BE18" i="2" s="1"/>
  <c r="BF18" i="2" s="1"/>
  <c r="BG18" i="2" s="1"/>
  <c r="BH18" i="2" s="1"/>
  <c r="BI18" i="2" s="1"/>
  <c r="BJ18" i="2" s="1"/>
  <c r="BK18" i="2" s="1"/>
  <c r="BL18" i="2" s="1"/>
  <c r="BM18" i="2" s="1"/>
  <c r="BN18" i="2" s="1"/>
  <c r="BO18" i="2" s="1"/>
  <c r="BP18" i="2" s="1"/>
  <c r="BQ18" i="2" s="1"/>
  <c r="BR18" i="2" s="1"/>
  <c r="BS18" i="2" s="1"/>
  <c r="BT18" i="2" s="1"/>
  <c r="BU18" i="2" s="1"/>
  <c r="BV18" i="2" s="1"/>
  <c r="BW18" i="2" s="1"/>
  <c r="BX18" i="2" s="1"/>
  <c r="BY18" i="2" s="1"/>
  <c r="BZ18" i="2" s="1"/>
  <c r="CA18" i="2" s="1"/>
  <c r="CB18" i="2" s="1"/>
  <c r="CC18" i="2" s="1"/>
  <c r="CD18" i="2" s="1"/>
  <c r="CE18" i="2" s="1"/>
  <c r="CF18" i="2" s="1"/>
  <c r="CG18" i="2" s="1"/>
  <c r="CH18" i="2" s="1"/>
  <c r="CI18" i="2" s="1"/>
  <c r="CJ18" i="2" s="1"/>
  <c r="CK18" i="2" s="1"/>
  <c r="CL18" i="2" s="1"/>
  <c r="CM18" i="2" s="1"/>
  <c r="CN18" i="2" s="1"/>
  <c r="CO18" i="2" s="1"/>
  <c r="CP18" i="2" s="1"/>
  <c r="CQ18" i="2" s="1"/>
  <c r="CR18" i="2" s="1"/>
  <c r="CS18" i="2" s="1"/>
  <c r="CT18" i="2" s="1"/>
  <c r="CU18" i="2" s="1"/>
  <c r="CV18" i="2" s="1"/>
  <c r="CW18" i="2" s="1"/>
  <c r="CX18" i="2" s="1"/>
  <c r="CY18" i="2" s="1"/>
  <c r="CZ18" i="2" s="1"/>
  <c r="DA18" i="2" s="1"/>
  <c r="DB18" i="2" s="1"/>
  <c r="DC18" i="2" s="1"/>
  <c r="DD18" i="2" s="1"/>
  <c r="DE18" i="2" s="1"/>
  <c r="DF18" i="2" s="1"/>
  <c r="DG18" i="2" s="1"/>
  <c r="DH18" i="2" s="1"/>
  <c r="DI18" i="2" s="1"/>
  <c r="DJ18" i="2" s="1"/>
  <c r="DK18" i="2" s="1"/>
  <c r="DL18" i="2" s="1"/>
  <c r="DM18" i="2" s="1"/>
  <c r="DN18" i="2" s="1"/>
  <c r="DO18" i="2" s="1"/>
  <c r="DP18" i="2" s="1"/>
  <c r="DQ18" i="2" s="1"/>
  <c r="DR18" i="2" s="1"/>
  <c r="DS18" i="2" s="1"/>
  <c r="DT18" i="2" s="1"/>
  <c r="DU18" i="2" s="1"/>
  <c r="DV18" i="2" s="1"/>
  <c r="DW18" i="2" s="1"/>
  <c r="DX18" i="2" s="1"/>
  <c r="DY18" i="2" s="1"/>
  <c r="DZ18" i="2" s="1"/>
  <c r="EA18" i="2" s="1"/>
  <c r="EB18" i="2" s="1"/>
  <c r="EC18" i="2" s="1"/>
  <c r="ED18" i="2" s="1"/>
  <c r="EE18" i="2" s="1"/>
  <c r="EF18" i="2" s="1"/>
  <c r="EG18" i="2" s="1"/>
  <c r="EH18" i="2" s="1"/>
  <c r="EI18" i="2" s="1"/>
  <c r="EJ18" i="2" s="1"/>
  <c r="EK18" i="2" s="1"/>
  <c r="EL18" i="2" s="1"/>
  <c r="AN22" i="2" s="1"/>
  <c r="AN24" i="2" s="1"/>
  <c r="AN25" i="2" s="1"/>
  <c r="AK1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tc={148F3D44-4235-FA43-B3A7-1C07134A98B0}</author>
  </authors>
  <commentList>
    <comment ref="C68" authorId="0" shapeId="0" xr:uid="{148F3D44-4235-FA43-B3A7-1C07134A98B0}">
      <text>
        <t>[Kommentartråd]
Din versjon av Excel lar deg lese denne kommentartråden. Eventuelle endringer i den vil imidlertid bli fjernet hvis filen åpnes i en nyere versjon av Excel. Finn ut mer: https://go.microsoft.com/fwlink/?linkid=870924
Kommentar:
    WAWi betaler sine utbytter i Q2-4</t>
      </text>
    </comment>
  </commentList>
</comments>
</file>

<file path=xl/sharedStrings.xml><?xml version="1.0" encoding="utf-8"?>
<sst xmlns="http://schemas.openxmlformats.org/spreadsheetml/2006/main" count="245" uniqueCount="196">
  <si>
    <t>Kapitalstruktur</t>
  </si>
  <si>
    <t>Price</t>
  </si>
  <si>
    <t>S/O</t>
  </si>
  <si>
    <t>Q122</t>
  </si>
  <si>
    <t>Q222</t>
  </si>
  <si>
    <t>Q322</t>
  </si>
  <si>
    <t>Q422</t>
  </si>
  <si>
    <t>Q123</t>
  </si>
  <si>
    <t>Q223</t>
  </si>
  <si>
    <t>Q323</t>
  </si>
  <si>
    <t>Q423</t>
  </si>
  <si>
    <t>Q124</t>
  </si>
  <si>
    <t>Q224</t>
  </si>
  <si>
    <t>Q324</t>
  </si>
  <si>
    <t>Q424</t>
  </si>
  <si>
    <t>FY 2022</t>
  </si>
  <si>
    <t>FY 2023</t>
  </si>
  <si>
    <t>FY 2024</t>
  </si>
  <si>
    <t>FY 2025</t>
  </si>
  <si>
    <t>FY 2026</t>
  </si>
  <si>
    <t>FY 2027</t>
  </si>
  <si>
    <t>FY 2028</t>
  </si>
  <si>
    <t>FY 2029</t>
  </si>
  <si>
    <t>FY 2030</t>
  </si>
  <si>
    <t>FY 2031</t>
  </si>
  <si>
    <t>FY 2032</t>
  </si>
  <si>
    <t>FY 2033</t>
  </si>
  <si>
    <t>FY 2034</t>
  </si>
  <si>
    <t>FY 2035</t>
  </si>
  <si>
    <t>Revenue y/y</t>
  </si>
  <si>
    <t>EBIT margin</t>
  </si>
  <si>
    <t>CFFO</t>
  </si>
  <si>
    <t>CFFF</t>
  </si>
  <si>
    <t>CFFI</t>
  </si>
  <si>
    <t>EV/EBIT</t>
  </si>
  <si>
    <t>P/E</t>
  </si>
  <si>
    <t>MC NOKm</t>
  </si>
  <si>
    <t>Cash NOKm</t>
  </si>
  <si>
    <t>Debt NOKm</t>
  </si>
  <si>
    <t>EV NOKm</t>
  </si>
  <si>
    <t>Operating revenue</t>
  </si>
  <si>
    <t>Other gain</t>
  </si>
  <si>
    <t>Total income</t>
  </si>
  <si>
    <t>USD million</t>
  </si>
  <si>
    <t>COGS</t>
  </si>
  <si>
    <t>Employee benefits</t>
  </si>
  <si>
    <t>Other expenses</t>
  </si>
  <si>
    <t>D/A/I</t>
  </si>
  <si>
    <t>Operating profits EBIT</t>
  </si>
  <si>
    <t xml:space="preserve">Share of profit from JV </t>
  </si>
  <si>
    <t>Change in fair value</t>
  </si>
  <si>
    <t>Other financial income</t>
  </si>
  <si>
    <t>Other financial expense</t>
  </si>
  <si>
    <t>PTP</t>
  </si>
  <si>
    <t>Tax</t>
  </si>
  <si>
    <t>Net income</t>
  </si>
  <si>
    <t>Share</t>
  </si>
  <si>
    <t>USD/NOK</t>
  </si>
  <si>
    <t>Model PTP</t>
  </si>
  <si>
    <t>Reported PTP</t>
  </si>
  <si>
    <t>Share of (profit)loss from JV</t>
  </si>
  <si>
    <t>Change in fair value financial assets</t>
  </si>
  <si>
    <t>Financial income/expense</t>
  </si>
  <si>
    <t>Other gains/loss</t>
  </si>
  <si>
    <t>WC</t>
  </si>
  <si>
    <t>Tax paid</t>
  </si>
  <si>
    <t>Dividends from JV</t>
  </si>
  <si>
    <t>Proceeds from sale of fixed assets</t>
  </si>
  <si>
    <t>Capex</t>
  </si>
  <si>
    <t xml:space="preserve">Net proceeds from sale </t>
  </si>
  <si>
    <t>Investmets in subsidiaries</t>
  </si>
  <si>
    <t>Loan repayment received from sale of subs</t>
  </si>
  <si>
    <t>Loans granted to JV</t>
  </si>
  <si>
    <t>Dividend received/sale of financial assets</t>
  </si>
  <si>
    <t>Purchare of current financial investmetns</t>
  </si>
  <si>
    <t>Change in other investments</t>
  </si>
  <si>
    <t>Net proceeds from issue of debt</t>
  </si>
  <si>
    <t>Repayment of debt</t>
  </si>
  <si>
    <t>Repayment of lease</t>
  </si>
  <si>
    <t>Interst paid including interst derivates</t>
  </si>
  <si>
    <t>Cash from/(to) financial derivates</t>
  </si>
  <si>
    <t xml:space="preserve">Purchase of non-controlling interst </t>
  </si>
  <si>
    <t>(invesments)disposal own shares</t>
  </si>
  <si>
    <t>Dividend to shareholders</t>
  </si>
  <si>
    <t>CIC</t>
  </si>
  <si>
    <t>FCF</t>
  </si>
  <si>
    <t>Interest received</t>
  </si>
  <si>
    <t>EPS (NOK)</t>
  </si>
  <si>
    <t>Deferred tax</t>
  </si>
  <si>
    <t>Goodwill and other intangible assets</t>
  </si>
  <si>
    <t>property and other tangible assets</t>
  </si>
  <si>
    <t>Right of use assets</t>
  </si>
  <si>
    <t>Financial assets to fair value</t>
  </si>
  <si>
    <t>Other non current assets</t>
  </si>
  <si>
    <t>Inventory</t>
  </si>
  <si>
    <t>Current financial investments</t>
  </si>
  <si>
    <t>Other current assets</t>
  </si>
  <si>
    <t>Cash</t>
  </si>
  <si>
    <t>Total Assets</t>
  </si>
  <si>
    <t>Paid in capital</t>
  </si>
  <si>
    <t>Own shares</t>
  </si>
  <si>
    <t>Retained earnings</t>
  </si>
  <si>
    <t>Non-controlling interest</t>
  </si>
  <si>
    <t>Total Equity</t>
  </si>
  <si>
    <t>Pension liabilties</t>
  </si>
  <si>
    <t>Non-current lease liability</t>
  </si>
  <si>
    <t>Other non-current liabilties</t>
  </si>
  <si>
    <t>Current income tax</t>
  </si>
  <si>
    <t>Public duties payable</t>
  </si>
  <si>
    <t>Current IB debt</t>
  </si>
  <si>
    <t>Current lease liability</t>
  </si>
  <si>
    <t>Other current liabilties</t>
  </si>
  <si>
    <t>Total Debt</t>
  </si>
  <si>
    <t>Total E/D</t>
  </si>
  <si>
    <t>Balanse USDm</t>
  </si>
  <si>
    <t>Cash flow USDm</t>
  </si>
  <si>
    <t>Non-current interest bearing debt</t>
  </si>
  <si>
    <t>Q125</t>
  </si>
  <si>
    <t>Q225</t>
  </si>
  <si>
    <t>Q325</t>
  </si>
  <si>
    <t>Q425</t>
  </si>
  <si>
    <t>FY 2020</t>
  </si>
  <si>
    <t>FY 2021</t>
  </si>
  <si>
    <t>FY 2019</t>
  </si>
  <si>
    <t>P/NAV</t>
  </si>
  <si>
    <t>WWI Holding SOTP</t>
  </si>
  <si>
    <t>WAWI share</t>
  </si>
  <si>
    <t>Discount</t>
  </si>
  <si>
    <t>TV</t>
  </si>
  <si>
    <t>NPV</t>
  </si>
  <si>
    <t>NPV/share</t>
  </si>
  <si>
    <t>Opp/nedside</t>
  </si>
  <si>
    <t xml:space="preserve">Press releases: </t>
  </si>
  <si>
    <t>Share price, NOK</t>
  </si>
  <si>
    <t>Nr of shares (37,9%)</t>
  </si>
  <si>
    <t>EBITDA</t>
  </si>
  <si>
    <t>Multiple</t>
  </si>
  <si>
    <t>Value</t>
  </si>
  <si>
    <t>Value USDm</t>
  </si>
  <si>
    <t>Value NOKm</t>
  </si>
  <si>
    <t>Treasure ASA</t>
  </si>
  <si>
    <t>Nr of shares (84,2%)</t>
  </si>
  <si>
    <t>Reach (NOK7,00/share, 96,8m shares)</t>
  </si>
  <si>
    <t>Wilhelmsen maritime services</t>
  </si>
  <si>
    <t>Holding</t>
  </si>
  <si>
    <t>New energy</t>
  </si>
  <si>
    <t>8,0x</t>
  </si>
  <si>
    <t>6,0x</t>
  </si>
  <si>
    <t>9,0x</t>
  </si>
  <si>
    <t>Total</t>
  </si>
  <si>
    <t>NIBD as of Q424</t>
  </si>
  <si>
    <t>SOTP, USDm</t>
  </si>
  <si>
    <t>Shares</t>
  </si>
  <si>
    <t>SOTP, NOK/Share</t>
  </si>
  <si>
    <t>NOKm</t>
  </si>
  <si>
    <t>USDm</t>
  </si>
  <si>
    <t>Qube (AUD3,85/share, 25,0m shares, 1,58AUDUSD)</t>
  </si>
  <si>
    <t xml:space="preserve">Other assets/associates </t>
  </si>
  <si>
    <t>Maritme service</t>
  </si>
  <si>
    <t>Of which other activities/eliminations</t>
  </si>
  <si>
    <t>EBITDA margin</t>
  </si>
  <si>
    <t>Operating profit/EBIT</t>
  </si>
  <si>
    <t>Share of profit(loss) from associates</t>
  </si>
  <si>
    <t>Tax income/(expense)</t>
  </si>
  <si>
    <t>Profit/(loss)</t>
  </si>
  <si>
    <t>Profit margin</t>
  </si>
  <si>
    <t>New Energy</t>
  </si>
  <si>
    <t>Financial items</t>
  </si>
  <si>
    <t>Of which Ship managment</t>
  </si>
  <si>
    <t>Maritme service:</t>
  </si>
  <si>
    <t>Of which Ships serivce</t>
  </si>
  <si>
    <t>Of which port serivce</t>
  </si>
  <si>
    <t>Of which NorSea (energy infrastructure)</t>
  </si>
  <si>
    <t xml:space="preserve">New Energy: </t>
  </si>
  <si>
    <t>Strategic holdings and investments</t>
  </si>
  <si>
    <t>Of which operating revenue</t>
  </si>
  <si>
    <t>Of which other gains/(loss)</t>
  </si>
  <si>
    <t>Of which WAWI</t>
  </si>
  <si>
    <t>Of which Hyundai Glovis</t>
  </si>
  <si>
    <t>Of which other /eliminations</t>
  </si>
  <si>
    <t>Other fincancial income/(expense)</t>
  </si>
  <si>
    <t>Of which investment mangement</t>
  </si>
  <si>
    <t>Of which financial income from group comp</t>
  </si>
  <si>
    <t>Of which other financial income/(expense)</t>
  </si>
  <si>
    <t>Profit/loss</t>
  </si>
  <si>
    <t>29.04.25: Geveran, Wilhelmsen og EPS ventures kjøper Edda av børs for 23 kroner</t>
  </si>
  <si>
    <t>27.02.25: WWI kjøper tilbake 875 000 akjser</t>
  </si>
  <si>
    <t>01.11.24: CFO kjøper aksjer 600 WWIB</t>
  </si>
  <si>
    <t>14.10.24: WWI kjøper 150 000 aksjer i Treasure, eier nå 84,16%</t>
  </si>
  <si>
    <t>11.10.24: WWI kjøper 7 061 352 aksjer i Treasure, Eier nå 84,09%</t>
  </si>
  <si>
    <t>11.10.24: Wwi kjøper 4 021 523 aksjer i Treasure, eier nå 80,64%</t>
  </si>
  <si>
    <t>21.08.24: WWI kjøper 875 000 aksjer</t>
  </si>
  <si>
    <t>Edda wind (NOK23/share, 40,1m shares)</t>
  </si>
  <si>
    <t>kjøpt av børs mai/25</t>
  </si>
  <si>
    <t>Investments in JV and associates</t>
  </si>
  <si>
    <t>02.06.25: WWI skal kjøpe tilbake 400 000 aksjer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</si>
</sst>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kr&quot;\ #,##0_);[Red]\(&quot;kr&quot;\ #,##0\)"/>
    <numFmt numFmtId="8" formatCode="&quot;kr&quot;\ #,##0.00_);[Red]\(&quot;kr&quot;\ #,##0.00\)"/>
    <numFmt numFmtId="164" formatCode="#,##0.0"/>
    <numFmt numFmtId="165" formatCode="0.0"/>
    <numFmt numFmtId="166" formatCode="0.0\ %"/>
  </numFmts>
  <fonts count="12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b/>
      <sz val="48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0" borderId="1" xfId="0" applyFont="1" applyBorder="1"/>
    <xf numFmtId="164" fontId="2" fillId="0" borderId="1" xfId="0" applyNumberFormat="1" applyFont="1" applyBorder="1"/>
    <xf numFmtId="164" fontId="3" fillId="0" borderId="1" xfId="0" applyNumberFormat="1" applyFont="1" applyBorder="1"/>
    <xf numFmtId="0" fontId="2" fillId="0" borderId="0" xfId="0" applyFont="1" applyAlignment="1">
      <alignment horizontal="right"/>
    </xf>
    <xf numFmtId="0" fontId="2" fillId="0" borderId="1" xfId="0" applyFont="1" applyBorder="1" applyAlignment="1">
      <alignment horizontal="right"/>
    </xf>
    <xf numFmtId="165" fontId="2" fillId="0" borderId="1" xfId="0" applyNumberFormat="1" applyFont="1" applyBorder="1"/>
    <xf numFmtId="166" fontId="2" fillId="0" borderId="0" xfId="0" applyNumberFormat="1" applyFont="1"/>
    <xf numFmtId="0" fontId="4" fillId="0" borderId="0" xfId="0" applyFont="1"/>
    <xf numFmtId="3" fontId="1" fillId="0" borderId="1" xfId="0" applyNumberFormat="1" applyFont="1" applyBorder="1"/>
    <xf numFmtId="3" fontId="2" fillId="0" borderId="0" xfId="0" applyNumberFormat="1" applyFont="1"/>
    <xf numFmtId="3" fontId="2" fillId="0" borderId="1" xfId="0" applyNumberFormat="1" applyFont="1" applyBorder="1"/>
    <xf numFmtId="3" fontId="4" fillId="0" borderId="0" xfId="0" applyNumberFormat="1" applyFont="1"/>
    <xf numFmtId="0" fontId="1" fillId="0" borderId="1" xfId="0" applyFont="1" applyBorder="1"/>
    <xf numFmtId="0" fontId="4" fillId="0" borderId="1" xfId="0" applyFont="1" applyBorder="1"/>
    <xf numFmtId="2" fontId="2" fillId="0" borderId="1" xfId="0" applyNumberFormat="1" applyFont="1" applyBorder="1"/>
    <xf numFmtId="3" fontId="1" fillId="0" borderId="0" xfId="0" applyNumberFormat="1" applyFont="1"/>
    <xf numFmtId="165" fontId="2" fillId="0" borderId="0" xfId="0" applyNumberFormat="1" applyFont="1"/>
    <xf numFmtId="1" fontId="2" fillId="0" borderId="0" xfId="0" applyNumberFormat="1" applyFont="1"/>
    <xf numFmtId="1" fontId="1" fillId="0" borderId="0" xfId="0" applyNumberFormat="1" applyFont="1"/>
    <xf numFmtId="2" fontId="2" fillId="0" borderId="0" xfId="0" applyNumberFormat="1" applyFont="1"/>
    <xf numFmtId="10" fontId="2" fillId="0" borderId="0" xfId="0" applyNumberFormat="1" applyFont="1"/>
    <xf numFmtId="10" fontId="2" fillId="0" borderId="1" xfId="0" applyNumberFormat="1" applyFont="1" applyBorder="1"/>
    <xf numFmtId="10" fontId="1" fillId="0" borderId="1" xfId="0" applyNumberFormat="1" applyFont="1" applyBorder="1"/>
    <xf numFmtId="10" fontId="1" fillId="0" borderId="0" xfId="0" applyNumberFormat="1" applyFont="1"/>
    <xf numFmtId="3" fontId="8" fillId="0" borderId="0" xfId="0" applyNumberFormat="1" applyFont="1"/>
    <xf numFmtId="1" fontId="8" fillId="0" borderId="0" xfId="0" applyNumberFormat="1" applyFont="1"/>
    <xf numFmtId="1" fontId="9" fillId="0" borderId="0" xfId="0" applyNumberFormat="1" applyFont="1"/>
    <xf numFmtId="2" fontId="8" fillId="0" borderId="0" xfId="0" applyNumberFormat="1" applyFont="1"/>
    <xf numFmtId="0" fontId="8" fillId="0" borderId="0" xfId="0" applyFont="1"/>
    <xf numFmtId="0" fontId="5" fillId="0" borderId="2" xfId="0" applyFont="1" applyBorder="1"/>
    <xf numFmtId="0" fontId="7" fillId="0" borderId="0" xfId="0" applyFont="1"/>
    <xf numFmtId="0" fontId="0" fillId="2" borderId="0" xfId="0" applyFill="1"/>
    <xf numFmtId="0" fontId="2" fillId="0" borderId="3" xfId="0" applyFont="1" applyBorder="1"/>
    <xf numFmtId="9" fontId="2" fillId="0" borderId="0" xfId="0" applyNumberFormat="1" applyFont="1"/>
    <xf numFmtId="2" fontId="1" fillId="0" borderId="0" xfId="0" applyNumberFormat="1" applyFont="1"/>
    <xf numFmtId="8" fontId="2" fillId="0" borderId="3" xfId="0" applyNumberFormat="1" applyFont="1" applyBorder="1"/>
    <xf numFmtId="6" fontId="1" fillId="0" borderId="0" xfId="0" applyNumberFormat="1" applyFont="1"/>
    <xf numFmtId="165" fontId="6" fillId="0" borderId="2" xfId="0" applyNumberFormat="1" applyFont="1" applyBorder="1"/>
    <xf numFmtId="9" fontId="1" fillId="0" borderId="0" xfId="0" applyNumberFormat="1" applyFont="1"/>
    <xf numFmtId="0" fontId="0" fillId="3" borderId="0" xfId="0" applyFill="1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horizontal="right"/>
    </xf>
    <xf numFmtId="0" fontId="7" fillId="0" borderId="3" xfId="0" applyFont="1" applyBorder="1"/>
    <xf numFmtId="164" fontId="7" fillId="0" borderId="0" xfId="0" applyNumberFormat="1" applyFont="1"/>
    <xf numFmtId="165" fontId="7" fillId="0" borderId="0" xfId="0" applyNumberFormat="1" applyFont="1"/>
    <xf numFmtId="0" fontId="0" fillId="0" borderId="3" xfId="0" applyBorder="1"/>
    <xf numFmtId="1" fontId="7" fillId="0" borderId="3" xfId="0" applyNumberFormat="1" applyFont="1" applyBorder="1"/>
    <xf numFmtId="0" fontId="2" fillId="0" borderId="4" xfId="0" applyFont="1" applyBorder="1"/>
    <xf numFmtId="0" fontId="4" fillId="0" borderId="3" xfId="0" applyFont="1" applyBorder="1"/>
    <xf numFmtId="0" fontId="4" fillId="0" borderId="0" xfId="0" applyFont="1" applyAlignment="1">
      <alignment horizontal="left" indent="1"/>
    </xf>
    <xf numFmtId="0" fontId="4" fillId="0" borderId="3" xfId="0" applyFont="1" applyBorder="1" applyAlignment="1">
      <alignment horizontal="left" indent="1"/>
    </xf>
    <xf numFmtId="0" fontId="1" fillId="0" borderId="3" xfId="0" applyFont="1" applyBorder="1"/>
    <xf numFmtId="0" fontId="2" fillId="0" borderId="3" xfId="0" applyFont="1" applyBorder="1" applyAlignment="1">
      <alignment horizontal="right"/>
    </xf>
    <xf numFmtId="9" fontId="2" fillId="0" borderId="3" xfId="0" applyNumberFormat="1" applyFont="1" applyBorder="1"/>
    <xf numFmtId="0" fontId="11" fillId="0" borderId="0" xfId="0" applyFont="1"/>
    <xf numFmtId="0" fontId="1" fillId="0" borderId="0" xfId="0" applyFont="1" applyAlignment="1">
      <alignment horizontal="left"/>
    </xf>
    <xf numFmtId="0" fontId="1" fillId="0" borderId="4" xfId="0" applyFont="1" applyBorder="1"/>
    <xf numFmtId="0" fontId="4" fillId="0" borderId="5" xfId="0" applyFont="1" applyBorder="1"/>
    <xf numFmtId="9" fontId="2" fillId="0" borderId="5" xfId="0" applyNumberFormat="1" applyFont="1" applyBorder="1"/>
    <xf numFmtId="9" fontId="2" fillId="0" borderId="1" xfId="0" applyNumberFormat="1" applyFont="1" applyBorder="1"/>
    <xf numFmtId="0" fontId="2" fillId="0" borderId="5" xfId="0" applyFont="1" applyBorder="1"/>
    <xf numFmtId="0" fontId="8" fillId="0" borderId="1" xfId="0" applyFont="1" applyBorder="1"/>
    <xf numFmtId="3" fontId="4" fillId="0" borderId="1" xfId="0" applyNumberFormat="1" applyFont="1" applyBorder="1"/>
    <xf numFmtId="0" fontId="1" fillId="0" borderId="5" xfId="0" applyFont="1" applyBorder="1"/>
    <xf numFmtId="1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63500</xdr:rowOff>
    </xdr:from>
    <xdr:to>
      <xdr:col>4</xdr:col>
      <xdr:colOff>812800</xdr:colOff>
      <xdr:row>4</xdr:row>
      <xdr:rowOff>165100</xdr:rowOff>
    </xdr:to>
    <xdr:pic>
      <xdr:nvPicPr>
        <xdr:cNvPr id="2" name="Bilde 1">
          <a:extLst>
            <a:ext uri="{FF2B5EF4-FFF2-40B4-BE49-F238E27FC236}">
              <a16:creationId xmlns:a16="http://schemas.microsoft.com/office/drawing/2014/main" id="{B538FF46-40D6-1D4D-8C1F-367F671B0A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46100"/>
          <a:ext cx="4114800" cy="5842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</xdr:row>
      <xdr:rowOff>63500</xdr:rowOff>
    </xdr:from>
    <xdr:to>
      <xdr:col>5</xdr:col>
      <xdr:colOff>0</xdr:colOff>
      <xdr:row>10</xdr:row>
      <xdr:rowOff>63500</xdr:rowOff>
    </xdr:to>
    <xdr:pic>
      <xdr:nvPicPr>
        <xdr:cNvPr id="3" name="Bilde 2">
          <a:extLst>
            <a:ext uri="{FF2B5EF4-FFF2-40B4-BE49-F238E27FC236}">
              <a16:creationId xmlns:a16="http://schemas.microsoft.com/office/drawing/2014/main" id="{881B9E53-6008-474C-8D4B-81B03B0A3A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752600"/>
          <a:ext cx="4127500" cy="7239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</xdr:row>
      <xdr:rowOff>152400</xdr:rowOff>
    </xdr:from>
    <xdr:to>
      <xdr:col>4</xdr:col>
      <xdr:colOff>774700</xdr:colOff>
      <xdr:row>7</xdr:row>
      <xdr:rowOff>50800</xdr:rowOff>
    </xdr:to>
    <xdr:pic>
      <xdr:nvPicPr>
        <xdr:cNvPr id="4" name="Bilde 3">
          <a:extLst>
            <a:ext uri="{FF2B5EF4-FFF2-40B4-BE49-F238E27FC236}">
              <a16:creationId xmlns:a16="http://schemas.microsoft.com/office/drawing/2014/main" id="{D4A70027-6626-1C40-B75E-D5FDA3DAE3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117600"/>
          <a:ext cx="4076700" cy="6223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</xdr:row>
      <xdr:rowOff>152400</xdr:rowOff>
    </xdr:from>
    <xdr:to>
      <xdr:col>5</xdr:col>
      <xdr:colOff>0</xdr:colOff>
      <xdr:row>14</xdr:row>
      <xdr:rowOff>152400</xdr:rowOff>
    </xdr:to>
    <xdr:pic>
      <xdr:nvPicPr>
        <xdr:cNvPr id="5" name="Bilde 4">
          <a:extLst>
            <a:ext uri="{FF2B5EF4-FFF2-40B4-BE49-F238E27FC236}">
              <a16:creationId xmlns:a16="http://schemas.microsoft.com/office/drawing/2014/main" id="{0D2F1250-6456-DB4F-9075-8CB0CD69C5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2565400"/>
          <a:ext cx="4127500" cy="9652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20</xdr:row>
      <xdr:rowOff>126999</xdr:rowOff>
    </xdr:from>
    <xdr:to>
      <xdr:col>4</xdr:col>
      <xdr:colOff>771878</xdr:colOff>
      <xdr:row>23</xdr:row>
      <xdr:rowOff>182033</xdr:rowOff>
    </xdr:to>
    <xdr:pic>
      <xdr:nvPicPr>
        <xdr:cNvPr id="6" name="Bilde 5">
          <a:extLst>
            <a:ext uri="{FF2B5EF4-FFF2-40B4-BE49-F238E27FC236}">
              <a16:creationId xmlns:a16="http://schemas.microsoft.com/office/drawing/2014/main" id="{65E876F9-21BA-3EF2-ADEC-AC14057ED6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4924777"/>
          <a:ext cx="4102100" cy="7747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17</xdr:row>
      <xdr:rowOff>70556</xdr:rowOff>
    </xdr:from>
    <xdr:to>
      <xdr:col>4</xdr:col>
      <xdr:colOff>695678</xdr:colOff>
      <xdr:row>19</xdr:row>
      <xdr:rowOff>200378</xdr:rowOff>
    </xdr:to>
    <xdr:pic>
      <xdr:nvPicPr>
        <xdr:cNvPr id="7" name="Bilde 6">
          <a:extLst>
            <a:ext uri="{FF2B5EF4-FFF2-40B4-BE49-F238E27FC236}">
              <a16:creationId xmlns:a16="http://schemas.microsoft.com/office/drawing/2014/main" id="{B8BD761C-C1D8-4926-6E16-7D8F56EF8A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4148667"/>
          <a:ext cx="4025900" cy="6096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30</xdr:row>
      <xdr:rowOff>211666</xdr:rowOff>
    </xdr:from>
    <xdr:to>
      <xdr:col>4</xdr:col>
      <xdr:colOff>797278</xdr:colOff>
      <xdr:row>35</xdr:row>
      <xdr:rowOff>2822</xdr:rowOff>
    </xdr:to>
    <xdr:pic>
      <xdr:nvPicPr>
        <xdr:cNvPr id="8" name="Bilde 7">
          <a:extLst>
            <a:ext uri="{FF2B5EF4-FFF2-40B4-BE49-F238E27FC236}">
              <a16:creationId xmlns:a16="http://schemas.microsoft.com/office/drawing/2014/main" id="{1BB624F5-0DCE-D0BD-91DA-B526BAE147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7408333"/>
          <a:ext cx="4127500" cy="9906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36</xdr:row>
      <xdr:rowOff>141111</xdr:rowOff>
    </xdr:from>
    <xdr:to>
      <xdr:col>4</xdr:col>
      <xdr:colOff>771878</xdr:colOff>
      <xdr:row>39</xdr:row>
      <xdr:rowOff>183444</xdr:rowOff>
    </xdr:to>
    <xdr:pic>
      <xdr:nvPicPr>
        <xdr:cNvPr id="9" name="Bilde 8">
          <a:extLst>
            <a:ext uri="{FF2B5EF4-FFF2-40B4-BE49-F238E27FC236}">
              <a16:creationId xmlns:a16="http://schemas.microsoft.com/office/drawing/2014/main" id="{675B0F44-8970-DDAF-37E2-41CB1392E8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8777111"/>
          <a:ext cx="4102100" cy="762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26</xdr:row>
      <xdr:rowOff>112888</xdr:rowOff>
    </xdr:from>
    <xdr:to>
      <xdr:col>4</xdr:col>
      <xdr:colOff>733778</xdr:colOff>
      <xdr:row>30</xdr:row>
      <xdr:rowOff>80432</xdr:rowOff>
    </xdr:to>
    <xdr:pic>
      <xdr:nvPicPr>
        <xdr:cNvPr id="10" name="Bilde 9">
          <a:extLst>
            <a:ext uri="{FF2B5EF4-FFF2-40B4-BE49-F238E27FC236}">
              <a16:creationId xmlns:a16="http://schemas.microsoft.com/office/drawing/2014/main" id="{84963EAE-A4EE-C845-4CDF-258E6D1D4C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6349999"/>
          <a:ext cx="4064000" cy="9271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77</xdr:col>
      <xdr:colOff>409221</xdr:colOff>
      <xdr:row>99</xdr:row>
      <xdr:rowOff>0</xdr:rowOff>
    </xdr:from>
    <xdr:to>
      <xdr:col>82</xdr:col>
      <xdr:colOff>373943</xdr:colOff>
      <xdr:row>103</xdr:row>
      <xdr:rowOff>5643</xdr:rowOff>
    </xdr:to>
    <xdr:pic>
      <xdr:nvPicPr>
        <xdr:cNvPr id="4" name="Bilde 3">
          <a:extLst>
            <a:ext uri="{FF2B5EF4-FFF2-40B4-BE49-F238E27FC236}">
              <a16:creationId xmlns:a16="http://schemas.microsoft.com/office/drawing/2014/main" id="{CCBAA101-E958-F8D1-00DA-FD43DD6451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644888" y="23269222"/>
          <a:ext cx="4127500" cy="965200"/>
        </a:xfrm>
        <a:prstGeom prst="rect">
          <a:avLst/>
        </a:prstGeom>
      </xdr:spPr>
    </xdr:pic>
    <xdr:clientData/>
  </xdr:twoCellAnchor>
  <xdr:twoCellAnchor editAs="oneCell">
    <xdr:from>
      <xdr:col>57</xdr:col>
      <xdr:colOff>536221</xdr:colOff>
      <xdr:row>73</xdr:row>
      <xdr:rowOff>14111</xdr:rowOff>
    </xdr:from>
    <xdr:to>
      <xdr:col>62</xdr:col>
      <xdr:colOff>500943</xdr:colOff>
      <xdr:row>76</xdr:row>
      <xdr:rowOff>18344</xdr:rowOff>
    </xdr:to>
    <xdr:pic>
      <xdr:nvPicPr>
        <xdr:cNvPr id="5" name="Bilde 4">
          <a:extLst>
            <a:ext uri="{FF2B5EF4-FFF2-40B4-BE49-F238E27FC236}">
              <a16:creationId xmlns:a16="http://schemas.microsoft.com/office/drawing/2014/main" id="{36DA7DBC-A0F6-4B2A-1A1D-D27DCAD647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9120777" y="17046222"/>
          <a:ext cx="4127500" cy="723900"/>
        </a:xfrm>
        <a:prstGeom prst="rect">
          <a:avLst/>
        </a:prstGeom>
      </xdr:spPr>
    </xdr:pic>
    <xdr:clientData/>
  </xdr:twoCellAnchor>
  <xdr:twoCellAnchor editAs="oneCell">
    <xdr:from>
      <xdr:col>37</xdr:col>
      <xdr:colOff>663222</xdr:colOff>
      <xdr:row>47</xdr:row>
      <xdr:rowOff>28222</xdr:rowOff>
    </xdr:from>
    <xdr:to>
      <xdr:col>42</xdr:col>
      <xdr:colOff>577144</xdr:colOff>
      <xdr:row>49</xdr:row>
      <xdr:rowOff>170743</xdr:rowOff>
    </xdr:to>
    <xdr:pic>
      <xdr:nvPicPr>
        <xdr:cNvPr id="6" name="Bilde 5">
          <a:extLst>
            <a:ext uri="{FF2B5EF4-FFF2-40B4-BE49-F238E27FC236}">
              <a16:creationId xmlns:a16="http://schemas.microsoft.com/office/drawing/2014/main" id="{9A396F04-1877-EE3D-7907-068FEA52C8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2596666" y="10823222"/>
          <a:ext cx="4076700" cy="62230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august hodt" id="{5D3E8F5D-13CA-C04A-82AC-CF14A5DC590D}" userId="a530012ce760c12d" providerId="Windows Live"/>
</personList>
</file>

<file path=xl/theme/theme1.xml><?xml version="1.0" encoding="utf-8"?>
<a:theme xmlns:a="http://schemas.openxmlformats.org/drawingml/2006/main" name="Office 2013 – 2022-tema">
  <a:themeElements>
    <a:clrScheme name="Office 2013–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–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–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68" dT="2025-05-08T18:40:58.08" personId="{5D3E8F5D-13CA-C04A-82AC-CF14A5DC590D}" id="{148F3D44-4235-FA43-B3A7-1C07134A98B0}">
    <text>WAWi betaler sine utbytter i Q2-4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FABC2-1253-924E-8CB2-F0C03750A097}">
  <dimension ref="A2:H26"/>
  <sheetViews>
    <sheetView showGridLines="0" tabSelected="1" zoomScale="90" zoomScaleNormal="90" workbookViewId="0">
      <selection activeCell="I12" sqref="I12"/>
    </sheetView>
  </sheetViews>
  <sheetFormatPr baseColWidth="10" defaultRowHeight="19" x14ac:dyDescent="0.25"/>
  <cols>
    <col min="1" max="7" width="10.83203125" style="2"/>
    <col min="8" max="8" width="12.83203125" style="2" bestFit="1" customWidth="1"/>
    <col min="9" max="16384" width="10.83203125" style="2"/>
  </cols>
  <sheetData>
    <row r="2" spans="1:8" x14ac:dyDescent="0.25">
      <c r="A2" s="59" t="s">
        <v>169</v>
      </c>
    </row>
    <row r="3" spans="1:8" x14ac:dyDescent="0.25">
      <c r="H3" s="1" t="s">
        <v>132</v>
      </c>
    </row>
    <row r="4" spans="1:8" x14ac:dyDescent="0.25">
      <c r="H4" s="2" t="s">
        <v>195</v>
      </c>
    </row>
    <row r="5" spans="1:8" x14ac:dyDescent="0.25">
      <c r="A5" s="1"/>
      <c r="H5" s="2" t="s">
        <v>185</v>
      </c>
    </row>
    <row r="6" spans="1:8" x14ac:dyDescent="0.25">
      <c r="A6" s="1"/>
      <c r="H6" s="69" t="s">
        <v>186</v>
      </c>
    </row>
    <row r="7" spans="1:8" x14ac:dyDescent="0.25">
      <c r="A7" s="1"/>
      <c r="H7" s="69" t="s">
        <v>187</v>
      </c>
    </row>
    <row r="8" spans="1:8" x14ac:dyDescent="0.25">
      <c r="A8" s="1"/>
      <c r="H8" s="2" t="s">
        <v>188</v>
      </c>
    </row>
    <row r="9" spans="1:8" x14ac:dyDescent="0.25">
      <c r="H9" s="2" t="s">
        <v>189</v>
      </c>
    </row>
    <row r="10" spans="1:8" x14ac:dyDescent="0.25">
      <c r="H10" s="2" t="s">
        <v>190</v>
      </c>
    </row>
    <row r="11" spans="1:8" x14ac:dyDescent="0.25">
      <c r="H11" s="2" t="s">
        <v>191</v>
      </c>
    </row>
    <row r="17" spans="1:1" x14ac:dyDescent="0.25">
      <c r="A17" s="59" t="s">
        <v>173</v>
      </c>
    </row>
    <row r="26" spans="1:1" x14ac:dyDescent="0.25">
      <c r="A26" s="59" t="s">
        <v>174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D41D6-FA1C-5144-915F-9569A5873643}">
  <dimension ref="A1:EL93"/>
  <sheetViews>
    <sheetView showGridLines="0" zoomScale="90" zoomScaleNormal="90" workbookViewId="0">
      <pane xSplit="3" ySplit="3" topLeftCell="H4" activePane="bottomRight" state="frozen"/>
      <selection pane="topRight" activeCell="D1" sqref="D1"/>
      <selection pane="bottomLeft" activeCell="A4" sqref="A4"/>
      <selection pane="bottomRight" activeCell="P45" sqref="P45"/>
    </sheetView>
  </sheetViews>
  <sheetFormatPr baseColWidth="10" defaultRowHeight="19" x14ac:dyDescent="0.25"/>
  <cols>
    <col min="1" max="1" width="16.33203125" style="2" bestFit="1" customWidth="1"/>
    <col min="2" max="2" width="10.83203125" style="4"/>
    <col min="3" max="3" width="44.5" style="2" customWidth="1"/>
    <col min="4" max="4" width="10.83203125" style="2"/>
    <col min="5" max="5" width="10.33203125" style="2" customWidth="1"/>
    <col min="6" max="6" width="12.5" style="2" customWidth="1"/>
    <col min="7" max="7" width="10.5" style="2" customWidth="1"/>
    <col min="8" max="8" width="12.1640625" style="2" customWidth="1"/>
    <col min="9" max="9" width="9" style="2" customWidth="1"/>
    <col min="10" max="10" width="11" style="2" customWidth="1"/>
    <col min="11" max="12" width="10" style="2" customWidth="1"/>
    <col min="13" max="13" width="11.1640625" style="2" customWidth="1"/>
    <col min="14" max="14" width="11.33203125" style="2" customWidth="1"/>
    <col min="15" max="15" width="10.33203125" style="2" customWidth="1"/>
    <col min="16" max="16" width="10.83203125" style="4"/>
    <col min="17" max="25" width="10.83203125" style="2"/>
    <col min="26" max="26" width="10.83203125" style="4"/>
    <col min="27" max="38" width="10.83203125" style="2"/>
    <col min="39" max="39" width="14" style="2" bestFit="1" customWidth="1"/>
    <col min="40" max="40" width="16.1640625" style="2" bestFit="1" customWidth="1"/>
    <col min="41" max="16384" width="10.83203125" style="2"/>
  </cols>
  <sheetData>
    <row r="1" spans="1:37" x14ac:dyDescent="0.25"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W1" s="1"/>
    </row>
    <row r="3" spans="1:37" x14ac:dyDescent="0.25">
      <c r="A3" s="1" t="s">
        <v>0</v>
      </c>
      <c r="C3" s="2" t="s">
        <v>43</v>
      </c>
      <c r="D3" s="7" t="s">
        <v>3</v>
      </c>
      <c r="E3" s="7" t="s">
        <v>4</v>
      </c>
      <c r="F3" s="7" t="s">
        <v>5</v>
      </c>
      <c r="G3" s="7" t="s">
        <v>6</v>
      </c>
      <c r="H3" s="7" t="s">
        <v>7</v>
      </c>
      <c r="I3" s="7" t="s">
        <v>8</v>
      </c>
      <c r="J3" s="7" t="s">
        <v>9</v>
      </c>
      <c r="K3" s="7" t="s">
        <v>10</v>
      </c>
      <c r="L3" s="7" t="s">
        <v>11</v>
      </c>
      <c r="M3" s="7" t="s">
        <v>12</v>
      </c>
      <c r="N3" s="7" t="s">
        <v>13</v>
      </c>
      <c r="O3" s="7" t="s">
        <v>14</v>
      </c>
      <c r="P3" s="8" t="s">
        <v>117</v>
      </c>
      <c r="Q3" s="7" t="s">
        <v>118</v>
      </c>
      <c r="R3" s="7" t="s">
        <v>119</v>
      </c>
      <c r="S3" s="7" t="s">
        <v>120</v>
      </c>
      <c r="U3" s="7" t="s">
        <v>123</v>
      </c>
      <c r="V3" s="7" t="s">
        <v>121</v>
      </c>
      <c r="W3" s="7" t="s">
        <v>122</v>
      </c>
      <c r="X3" s="7" t="s">
        <v>15</v>
      </c>
      <c r="Y3" s="7" t="s">
        <v>16</v>
      </c>
      <c r="Z3" s="8" t="s">
        <v>17</v>
      </c>
      <c r="AA3" s="7" t="s">
        <v>18</v>
      </c>
      <c r="AB3" s="7" t="s">
        <v>19</v>
      </c>
      <c r="AC3" s="7" t="s">
        <v>20</v>
      </c>
      <c r="AD3" s="7" t="s">
        <v>21</v>
      </c>
      <c r="AE3" s="7" t="s">
        <v>22</v>
      </c>
      <c r="AF3" s="7" t="s">
        <v>23</v>
      </c>
      <c r="AG3" s="7" t="s">
        <v>24</v>
      </c>
      <c r="AH3" s="7" t="s">
        <v>25</v>
      </c>
      <c r="AI3" s="7" t="s">
        <v>26</v>
      </c>
      <c r="AJ3" s="7" t="s">
        <v>27</v>
      </c>
      <c r="AK3" s="7" t="s">
        <v>28</v>
      </c>
    </row>
    <row r="4" spans="1:37" x14ac:dyDescent="0.25">
      <c r="A4" s="2" t="s">
        <v>1</v>
      </c>
      <c r="B4" s="4">
        <v>415</v>
      </c>
      <c r="C4" s="2" t="s">
        <v>40</v>
      </c>
      <c r="D4" s="28">
        <v>232</v>
      </c>
      <c r="E4" s="28">
        <v>239</v>
      </c>
      <c r="F4" s="28">
        <v>236</v>
      </c>
      <c r="G4" s="28">
        <v>237</v>
      </c>
      <c r="H4" s="28">
        <v>262</v>
      </c>
      <c r="I4" s="28">
        <v>261</v>
      </c>
      <c r="J4" s="28">
        <v>254</v>
      </c>
      <c r="K4" s="13">
        <v>250</v>
      </c>
      <c r="L4" s="13">
        <v>265</v>
      </c>
      <c r="M4" s="13">
        <v>301</v>
      </c>
      <c r="N4" s="13">
        <v>296</v>
      </c>
      <c r="O4" s="13">
        <v>274</v>
      </c>
      <c r="P4" s="4">
        <v>297</v>
      </c>
      <c r="U4" s="2">
        <v>836</v>
      </c>
      <c r="V4" s="2">
        <v>807</v>
      </c>
      <c r="W4" s="2">
        <v>873</v>
      </c>
      <c r="X4" s="13">
        <v>943</v>
      </c>
      <c r="Y4" s="13">
        <v>1027</v>
      </c>
      <c r="Z4" s="14">
        <v>1136</v>
      </c>
      <c r="AA4" s="13">
        <f>Z4*1.02</f>
        <v>1158.72</v>
      </c>
      <c r="AB4" s="13">
        <f>AA4*1.05</f>
        <v>1216.6560000000002</v>
      </c>
      <c r="AC4" s="13">
        <f>AB4*1.04</f>
        <v>1265.3222400000002</v>
      </c>
      <c r="AD4" s="13">
        <f t="shared" ref="AD4:AK4" si="0">AC4*1.04</f>
        <v>1315.9351296000002</v>
      </c>
      <c r="AE4" s="13">
        <f t="shared" si="0"/>
        <v>1368.5725347840003</v>
      </c>
      <c r="AF4" s="13">
        <f t="shared" si="0"/>
        <v>1423.3154361753602</v>
      </c>
      <c r="AG4" s="13">
        <f t="shared" si="0"/>
        <v>1480.2480536223748</v>
      </c>
      <c r="AH4" s="13">
        <f t="shared" si="0"/>
        <v>1539.4579757672698</v>
      </c>
      <c r="AI4" s="13">
        <f t="shared" si="0"/>
        <v>1601.0362947979606</v>
      </c>
      <c r="AJ4" s="13">
        <f t="shared" si="0"/>
        <v>1665.0777465898791</v>
      </c>
      <c r="AK4" s="13">
        <f t="shared" si="0"/>
        <v>1731.6808564534742</v>
      </c>
    </row>
    <row r="5" spans="1:37" x14ac:dyDescent="0.25">
      <c r="A5" s="2" t="s">
        <v>2</v>
      </c>
      <c r="B5" s="4">
        <f>34+10.58</f>
        <v>44.58</v>
      </c>
      <c r="C5" s="2" t="s">
        <v>41</v>
      </c>
      <c r="D5" s="28">
        <v>9</v>
      </c>
      <c r="E5" s="28">
        <v>-1</v>
      </c>
      <c r="F5" s="28">
        <v>-2</v>
      </c>
      <c r="G5" s="28">
        <v>9</v>
      </c>
      <c r="H5" s="28">
        <v>-1</v>
      </c>
      <c r="I5" s="28">
        <v>-2</v>
      </c>
      <c r="J5" s="28">
        <v>-1</v>
      </c>
      <c r="K5" s="13">
        <v>5</v>
      </c>
      <c r="L5" s="13">
        <v>-1</v>
      </c>
      <c r="M5" s="13">
        <v>0</v>
      </c>
      <c r="N5" s="13">
        <v>-1</v>
      </c>
      <c r="O5" s="13">
        <v>4</v>
      </c>
      <c r="P5" s="4">
        <v>-1</v>
      </c>
      <c r="U5" s="2">
        <v>14</v>
      </c>
      <c r="V5" s="2">
        <v>5</v>
      </c>
      <c r="W5" s="2">
        <v>2</v>
      </c>
      <c r="X5" s="13">
        <v>15</v>
      </c>
      <c r="Y5" s="13">
        <v>1</v>
      </c>
      <c r="Z5" s="14">
        <v>2</v>
      </c>
      <c r="AA5" s="13">
        <v>0</v>
      </c>
      <c r="AB5" s="13">
        <v>0</v>
      </c>
      <c r="AC5" s="13">
        <v>0</v>
      </c>
      <c r="AD5" s="13">
        <v>0</v>
      </c>
      <c r="AE5" s="13">
        <v>0</v>
      </c>
      <c r="AF5" s="13">
        <v>0</v>
      </c>
      <c r="AG5" s="13">
        <v>0</v>
      </c>
      <c r="AH5" s="13">
        <v>0</v>
      </c>
      <c r="AI5" s="13">
        <v>0</v>
      </c>
      <c r="AJ5" s="13">
        <v>0</v>
      </c>
      <c r="AK5" s="13">
        <v>0</v>
      </c>
    </row>
    <row r="6" spans="1:37" x14ac:dyDescent="0.25">
      <c r="A6" s="2" t="s">
        <v>36</v>
      </c>
      <c r="B6" s="5">
        <f>B4*B5</f>
        <v>18500.7</v>
      </c>
      <c r="C6" s="1" t="s">
        <v>42</v>
      </c>
      <c r="D6" s="19">
        <f t="shared" ref="D6:P6" si="1">SUM(D4:D5)</f>
        <v>241</v>
      </c>
      <c r="E6" s="19">
        <f t="shared" si="1"/>
        <v>238</v>
      </c>
      <c r="F6" s="19">
        <f t="shared" si="1"/>
        <v>234</v>
      </c>
      <c r="G6" s="19">
        <f t="shared" si="1"/>
        <v>246</v>
      </c>
      <c r="H6" s="19">
        <f t="shared" si="1"/>
        <v>261</v>
      </c>
      <c r="I6" s="19">
        <f t="shared" si="1"/>
        <v>259</v>
      </c>
      <c r="J6" s="19">
        <f t="shared" si="1"/>
        <v>253</v>
      </c>
      <c r="K6" s="19">
        <f t="shared" si="1"/>
        <v>255</v>
      </c>
      <c r="L6" s="19">
        <f t="shared" si="1"/>
        <v>264</v>
      </c>
      <c r="M6" s="19">
        <f t="shared" si="1"/>
        <v>301</v>
      </c>
      <c r="N6" s="19">
        <f t="shared" si="1"/>
        <v>295</v>
      </c>
      <c r="O6" s="19">
        <f t="shared" si="1"/>
        <v>278</v>
      </c>
      <c r="P6" s="19">
        <f t="shared" si="1"/>
        <v>296</v>
      </c>
      <c r="U6" s="19">
        <f t="shared" ref="U6:X6" si="2">SUM(U4:U5)</f>
        <v>850</v>
      </c>
      <c r="V6" s="19">
        <f t="shared" si="2"/>
        <v>812</v>
      </c>
      <c r="W6" s="19">
        <f t="shared" si="2"/>
        <v>875</v>
      </c>
      <c r="X6" s="19">
        <f t="shared" si="2"/>
        <v>958</v>
      </c>
      <c r="Y6" s="19">
        <f>SUM(Y4:Y5)</f>
        <v>1028</v>
      </c>
      <c r="Z6" s="12">
        <f>SUM(Z4:Z5)</f>
        <v>1138</v>
      </c>
      <c r="AA6" s="19">
        <f t="shared" ref="AA6:AK6" si="3">SUM(AA4:AA5)</f>
        <v>1158.72</v>
      </c>
      <c r="AB6" s="19">
        <f t="shared" si="3"/>
        <v>1216.6560000000002</v>
      </c>
      <c r="AC6" s="19">
        <f t="shared" si="3"/>
        <v>1265.3222400000002</v>
      </c>
      <c r="AD6" s="19">
        <f t="shared" si="3"/>
        <v>1315.9351296000002</v>
      </c>
      <c r="AE6" s="19">
        <f t="shared" si="3"/>
        <v>1368.5725347840003</v>
      </c>
      <c r="AF6" s="19">
        <f t="shared" si="3"/>
        <v>1423.3154361753602</v>
      </c>
      <c r="AG6" s="19">
        <f t="shared" si="3"/>
        <v>1480.2480536223748</v>
      </c>
      <c r="AH6" s="19">
        <f t="shared" si="3"/>
        <v>1539.4579757672698</v>
      </c>
      <c r="AI6" s="19">
        <f t="shared" si="3"/>
        <v>1601.0362947979606</v>
      </c>
      <c r="AJ6" s="19">
        <f t="shared" si="3"/>
        <v>1665.0777465898791</v>
      </c>
      <c r="AK6" s="19">
        <f t="shared" si="3"/>
        <v>1731.6808564534742</v>
      </c>
    </row>
    <row r="7" spans="1:37" x14ac:dyDescent="0.25">
      <c r="A7" s="2" t="s">
        <v>37</v>
      </c>
      <c r="B7" s="5">
        <v>1791.4</v>
      </c>
      <c r="C7" s="2" t="s">
        <v>44</v>
      </c>
      <c r="D7" s="28">
        <v>-75</v>
      </c>
      <c r="E7" s="28">
        <v>-76</v>
      </c>
      <c r="F7" s="28">
        <v>-80</v>
      </c>
      <c r="G7" s="28">
        <v>-82</v>
      </c>
      <c r="H7" s="28">
        <v>-90</v>
      </c>
      <c r="I7" s="28">
        <v>-87</v>
      </c>
      <c r="J7" s="28">
        <v>-83</v>
      </c>
      <c r="K7" s="13">
        <v>-81</v>
      </c>
      <c r="L7" s="13">
        <v>-86</v>
      </c>
      <c r="M7" s="13">
        <v>-108</v>
      </c>
      <c r="N7" s="13">
        <v>-108</v>
      </c>
      <c r="O7" s="13">
        <v>-89</v>
      </c>
      <c r="P7" s="4">
        <v>-103</v>
      </c>
      <c r="U7" s="2">
        <v>-247</v>
      </c>
      <c r="V7" s="2">
        <v>-243</v>
      </c>
      <c r="W7" s="2">
        <v>-277</v>
      </c>
      <c r="X7" s="13">
        <v>-313</v>
      </c>
      <c r="Y7" s="13">
        <v>-340</v>
      </c>
      <c r="Z7" s="14">
        <v>-391</v>
      </c>
      <c r="AA7" s="13">
        <f>Z7*1.005</f>
        <v>-392.95499999999998</v>
      </c>
      <c r="AB7" s="13">
        <f>AA7*1.03</f>
        <v>-404.74365</v>
      </c>
      <c r="AC7" s="13">
        <f>AB7*1.04</f>
        <v>-420.93339600000002</v>
      </c>
      <c r="AD7" s="13">
        <f t="shared" ref="AD7:AK7" si="4">AC7*1.04</f>
        <v>-437.77073184000005</v>
      </c>
      <c r="AE7" s="13">
        <f t="shared" si="4"/>
        <v>-455.28156111360005</v>
      </c>
      <c r="AF7" s="13">
        <f t="shared" si="4"/>
        <v>-473.49282355814404</v>
      </c>
      <c r="AG7" s="13">
        <f t="shared" si="4"/>
        <v>-492.43253650046984</v>
      </c>
      <c r="AH7" s="13">
        <f t="shared" si="4"/>
        <v>-512.12983796048866</v>
      </c>
      <c r="AI7" s="13">
        <f t="shared" si="4"/>
        <v>-532.61503147890824</v>
      </c>
      <c r="AJ7" s="13">
        <f t="shared" si="4"/>
        <v>-553.91963273806459</v>
      </c>
      <c r="AK7" s="13">
        <f t="shared" si="4"/>
        <v>-576.07641804758714</v>
      </c>
    </row>
    <row r="8" spans="1:37" x14ac:dyDescent="0.25">
      <c r="A8" s="2" t="s">
        <v>38</v>
      </c>
      <c r="B8" s="5">
        <v>3551</v>
      </c>
      <c r="C8" s="2" t="s">
        <v>45</v>
      </c>
      <c r="D8" s="28">
        <v>-84</v>
      </c>
      <c r="E8" s="28">
        <v>-83</v>
      </c>
      <c r="F8" s="28">
        <v>-83</v>
      </c>
      <c r="G8" s="28">
        <v>-92</v>
      </c>
      <c r="H8" s="28">
        <v>-94</v>
      </c>
      <c r="I8" s="28">
        <v>-94</v>
      </c>
      <c r="J8" s="28">
        <v>-99</v>
      </c>
      <c r="K8" s="13">
        <v>-100</v>
      </c>
      <c r="L8" s="13">
        <v>-102</v>
      </c>
      <c r="M8" s="13">
        <v>-104</v>
      </c>
      <c r="N8" s="13">
        <v>-109</v>
      </c>
      <c r="O8" s="13">
        <v>-108</v>
      </c>
      <c r="P8" s="4">
        <v>-110</v>
      </c>
      <c r="U8" s="2">
        <v>-306</v>
      </c>
      <c r="V8" s="2">
        <v>-299</v>
      </c>
      <c r="W8" s="2">
        <v>-321</v>
      </c>
      <c r="X8" s="13">
        <v>-341</v>
      </c>
      <c r="Y8" s="13">
        <v>-387</v>
      </c>
      <c r="Z8" s="14">
        <v>-423</v>
      </c>
      <c r="AA8" s="13">
        <f>Z8*1.005</f>
        <v>-425.11499999999995</v>
      </c>
      <c r="AB8" s="13">
        <f t="shared" ref="AB8:AB10" si="5">AA8*1.03</f>
        <v>-437.86844999999994</v>
      </c>
      <c r="AC8" s="13">
        <f t="shared" ref="AC8:AC10" si="6">AB8*1.04</f>
        <v>-455.38318799999996</v>
      </c>
      <c r="AD8" s="13">
        <f t="shared" ref="AD8:AK8" si="7">AC8*1.04</f>
        <v>-473.59851551999998</v>
      </c>
      <c r="AE8" s="13">
        <f t="shared" si="7"/>
        <v>-492.54245614079997</v>
      </c>
      <c r="AF8" s="13">
        <f t="shared" si="7"/>
        <v>-512.244154386432</v>
      </c>
      <c r="AG8" s="13">
        <f t="shared" si="7"/>
        <v>-532.73392056188925</v>
      </c>
      <c r="AH8" s="13">
        <f t="shared" si="7"/>
        <v>-554.04327738436484</v>
      </c>
      <c r="AI8" s="13">
        <f t="shared" si="7"/>
        <v>-576.20500847973949</v>
      </c>
      <c r="AJ8" s="13">
        <f t="shared" si="7"/>
        <v>-599.25320881892912</v>
      </c>
      <c r="AK8" s="13">
        <f t="shared" si="7"/>
        <v>-623.22333717168635</v>
      </c>
    </row>
    <row r="9" spans="1:37" x14ac:dyDescent="0.25">
      <c r="A9" s="3" t="s">
        <v>39</v>
      </c>
      <c r="B9" s="6">
        <f>B6-B7+B8</f>
        <v>20260.3</v>
      </c>
      <c r="C9" s="2" t="s">
        <v>46</v>
      </c>
      <c r="D9" s="28">
        <v>-38</v>
      </c>
      <c r="E9" s="28">
        <v>-40</v>
      </c>
      <c r="F9" s="28">
        <v>-34</v>
      </c>
      <c r="G9" s="28">
        <v>-39</v>
      </c>
      <c r="H9" s="28">
        <v>-38</v>
      </c>
      <c r="I9" s="28">
        <v>-39</v>
      </c>
      <c r="J9" s="28">
        <v>-35</v>
      </c>
      <c r="K9" s="13">
        <v>-42</v>
      </c>
      <c r="L9" s="13">
        <v>-38</v>
      </c>
      <c r="M9" s="13">
        <v>-43</v>
      </c>
      <c r="N9" s="13">
        <v>-40</v>
      </c>
      <c r="O9" s="13">
        <v>-44</v>
      </c>
      <c r="P9" s="4">
        <v>-38</v>
      </c>
      <c r="U9" s="2">
        <v>-148</v>
      </c>
      <c r="V9" s="2">
        <v>-131</v>
      </c>
      <c r="W9" s="2">
        <v>-136</v>
      </c>
      <c r="X9" s="13">
        <v>-151</v>
      </c>
      <c r="Y9" s="13">
        <v>-153</v>
      </c>
      <c r="Z9" s="14">
        <v>-166</v>
      </c>
      <c r="AA9" s="13">
        <f>Z9*1.005</f>
        <v>-166.82999999999998</v>
      </c>
      <c r="AB9" s="13">
        <f t="shared" si="5"/>
        <v>-171.83489999999998</v>
      </c>
      <c r="AC9" s="13">
        <f t="shared" si="6"/>
        <v>-178.70829599999999</v>
      </c>
      <c r="AD9" s="13">
        <f t="shared" ref="AD9:AK9" si="8">AC9*1.04</f>
        <v>-185.85662783999999</v>
      </c>
      <c r="AE9" s="13">
        <f t="shared" si="8"/>
        <v>-193.29089295360001</v>
      </c>
      <c r="AF9" s="13">
        <f t="shared" si="8"/>
        <v>-201.02252867174403</v>
      </c>
      <c r="AG9" s="13">
        <f t="shared" si="8"/>
        <v>-209.0634298186138</v>
      </c>
      <c r="AH9" s="13">
        <f t="shared" si="8"/>
        <v>-217.42596701135835</v>
      </c>
      <c r="AI9" s="13">
        <f t="shared" si="8"/>
        <v>-226.12300569181269</v>
      </c>
      <c r="AJ9" s="13">
        <f t="shared" si="8"/>
        <v>-235.16792591948521</v>
      </c>
      <c r="AK9" s="13">
        <f t="shared" si="8"/>
        <v>-244.57464295626463</v>
      </c>
    </row>
    <row r="10" spans="1:37" x14ac:dyDescent="0.25">
      <c r="C10" s="2" t="s">
        <v>47</v>
      </c>
      <c r="D10" s="28">
        <v>-17</v>
      </c>
      <c r="E10" s="28">
        <v>-12</v>
      </c>
      <c r="F10" s="28">
        <v>-13</v>
      </c>
      <c r="G10" s="28">
        <v>-27</v>
      </c>
      <c r="H10" s="28">
        <v>-14</v>
      </c>
      <c r="I10" s="28">
        <v>-14</v>
      </c>
      <c r="J10" s="28">
        <v>-15</v>
      </c>
      <c r="K10" s="13">
        <v>-16</v>
      </c>
      <c r="L10" s="13">
        <v>-16</v>
      </c>
      <c r="M10" s="13">
        <v>-16</v>
      </c>
      <c r="N10" s="13">
        <v>-16</v>
      </c>
      <c r="O10" s="13">
        <v>-26</v>
      </c>
      <c r="P10" s="4">
        <v>-14</v>
      </c>
      <c r="U10" s="2">
        <v>-71</v>
      </c>
      <c r="V10" s="2">
        <v>-78</v>
      </c>
      <c r="W10" s="2">
        <v>-68</v>
      </c>
      <c r="X10" s="13">
        <v>-69</v>
      </c>
      <c r="Y10" s="13">
        <v>-59</v>
      </c>
      <c r="Z10" s="14">
        <v>-74</v>
      </c>
      <c r="AA10" s="13">
        <f>Z10*1.01</f>
        <v>-74.739999999999995</v>
      </c>
      <c r="AB10" s="13">
        <f t="shared" si="5"/>
        <v>-76.982199999999992</v>
      </c>
      <c r="AC10" s="13">
        <f t="shared" si="6"/>
        <v>-80.061487999999997</v>
      </c>
      <c r="AD10" s="13">
        <f t="shared" ref="AD10:AK10" si="9">AC10*1.04</f>
        <v>-83.263947520000002</v>
      </c>
      <c r="AE10" s="13">
        <f t="shared" si="9"/>
        <v>-86.594505420800004</v>
      </c>
      <c r="AF10" s="13">
        <f t="shared" si="9"/>
        <v>-90.058285637632011</v>
      </c>
      <c r="AG10" s="13">
        <f t="shared" si="9"/>
        <v>-93.660617063137295</v>
      </c>
      <c r="AH10" s="13">
        <f t="shared" si="9"/>
        <v>-97.407041745662795</v>
      </c>
      <c r="AI10" s="13">
        <f t="shared" si="9"/>
        <v>-101.30332341548932</v>
      </c>
      <c r="AJ10" s="13">
        <f t="shared" si="9"/>
        <v>-105.35545635210889</v>
      </c>
      <c r="AK10" s="13">
        <f t="shared" si="9"/>
        <v>-109.56967460619325</v>
      </c>
    </row>
    <row r="11" spans="1:37" x14ac:dyDescent="0.25">
      <c r="A11" s="2" t="s">
        <v>57</v>
      </c>
      <c r="B11" s="4">
        <v>10.6</v>
      </c>
      <c r="C11" s="1" t="s">
        <v>48</v>
      </c>
      <c r="D11" s="19">
        <f t="shared" ref="D11:J11" si="10">SUM(D6:D10)</f>
        <v>27</v>
      </c>
      <c r="E11" s="19">
        <f t="shared" si="10"/>
        <v>27</v>
      </c>
      <c r="F11" s="19">
        <f t="shared" si="10"/>
        <v>24</v>
      </c>
      <c r="G11" s="19">
        <f t="shared" si="10"/>
        <v>6</v>
      </c>
      <c r="H11" s="19">
        <f t="shared" si="10"/>
        <v>25</v>
      </c>
      <c r="I11" s="19">
        <f t="shared" si="10"/>
        <v>25</v>
      </c>
      <c r="J11" s="19">
        <f t="shared" si="10"/>
        <v>21</v>
      </c>
      <c r="K11" s="19">
        <f t="shared" ref="K11:P11" si="11">SUM(K6:K10)</f>
        <v>16</v>
      </c>
      <c r="L11" s="19">
        <f t="shared" si="11"/>
        <v>22</v>
      </c>
      <c r="M11" s="19">
        <f t="shared" si="11"/>
        <v>30</v>
      </c>
      <c r="N11" s="19">
        <f t="shared" si="11"/>
        <v>22</v>
      </c>
      <c r="O11" s="19">
        <f t="shared" si="11"/>
        <v>11</v>
      </c>
      <c r="P11" s="19">
        <f t="shared" si="11"/>
        <v>31</v>
      </c>
      <c r="U11" s="19">
        <f t="shared" ref="U11:X11" si="12">SUM(U6:U10)</f>
        <v>78</v>
      </c>
      <c r="V11" s="19">
        <f t="shared" si="12"/>
        <v>61</v>
      </c>
      <c r="W11" s="19">
        <f t="shared" si="12"/>
        <v>73</v>
      </c>
      <c r="X11" s="19">
        <f t="shared" si="12"/>
        <v>84</v>
      </c>
      <c r="Y11" s="19">
        <f>SUM(Y6:Y10)</f>
        <v>89</v>
      </c>
      <c r="Z11" s="12">
        <f>SUM(Z6:Z10)</f>
        <v>84</v>
      </c>
      <c r="AA11" s="19">
        <f t="shared" ref="AA11:AK11" si="13">SUM(AA6:AA10)</f>
        <v>99.080000000000169</v>
      </c>
      <c r="AB11" s="19">
        <f t="shared" si="13"/>
        <v>125.22680000000027</v>
      </c>
      <c r="AC11" s="19">
        <f t="shared" si="13"/>
        <v>130.23587200000023</v>
      </c>
      <c r="AD11" s="19">
        <f t="shared" si="13"/>
        <v>135.4453068800002</v>
      </c>
      <c r="AE11" s="19">
        <f t="shared" si="13"/>
        <v>140.86311915520028</v>
      </c>
      <c r="AF11" s="19">
        <f t="shared" si="13"/>
        <v>146.49764392140821</v>
      </c>
      <c r="AG11" s="19">
        <f t="shared" si="13"/>
        <v>152.35754967826458</v>
      </c>
      <c r="AH11" s="19">
        <f t="shared" si="13"/>
        <v>158.45185166539511</v>
      </c>
      <c r="AI11" s="19">
        <f t="shared" si="13"/>
        <v>164.78992573201077</v>
      </c>
      <c r="AJ11" s="19">
        <f t="shared" si="13"/>
        <v>171.38152276129125</v>
      </c>
      <c r="AK11" s="19">
        <f t="shared" si="13"/>
        <v>178.2367836717429</v>
      </c>
    </row>
    <row r="12" spans="1:37" x14ac:dyDescent="0.25">
      <c r="C12" s="2" t="s">
        <v>49</v>
      </c>
      <c r="D12" s="28">
        <v>64</v>
      </c>
      <c r="E12" s="28">
        <v>45</v>
      </c>
      <c r="F12" s="28">
        <v>87</v>
      </c>
      <c r="G12" s="28">
        <v>100</v>
      </c>
      <c r="H12" s="28">
        <v>83</v>
      </c>
      <c r="I12" s="28">
        <v>141</v>
      </c>
      <c r="J12" s="28">
        <v>138</v>
      </c>
      <c r="K12" s="13">
        <v>68</v>
      </c>
      <c r="L12" s="13">
        <v>92</v>
      </c>
      <c r="M12" s="13">
        <v>146</v>
      </c>
      <c r="N12" s="13">
        <v>118</v>
      </c>
      <c r="O12" s="13">
        <v>116</v>
      </c>
      <c r="P12" s="4">
        <v>121</v>
      </c>
      <c r="U12" s="2">
        <v>49</v>
      </c>
      <c r="V12" s="2">
        <v>-50</v>
      </c>
      <c r="W12" s="2">
        <v>101</v>
      </c>
      <c r="X12" s="13">
        <v>296</v>
      </c>
      <c r="Y12" s="13">
        <v>431</v>
      </c>
      <c r="Z12" s="14">
        <v>472</v>
      </c>
      <c r="AA12" s="13">
        <f>Z12*1.04</f>
        <v>490.88</v>
      </c>
      <c r="AB12" s="13">
        <f>AA12*0.95</f>
        <v>466.33599999999996</v>
      </c>
      <c r="AC12" s="13">
        <f t="shared" ref="AC12:AE12" si="14">AB12*0.95</f>
        <v>443.01919999999996</v>
      </c>
      <c r="AD12" s="13">
        <f t="shared" si="14"/>
        <v>420.86823999999996</v>
      </c>
      <c r="AE12" s="13">
        <f t="shared" si="14"/>
        <v>399.82482799999997</v>
      </c>
      <c r="AF12" s="13">
        <f t="shared" ref="AF12:AK12" si="15">AE12*1.01</f>
        <v>403.82307627999995</v>
      </c>
      <c r="AG12" s="13">
        <f t="shared" si="15"/>
        <v>407.86130704279998</v>
      </c>
      <c r="AH12" s="13">
        <f t="shared" si="15"/>
        <v>411.93992011322797</v>
      </c>
      <c r="AI12" s="13">
        <f t="shared" si="15"/>
        <v>416.05931931436027</v>
      </c>
      <c r="AJ12" s="13">
        <f t="shared" si="15"/>
        <v>420.21991250750386</v>
      </c>
      <c r="AK12" s="13">
        <f t="shared" si="15"/>
        <v>424.42211163257889</v>
      </c>
    </row>
    <row r="13" spans="1:37" x14ac:dyDescent="0.25">
      <c r="A13" s="13"/>
      <c r="C13" s="2" t="s">
        <v>50</v>
      </c>
      <c r="D13" s="28">
        <v>70</v>
      </c>
      <c r="E13" s="28">
        <v>0</v>
      </c>
      <c r="F13" s="28">
        <v>-106</v>
      </c>
      <c r="G13" s="28">
        <v>105</v>
      </c>
      <c r="H13" s="28">
        <v>1</v>
      </c>
      <c r="I13" s="28">
        <v>1</v>
      </c>
      <c r="J13" s="28">
        <v>4</v>
      </c>
      <c r="K13" s="13">
        <v>5</v>
      </c>
      <c r="L13" s="13">
        <v>8</v>
      </c>
      <c r="M13" s="13">
        <v>15</v>
      </c>
      <c r="N13" s="13">
        <v>3</v>
      </c>
      <c r="O13" s="13">
        <v>1</v>
      </c>
      <c r="P13" s="4">
        <v>0</v>
      </c>
      <c r="U13" s="2">
        <v>34</v>
      </c>
      <c r="V13" s="2">
        <v>192</v>
      </c>
      <c r="W13" s="2">
        <v>-107</v>
      </c>
      <c r="X13" s="13">
        <v>-50</v>
      </c>
      <c r="Y13" s="13">
        <v>11</v>
      </c>
      <c r="Z13" s="14">
        <v>27</v>
      </c>
      <c r="AA13" s="13">
        <v>0</v>
      </c>
      <c r="AB13" s="13">
        <v>0</v>
      </c>
      <c r="AC13" s="13">
        <v>0</v>
      </c>
      <c r="AD13" s="13">
        <v>0</v>
      </c>
      <c r="AE13" s="13">
        <v>0</v>
      </c>
      <c r="AF13" s="13">
        <v>0</v>
      </c>
      <c r="AG13" s="13">
        <v>0</v>
      </c>
      <c r="AH13" s="13">
        <v>0</v>
      </c>
      <c r="AI13" s="13">
        <v>0</v>
      </c>
      <c r="AJ13" s="13">
        <v>0</v>
      </c>
      <c r="AK13" s="13">
        <v>0</v>
      </c>
    </row>
    <row r="14" spans="1:37" x14ac:dyDescent="0.25">
      <c r="C14" s="2" t="s">
        <v>51</v>
      </c>
      <c r="D14" s="28">
        <v>4</v>
      </c>
      <c r="E14" s="28">
        <v>0</v>
      </c>
      <c r="F14" s="28">
        <v>0</v>
      </c>
      <c r="G14" s="28">
        <v>0</v>
      </c>
      <c r="H14" s="28">
        <v>0</v>
      </c>
      <c r="I14" s="28">
        <v>0</v>
      </c>
      <c r="J14" s="28">
        <v>0</v>
      </c>
      <c r="K14" s="13">
        <v>1</v>
      </c>
      <c r="L14" s="13">
        <v>0</v>
      </c>
      <c r="M14" s="13">
        <v>0</v>
      </c>
      <c r="N14" s="13">
        <v>1</v>
      </c>
      <c r="O14" s="13">
        <v>0</v>
      </c>
      <c r="P14" s="4">
        <v>-7</v>
      </c>
      <c r="U14" s="2">
        <v>33</v>
      </c>
      <c r="V14" s="2">
        <v>46</v>
      </c>
      <c r="W14" s="2">
        <v>42</v>
      </c>
      <c r="X14" s="13">
        <v>30</v>
      </c>
      <c r="Y14" s="13">
        <v>39</v>
      </c>
      <c r="Z14" s="14">
        <v>25</v>
      </c>
      <c r="AA14" s="13">
        <v>0</v>
      </c>
      <c r="AB14" s="13">
        <v>0</v>
      </c>
      <c r="AC14" s="13">
        <v>0</v>
      </c>
      <c r="AD14" s="13">
        <v>0</v>
      </c>
      <c r="AE14" s="13">
        <v>0</v>
      </c>
      <c r="AF14" s="13">
        <v>0</v>
      </c>
      <c r="AG14" s="13">
        <v>0</v>
      </c>
      <c r="AH14" s="13">
        <v>0</v>
      </c>
      <c r="AI14" s="13">
        <v>0</v>
      </c>
      <c r="AJ14" s="13">
        <v>0</v>
      </c>
      <c r="AK14" s="13">
        <v>0</v>
      </c>
    </row>
    <row r="15" spans="1:37" x14ac:dyDescent="0.25">
      <c r="C15" s="2" t="s">
        <v>52</v>
      </c>
      <c r="D15" s="28">
        <v>0</v>
      </c>
      <c r="E15" s="28">
        <v>-117</v>
      </c>
      <c r="F15" s="28">
        <v>-29</v>
      </c>
      <c r="G15" s="28">
        <v>0</v>
      </c>
      <c r="H15" s="28">
        <v>-2</v>
      </c>
      <c r="I15" s="28">
        <v>-3</v>
      </c>
      <c r="J15" s="28">
        <v>-6</v>
      </c>
      <c r="K15" s="13">
        <v>0</v>
      </c>
      <c r="L15" s="13">
        <v>-6</v>
      </c>
      <c r="M15" s="13">
        <v>-12</v>
      </c>
      <c r="N15" s="13">
        <v>0</v>
      </c>
      <c r="O15" s="13">
        <v>-28</v>
      </c>
      <c r="P15" s="4">
        <v>4</v>
      </c>
      <c r="U15" s="2">
        <v>-49</v>
      </c>
      <c r="V15" s="2">
        <v>-44</v>
      </c>
      <c r="W15" s="2">
        <v>-43</v>
      </c>
      <c r="X15" s="13">
        <v>-55</v>
      </c>
      <c r="Y15" s="13">
        <v>-54</v>
      </c>
      <c r="Z15" s="14">
        <v>-71</v>
      </c>
      <c r="AA15" s="13">
        <v>0</v>
      </c>
      <c r="AB15" s="13">
        <v>0</v>
      </c>
      <c r="AC15" s="13">
        <v>0</v>
      </c>
      <c r="AD15" s="13">
        <v>0</v>
      </c>
      <c r="AE15" s="13">
        <v>0</v>
      </c>
      <c r="AF15" s="13">
        <v>0</v>
      </c>
      <c r="AG15" s="13">
        <v>0</v>
      </c>
      <c r="AH15" s="13">
        <v>0</v>
      </c>
      <c r="AI15" s="13">
        <v>0</v>
      </c>
      <c r="AJ15" s="13">
        <v>0</v>
      </c>
      <c r="AK15" s="13">
        <v>0</v>
      </c>
    </row>
    <row r="16" spans="1:37" x14ac:dyDescent="0.25">
      <c r="C16" s="2" t="s">
        <v>53</v>
      </c>
      <c r="D16" s="28">
        <f t="shared" ref="D16:O16" si="16">SUM(D11:D15)</f>
        <v>165</v>
      </c>
      <c r="E16" s="28">
        <f t="shared" si="16"/>
        <v>-45</v>
      </c>
      <c r="F16" s="28">
        <f t="shared" si="16"/>
        <v>-24</v>
      </c>
      <c r="G16" s="28">
        <f t="shared" si="16"/>
        <v>211</v>
      </c>
      <c r="H16" s="28">
        <f t="shared" si="16"/>
        <v>107</v>
      </c>
      <c r="I16" s="28">
        <f t="shared" si="16"/>
        <v>164</v>
      </c>
      <c r="J16" s="28">
        <f t="shared" si="16"/>
        <v>157</v>
      </c>
      <c r="K16" s="13">
        <f t="shared" si="16"/>
        <v>90</v>
      </c>
      <c r="L16" s="13">
        <f t="shared" si="16"/>
        <v>116</v>
      </c>
      <c r="M16" s="13">
        <f t="shared" si="16"/>
        <v>179</v>
      </c>
      <c r="N16" s="13">
        <f t="shared" si="16"/>
        <v>144</v>
      </c>
      <c r="O16" s="13">
        <f t="shared" si="16"/>
        <v>100</v>
      </c>
      <c r="P16" s="13">
        <f>SUM(P11:P15)</f>
        <v>149</v>
      </c>
      <c r="U16" s="13">
        <f t="shared" ref="U16:W16" si="17">SUM(U11:U15)</f>
        <v>145</v>
      </c>
      <c r="V16" s="13">
        <f t="shared" si="17"/>
        <v>205</v>
      </c>
      <c r="W16" s="13">
        <f t="shared" si="17"/>
        <v>66</v>
      </c>
      <c r="X16" s="13">
        <f>SUM(X11:X15)</f>
        <v>305</v>
      </c>
      <c r="Y16" s="13">
        <f>SUM(Y11:Y15)</f>
        <v>516</v>
      </c>
      <c r="Z16" s="14">
        <f>SUM(Z11:Z15)</f>
        <v>537</v>
      </c>
      <c r="AA16" s="13">
        <f t="shared" ref="AA16:AK16" si="18">SUM(AA11:AA15)</f>
        <v>589.96000000000015</v>
      </c>
      <c r="AB16" s="13">
        <f t="shared" si="18"/>
        <v>591.56280000000027</v>
      </c>
      <c r="AC16" s="13">
        <f t="shared" si="18"/>
        <v>573.25507200000015</v>
      </c>
      <c r="AD16" s="13">
        <f t="shared" si="18"/>
        <v>556.3135468800001</v>
      </c>
      <c r="AE16" s="13">
        <f t="shared" si="18"/>
        <v>540.68794715520028</v>
      </c>
      <c r="AF16" s="13">
        <f t="shared" si="18"/>
        <v>550.32072020140822</v>
      </c>
      <c r="AG16" s="13">
        <f t="shared" si="18"/>
        <v>560.21885672106453</v>
      </c>
      <c r="AH16" s="13">
        <f t="shared" si="18"/>
        <v>570.39177177862302</v>
      </c>
      <c r="AI16" s="13">
        <f t="shared" si="18"/>
        <v>580.84924504637104</v>
      </c>
      <c r="AJ16" s="13">
        <f t="shared" si="18"/>
        <v>591.60143526879506</v>
      </c>
      <c r="AK16" s="13">
        <f t="shared" si="18"/>
        <v>602.65889530432173</v>
      </c>
    </row>
    <row r="17" spans="3:142" x14ac:dyDescent="0.25">
      <c r="C17" s="2" t="s">
        <v>54</v>
      </c>
      <c r="D17" s="29">
        <v>-5</v>
      </c>
      <c r="E17" s="29">
        <v>6</v>
      </c>
      <c r="F17" s="29">
        <v>0</v>
      </c>
      <c r="G17" s="29">
        <v>-14</v>
      </c>
      <c r="H17" s="29">
        <v>-6</v>
      </c>
      <c r="I17" s="29">
        <v>-6</v>
      </c>
      <c r="J17" s="29">
        <v>-5</v>
      </c>
      <c r="K17" s="21">
        <v>-11</v>
      </c>
      <c r="L17" s="21">
        <v>-2</v>
      </c>
      <c r="M17" s="21">
        <v>-7</v>
      </c>
      <c r="N17" s="21">
        <v>-7</v>
      </c>
      <c r="O17" s="21">
        <v>-4</v>
      </c>
      <c r="P17" s="4">
        <v>-12</v>
      </c>
      <c r="U17" s="2">
        <v>-15</v>
      </c>
      <c r="V17" s="2">
        <v>-27</v>
      </c>
      <c r="W17" s="2">
        <v>-13</v>
      </c>
      <c r="X17" s="13">
        <v>-13</v>
      </c>
      <c r="Y17" s="13">
        <v>-27</v>
      </c>
      <c r="Z17" s="14">
        <v>-20</v>
      </c>
      <c r="AA17" s="21">
        <f>AA16*-0.05</f>
        <v>-29.498000000000008</v>
      </c>
      <c r="AB17" s="21">
        <f t="shared" ref="AB17:AK17" si="19">AB16*-0.05</f>
        <v>-29.578140000000015</v>
      </c>
      <c r="AC17" s="21">
        <f t="shared" si="19"/>
        <v>-28.662753600000009</v>
      </c>
      <c r="AD17" s="21">
        <f t="shared" si="19"/>
        <v>-27.815677344000008</v>
      </c>
      <c r="AE17" s="21">
        <f t="shared" si="19"/>
        <v>-27.034397357760014</v>
      </c>
      <c r="AF17" s="21">
        <f t="shared" si="19"/>
        <v>-27.516036010070412</v>
      </c>
      <c r="AG17" s="21">
        <f t="shared" si="19"/>
        <v>-28.010942836053228</v>
      </c>
      <c r="AH17" s="21">
        <f t="shared" si="19"/>
        <v>-28.519588588931153</v>
      </c>
      <c r="AI17" s="21">
        <f t="shared" si="19"/>
        <v>-29.042462252318554</v>
      </c>
      <c r="AJ17" s="21">
        <f t="shared" si="19"/>
        <v>-29.580071763439754</v>
      </c>
      <c r="AK17" s="21">
        <f t="shared" si="19"/>
        <v>-30.132944765216088</v>
      </c>
    </row>
    <row r="18" spans="3:142" x14ac:dyDescent="0.25">
      <c r="C18" s="1" t="s">
        <v>55</v>
      </c>
      <c r="D18" s="30">
        <f t="shared" ref="D18:P18" si="20">SUM(D16:D17)</f>
        <v>160</v>
      </c>
      <c r="E18" s="30">
        <f t="shared" si="20"/>
        <v>-39</v>
      </c>
      <c r="F18" s="30">
        <f t="shared" si="20"/>
        <v>-24</v>
      </c>
      <c r="G18" s="30">
        <f t="shared" si="20"/>
        <v>197</v>
      </c>
      <c r="H18" s="30">
        <f t="shared" si="20"/>
        <v>101</v>
      </c>
      <c r="I18" s="30">
        <f t="shared" si="20"/>
        <v>158</v>
      </c>
      <c r="J18" s="30">
        <f t="shared" si="20"/>
        <v>152</v>
      </c>
      <c r="K18" s="22">
        <f t="shared" si="20"/>
        <v>79</v>
      </c>
      <c r="L18" s="22">
        <f t="shared" si="20"/>
        <v>114</v>
      </c>
      <c r="M18" s="22">
        <f t="shared" si="20"/>
        <v>172</v>
      </c>
      <c r="N18" s="22">
        <f t="shared" si="20"/>
        <v>137</v>
      </c>
      <c r="O18" s="22">
        <f t="shared" si="20"/>
        <v>96</v>
      </c>
      <c r="P18" s="22">
        <f t="shared" si="20"/>
        <v>137</v>
      </c>
      <c r="U18" s="19">
        <f t="shared" ref="U18:X18" si="21">SUM(U16:U17)</f>
        <v>130</v>
      </c>
      <c r="V18" s="19">
        <f t="shared" si="21"/>
        <v>178</v>
      </c>
      <c r="W18" s="19">
        <f t="shared" si="21"/>
        <v>53</v>
      </c>
      <c r="X18" s="19">
        <f t="shared" si="21"/>
        <v>292</v>
      </c>
      <c r="Y18" s="19">
        <f>SUM(Y16:Y17)</f>
        <v>489</v>
      </c>
      <c r="Z18" s="12">
        <f>SUM(Z16:Z17)</f>
        <v>517</v>
      </c>
      <c r="AA18" s="19">
        <f t="shared" ref="AA18:AK18" si="22">SUM(AA16:AA17)</f>
        <v>560.4620000000001</v>
      </c>
      <c r="AB18" s="19">
        <f t="shared" si="22"/>
        <v>561.9846600000003</v>
      </c>
      <c r="AC18" s="19">
        <f t="shared" si="22"/>
        <v>544.59231840000018</v>
      </c>
      <c r="AD18" s="19">
        <f t="shared" si="22"/>
        <v>528.49786953600005</v>
      </c>
      <c r="AE18" s="19">
        <f t="shared" si="22"/>
        <v>513.65354979744029</v>
      </c>
      <c r="AF18" s="19">
        <f t="shared" si="22"/>
        <v>522.80468419133786</v>
      </c>
      <c r="AG18" s="19">
        <f t="shared" si="22"/>
        <v>532.20791388501129</v>
      </c>
      <c r="AH18" s="19">
        <f t="shared" si="22"/>
        <v>541.8721831896919</v>
      </c>
      <c r="AI18" s="19">
        <f t="shared" si="22"/>
        <v>551.80678279405254</v>
      </c>
      <c r="AJ18" s="19">
        <f t="shared" si="22"/>
        <v>562.02136350535534</v>
      </c>
      <c r="AK18" s="19">
        <f t="shared" si="22"/>
        <v>572.52595053910568</v>
      </c>
      <c r="AL18" s="22">
        <f>AK18*(1+$AN$21)</f>
        <v>566.80069103371466</v>
      </c>
      <c r="AM18" s="22">
        <f t="shared" ref="AM18:CX18" si="23">AL18*(1+$AN$21)</f>
        <v>561.13268412337754</v>
      </c>
      <c r="AN18" s="22">
        <f t="shared" si="23"/>
        <v>555.52135728214375</v>
      </c>
      <c r="AO18" s="22">
        <f t="shared" si="23"/>
        <v>549.9661437093223</v>
      </c>
      <c r="AP18" s="22">
        <f t="shared" si="23"/>
        <v>544.46648227222909</v>
      </c>
      <c r="AQ18" s="22">
        <f t="shared" si="23"/>
        <v>539.02181744950678</v>
      </c>
      <c r="AR18" s="22">
        <f t="shared" si="23"/>
        <v>533.63159927501169</v>
      </c>
      <c r="AS18" s="22">
        <f t="shared" si="23"/>
        <v>528.29528328226161</v>
      </c>
      <c r="AT18" s="22">
        <f t="shared" si="23"/>
        <v>523.01233044943899</v>
      </c>
      <c r="AU18" s="22">
        <f t="shared" si="23"/>
        <v>517.78220714494455</v>
      </c>
      <c r="AV18" s="22">
        <f t="shared" si="23"/>
        <v>512.60438507349511</v>
      </c>
      <c r="AW18" s="22">
        <f t="shared" si="23"/>
        <v>507.47834122276015</v>
      </c>
      <c r="AX18" s="22">
        <f t="shared" si="23"/>
        <v>502.40355781053256</v>
      </c>
      <c r="AY18" s="22">
        <f t="shared" si="23"/>
        <v>497.37952223242723</v>
      </c>
      <c r="AZ18" s="22">
        <f t="shared" si="23"/>
        <v>492.40572701010296</v>
      </c>
      <c r="BA18" s="22">
        <f t="shared" si="23"/>
        <v>487.48166974000191</v>
      </c>
      <c r="BB18" s="22">
        <f t="shared" si="23"/>
        <v>482.60685304260187</v>
      </c>
      <c r="BC18" s="22">
        <f t="shared" si="23"/>
        <v>477.78078451217584</v>
      </c>
      <c r="BD18" s="22">
        <f t="shared" si="23"/>
        <v>473.0029766670541</v>
      </c>
      <c r="BE18" s="22">
        <f t="shared" si="23"/>
        <v>468.27294690038354</v>
      </c>
      <c r="BF18" s="22">
        <f t="shared" si="23"/>
        <v>463.5902174313797</v>
      </c>
      <c r="BG18" s="22">
        <f t="shared" si="23"/>
        <v>458.9543152570659</v>
      </c>
      <c r="BH18" s="22">
        <f t="shared" si="23"/>
        <v>454.36477210449522</v>
      </c>
      <c r="BI18" s="22">
        <f t="shared" si="23"/>
        <v>449.82112438345024</v>
      </c>
      <c r="BJ18" s="22">
        <f t="shared" si="23"/>
        <v>445.32291313961571</v>
      </c>
      <c r="BK18" s="22">
        <f t="shared" si="23"/>
        <v>440.86968400821956</v>
      </c>
      <c r="BL18" s="22">
        <f t="shared" si="23"/>
        <v>436.46098716813736</v>
      </c>
      <c r="BM18" s="22">
        <f t="shared" si="23"/>
        <v>432.09637729645601</v>
      </c>
      <c r="BN18" s="22">
        <f t="shared" si="23"/>
        <v>427.77541352349147</v>
      </c>
      <c r="BO18" s="22">
        <f t="shared" si="23"/>
        <v>423.49765938825652</v>
      </c>
      <c r="BP18" s="22">
        <f t="shared" si="23"/>
        <v>419.26268279437397</v>
      </c>
      <c r="BQ18" s="22">
        <f t="shared" si="23"/>
        <v>415.07005596643023</v>
      </c>
      <c r="BR18" s="22">
        <f t="shared" si="23"/>
        <v>410.91935540676593</v>
      </c>
      <c r="BS18" s="22">
        <f t="shared" si="23"/>
        <v>406.81016185269829</v>
      </c>
      <c r="BT18" s="22">
        <f t="shared" si="23"/>
        <v>402.74206023417128</v>
      </c>
      <c r="BU18" s="22">
        <f t="shared" si="23"/>
        <v>398.71463963182958</v>
      </c>
      <c r="BV18" s="22">
        <f t="shared" si="23"/>
        <v>394.7274932355113</v>
      </c>
      <c r="BW18" s="22">
        <f t="shared" si="23"/>
        <v>390.78021830315618</v>
      </c>
      <c r="BX18" s="22">
        <f t="shared" si="23"/>
        <v>386.87241612012463</v>
      </c>
      <c r="BY18" s="22">
        <f t="shared" si="23"/>
        <v>383.00369195892335</v>
      </c>
      <c r="BZ18" s="22">
        <f t="shared" si="23"/>
        <v>379.17365503933411</v>
      </c>
      <c r="CA18" s="22">
        <f t="shared" si="23"/>
        <v>375.38191848894076</v>
      </c>
      <c r="CB18" s="22">
        <f t="shared" si="23"/>
        <v>371.62809930405132</v>
      </c>
      <c r="CC18" s="22">
        <f t="shared" si="23"/>
        <v>367.91181831101079</v>
      </c>
      <c r="CD18" s="22">
        <f t="shared" si="23"/>
        <v>364.23270012790067</v>
      </c>
      <c r="CE18" s="22">
        <f t="shared" si="23"/>
        <v>360.59037312662167</v>
      </c>
      <c r="CF18" s="22">
        <f t="shared" si="23"/>
        <v>356.98446939535546</v>
      </c>
      <c r="CG18" s="22">
        <f t="shared" si="23"/>
        <v>353.41462470140192</v>
      </c>
      <c r="CH18" s="22">
        <f t="shared" si="23"/>
        <v>349.88047845438791</v>
      </c>
      <c r="CI18" s="22">
        <f t="shared" si="23"/>
        <v>346.38167366984402</v>
      </c>
      <c r="CJ18" s="22">
        <f t="shared" si="23"/>
        <v>342.91785693314557</v>
      </c>
      <c r="CK18" s="22">
        <f t="shared" si="23"/>
        <v>339.48867836381413</v>
      </c>
      <c r="CL18" s="22">
        <f t="shared" si="23"/>
        <v>336.093791580176</v>
      </c>
      <c r="CM18" s="22">
        <f t="shared" si="23"/>
        <v>332.73285366437426</v>
      </c>
      <c r="CN18" s="22">
        <f t="shared" si="23"/>
        <v>329.40552512773053</v>
      </c>
      <c r="CO18" s="22">
        <f t="shared" si="23"/>
        <v>326.11146987645321</v>
      </c>
      <c r="CP18" s="22">
        <f t="shared" si="23"/>
        <v>322.8503551776887</v>
      </c>
      <c r="CQ18" s="22">
        <f t="shared" si="23"/>
        <v>319.6218516259118</v>
      </c>
      <c r="CR18" s="22">
        <f t="shared" si="23"/>
        <v>316.42563310965267</v>
      </c>
      <c r="CS18" s="22">
        <f t="shared" si="23"/>
        <v>313.26137677855615</v>
      </c>
      <c r="CT18" s="22">
        <f t="shared" si="23"/>
        <v>310.12876301077057</v>
      </c>
      <c r="CU18" s="22">
        <f t="shared" si="23"/>
        <v>307.02747538066285</v>
      </c>
      <c r="CV18" s="22">
        <f t="shared" si="23"/>
        <v>303.95720062685621</v>
      </c>
      <c r="CW18" s="22">
        <f t="shared" si="23"/>
        <v>300.91762862058766</v>
      </c>
      <c r="CX18" s="22">
        <f t="shared" si="23"/>
        <v>297.90845233438176</v>
      </c>
      <c r="CY18" s="22">
        <f t="shared" ref="CY18:EL18" si="24">CX18*(1+$AN$21)</f>
        <v>294.92936781103793</v>
      </c>
      <c r="CZ18" s="22">
        <f t="shared" si="24"/>
        <v>291.98007413292754</v>
      </c>
      <c r="DA18" s="22">
        <f t="shared" si="24"/>
        <v>289.06027339159829</v>
      </c>
      <c r="DB18" s="22">
        <f t="shared" si="24"/>
        <v>286.16967065768227</v>
      </c>
      <c r="DC18" s="22">
        <f t="shared" si="24"/>
        <v>283.30797395110545</v>
      </c>
      <c r="DD18" s="22">
        <f t="shared" si="24"/>
        <v>280.4748942115944</v>
      </c>
      <c r="DE18" s="22">
        <f t="shared" si="24"/>
        <v>277.67014526947844</v>
      </c>
      <c r="DF18" s="22">
        <f t="shared" si="24"/>
        <v>274.89344381678364</v>
      </c>
      <c r="DG18" s="22">
        <f t="shared" si="24"/>
        <v>272.14450937861579</v>
      </c>
      <c r="DH18" s="22">
        <f t="shared" si="24"/>
        <v>269.42306428482965</v>
      </c>
      <c r="DI18" s="22">
        <f t="shared" si="24"/>
        <v>266.72883364198134</v>
      </c>
      <c r="DJ18" s="22">
        <f t="shared" si="24"/>
        <v>264.06154530556154</v>
      </c>
      <c r="DK18" s="22">
        <f t="shared" si="24"/>
        <v>261.42092985250594</v>
      </c>
      <c r="DL18" s="22">
        <f t="shared" si="24"/>
        <v>258.80672055398088</v>
      </c>
      <c r="DM18" s="22">
        <f t="shared" si="24"/>
        <v>256.21865334844108</v>
      </c>
      <c r="DN18" s="22">
        <f t="shared" si="24"/>
        <v>253.65646681495667</v>
      </c>
      <c r="DO18" s="22">
        <f t="shared" si="24"/>
        <v>251.11990214680711</v>
      </c>
      <c r="DP18" s="22">
        <f t="shared" si="24"/>
        <v>248.60870312533902</v>
      </c>
      <c r="DQ18" s="22">
        <f t="shared" si="24"/>
        <v>246.12261609408563</v>
      </c>
      <c r="DR18" s="22">
        <f t="shared" si="24"/>
        <v>243.66138993314476</v>
      </c>
      <c r="DS18" s="22">
        <f t="shared" si="24"/>
        <v>241.2247760338133</v>
      </c>
      <c r="DT18" s="22">
        <f t="shared" si="24"/>
        <v>238.81252827347515</v>
      </c>
      <c r="DU18" s="22">
        <f t="shared" si="24"/>
        <v>236.42440299074039</v>
      </c>
      <c r="DV18" s="22">
        <f t="shared" si="24"/>
        <v>234.06015896083298</v>
      </c>
      <c r="DW18" s="22">
        <f t="shared" si="24"/>
        <v>231.71955737122465</v>
      </c>
      <c r="DX18" s="22">
        <f t="shared" si="24"/>
        <v>229.40236179751241</v>
      </c>
      <c r="DY18" s="22">
        <f t="shared" si="24"/>
        <v>227.1083381795373</v>
      </c>
      <c r="DZ18" s="22">
        <f t="shared" si="24"/>
        <v>224.83725479774193</v>
      </c>
      <c r="EA18" s="22">
        <f t="shared" si="24"/>
        <v>222.58888224976451</v>
      </c>
      <c r="EB18" s="22">
        <f t="shared" si="24"/>
        <v>220.36299342726687</v>
      </c>
      <c r="EC18" s="22">
        <f t="shared" si="24"/>
        <v>218.1593634929942</v>
      </c>
      <c r="ED18" s="22">
        <f t="shared" si="24"/>
        <v>215.97776985806425</v>
      </c>
      <c r="EE18" s="22">
        <f t="shared" si="24"/>
        <v>213.81799215948359</v>
      </c>
      <c r="EF18" s="22">
        <f t="shared" si="24"/>
        <v>211.67981223788877</v>
      </c>
      <c r="EG18" s="22">
        <f t="shared" si="24"/>
        <v>209.56301411550987</v>
      </c>
      <c r="EH18" s="22">
        <f t="shared" si="24"/>
        <v>207.46738397435476</v>
      </c>
      <c r="EI18" s="22">
        <f t="shared" si="24"/>
        <v>205.39271013461121</v>
      </c>
      <c r="EJ18" s="22">
        <f t="shared" si="24"/>
        <v>203.33878303326509</v>
      </c>
      <c r="EK18" s="22">
        <f t="shared" si="24"/>
        <v>201.30539520293243</v>
      </c>
      <c r="EL18" s="22">
        <f t="shared" si="24"/>
        <v>199.29234125090309</v>
      </c>
    </row>
    <row r="19" spans="3:142" x14ac:dyDescent="0.25">
      <c r="C19" s="2" t="s">
        <v>87</v>
      </c>
      <c r="D19" s="31">
        <v>19.07</v>
      </c>
      <c r="E19" s="31">
        <v>19.07</v>
      </c>
      <c r="F19" s="31">
        <v>19.07</v>
      </c>
      <c r="G19" s="31">
        <v>19.07</v>
      </c>
      <c r="H19" s="31">
        <v>19.07</v>
      </c>
      <c r="I19" s="31">
        <v>19.07</v>
      </c>
      <c r="J19" s="31">
        <v>19.07</v>
      </c>
      <c r="K19" s="23">
        <f t="shared" ref="K19:P19" si="25">(K18/K20)*$B$11</f>
        <v>18.784208165096459</v>
      </c>
      <c r="L19" s="23">
        <f t="shared" si="25"/>
        <v>27.106325706594887</v>
      </c>
      <c r="M19" s="23">
        <f t="shared" si="25"/>
        <v>40.897263346792286</v>
      </c>
      <c r="N19" s="23">
        <f t="shared" si="25"/>
        <v>32.575145805293857</v>
      </c>
      <c r="O19" s="23">
        <f t="shared" si="25"/>
        <v>22.826379542395692</v>
      </c>
      <c r="P19" s="18">
        <f t="shared" si="25"/>
        <v>32.575145805293857</v>
      </c>
      <c r="U19" s="20">
        <f t="shared" ref="U19:V19" si="26">(U18*$B$11)/U20</f>
        <v>30.91072229699417</v>
      </c>
      <c r="V19" s="20">
        <f t="shared" si="26"/>
        <v>42.323912068192016</v>
      </c>
      <c r="W19" s="20">
        <f>(W18*$B$11)/W20</f>
        <v>12.602063705697622</v>
      </c>
      <c r="X19" s="20">
        <f>(X18*$B$11)/X20</f>
        <v>69.430237774786903</v>
      </c>
      <c r="Y19" s="20">
        <f>(Y18*$B$11)/Y20</f>
        <v>116.27187079407805</v>
      </c>
      <c r="Z19" s="9">
        <f>(Z18*$B$11)/Z20</f>
        <v>122.92956482727681</v>
      </c>
      <c r="AA19" s="20">
        <f t="shared" ref="AA19:AK19" si="27">(AA18*$B$11)/AA20</f>
        <v>133.26373261552268</v>
      </c>
      <c r="AB19" s="20">
        <f t="shared" si="27"/>
        <v>133.62578277254383</v>
      </c>
      <c r="AC19" s="20">
        <f t="shared" si="27"/>
        <v>129.49032245491256</v>
      </c>
      <c r="AD19" s="20">
        <f t="shared" si="27"/>
        <v>125.6634683060027</v>
      </c>
      <c r="AE19" s="20">
        <f t="shared" si="27"/>
        <v>122.13386334349187</v>
      </c>
      <c r="AF19" s="20">
        <f t="shared" si="27"/>
        <v>124.30977237389371</v>
      </c>
      <c r="AG19" s="20">
        <f t="shared" si="27"/>
        <v>126.54562331047825</v>
      </c>
      <c r="AH19" s="20">
        <f t="shared" si="27"/>
        <v>128.84354288494245</v>
      </c>
      <c r="AI19" s="20">
        <f t="shared" si="27"/>
        <v>131.20574018880566</v>
      </c>
      <c r="AJ19" s="20">
        <f t="shared" si="27"/>
        <v>133.63450994070809</v>
      </c>
      <c r="AK19" s="20">
        <f t="shared" si="27"/>
        <v>136.13223588413013</v>
      </c>
    </row>
    <row r="20" spans="3:142" x14ac:dyDescent="0.25">
      <c r="C20" s="2" t="s">
        <v>56</v>
      </c>
      <c r="D20" s="32">
        <v>44.58</v>
      </c>
      <c r="E20" s="32">
        <v>44.58</v>
      </c>
      <c r="F20" s="32">
        <v>44.58</v>
      </c>
      <c r="G20" s="32">
        <v>44.58</v>
      </c>
      <c r="H20" s="32">
        <v>44.58</v>
      </c>
      <c r="I20" s="32">
        <v>44.58</v>
      </c>
      <c r="J20" s="32">
        <v>44.58</v>
      </c>
      <c r="K20" s="2">
        <f>34+10.58</f>
        <v>44.58</v>
      </c>
      <c r="L20" s="2">
        <f>34+10.58</f>
        <v>44.58</v>
      </c>
      <c r="M20" s="2">
        <f>34+10.58</f>
        <v>44.58</v>
      </c>
      <c r="N20" s="2">
        <f>34+10.58</f>
        <v>44.58</v>
      </c>
      <c r="O20" s="2">
        <f>34+10.58</f>
        <v>44.58</v>
      </c>
      <c r="P20" s="66">
        <v>44.58</v>
      </c>
      <c r="U20" s="2">
        <f t="shared" ref="U20:V20" si="28">34+10.58</f>
        <v>44.58</v>
      </c>
      <c r="V20" s="2">
        <f t="shared" si="28"/>
        <v>44.58</v>
      </c>
      <c r="W20" s="2">
        <f>34+10.58</f>
        <v>44.58</v>
      </c>
      <c r="X20" s="2">
        <f>34+10.58</f>
        <v>44.58</v>
      </c>
      <c r="Y20" s="2">
        <f>34+10.58</f>
        <v>44.58</v>
      </c>
      <c r="Z20" s="4">
        <f>34+10.58</f>
        <v>44.58</v>
      </c>
      <c r="AA20" s="2">
        <f t="shared" ref="AA20:AK20" si="29">34+10.58</f>
        <v>44.58</v>
      </c>
      <c r="AB20" s="2">
        <f t="shared" si="29"/>
        <v>44.58</v>
      </c>
      <c r="AC20" s="2">
        <f t="shared" si="29"/>
        <v>44.58</v>
      </c>
      <c r="AD20" s="2">
        <f t="shared" si="29"/>
        <v>44.58</v>
      </c>
      <c r="AE20" s="2">
        <f t="shared" si="29"/>
        <v>44.58</v>
      </c>
      <c r="AF20" s="2">
        <f t="shared" si="29"/>
        <v>44.58</v>
      </c>
      <c r="AG20" s="2">
        <f t="shared" si="29"/>
        <v>44.58</v>
      </c>
      <c r="AH20" s="2">
        <f t="shared" si="29"/>
        <v>44.58</v>
      </c>
      <c r="AI20" s="2">
        <f t="shared" si="29"/>
        <v>44.58</v>
      </c>
      <c r="AJ20" s="2">
        <f t="shared" si="29"/>
        <v>44.58</v>
      </c>
      <c r="AK20" s="2">
        <f t="shared" si="29"/>
        <v>44.58</v>
      </c>
      <c r="AM20" s="2" t="s">
        <v>127</v>
      </c>
      <c r="AN20" s="37">
        <v>0.1</v>
      </c>
    </row>
    <row r="21" spans="3:142" x14ac:dyDescent="0.25">
      <c r="AM21" s="2" t="s">
        <v>128</v>
      </c>
      <c r="AN21" s="37">
        <v>-0.01</v>
      </c>
    </row>
    <row r="22" spans="3:142" x14ac:dyDescent="0.25">
      <c r="C22" s="1" t="s">
        <v>29</v>
      </c>
      <c r="D22" s="10"/>
      <c r="H22" s="27">
        <f t="shared" ref="H22:N22" si="30">(H6-D6)/D6</f>
        <v>8.2987551867219914E-2</v>
      </c>
      <c r="I22" s="27">
        <f t="shared" si="30"/>
        <v>8.8235294117647065E-2</v>
      </c>
      <c r="J22" s="27">
        <f t="shared" si="30"/>
        <v>8.11965811965812E-2</v>
      </c>
      <c r="K22" s="27">
        <f t="shared" si="30"/>
        <v>3.6585365853658534E-2</v>
      </c>
      <c r="L22" s="27">
        <f t="shared" si="30"/>
        <v>1.1494252873563218E-2</v>
      </c>
      <c r="M22" s="27">
        <f t="shared" si="30"/>
        <v>0.16216216216216217</v>
      </c>
      <c r="N22" s="27">
        <f t="shared" si="30"/>
        <v>0.16600790513833993</v>
      </c>
      <c r="O22" s="27">
        <f>(O6-K6)/K6</f>
        <v>9.0196078431372548E-2</v>
      </c>
      <c r="P22" s="26">
        <f>(P6-L6)/L6</f>
        <v>0.12121212121212122</v>
      </c>
      <c r="V22" s="27">
        <f t="shared" ref="V22:Y22" si="31">(V6-U6)/U6</f>
        <v>-4.4705882352941179E-2</v>
      </c>
      <c r="W22" s="27">
        <f t="shared" si="31"/>
        <v>7.7586206896551727E-2</v>
      </c>
      <c r="X22" s="27">
        <f t="shared" si="31"/>
        <v>9.4857142857142862E-2</v>
      </c>
      <c r="Y22" s="27">
        <f t="shared" si="31"/>
        <v>7.3068893528183715E-2</v>
      </c>
      <c r="Z22" s="26">
        <f>(Z6-Y6)/Y6</f>
        <v>0.10700389105058365</v>
      </c>
      <c r="AA22" s="27">
        <f t="shared" ref="AA22:AK22" si="32">(AA6-Z6)/Z6</f>
        <v>1.8207381370826035E-2</v>
      </c>
      <c r="AB22" s="27">
        <f t="shared" si="32"/>
        <v>5.0000000000000128E-2</v>
      </c>
      <c r="AC22" s="27">
        <f t="shared" si="32"/>
        <v>4.0000000000000008E-2</v>
      </c>
      <c r="AD22" s="27">
        <f t="shared" si="32"/>
        <v>4.0000000000000008E-2</v>
      </c>
      <c r="AE22" s="27">
        <f t="shared" si="32"/>
        <v>4.0000000000000029E-2</v>
      </c>
      <c r="AF22" s="27">
        <f t="shared" si="32"/>
        <v>3.9999999999999966E-2</v>
      </c>
      <c r="AG22" s="27">
        <f t="shared" si="32"/>
        <v>4.0000000000000091E-2</v>
      </c>
      <c r="AH22" s="27">
        <f t="shared" si="32"/>
        <v>4.0000000000000022E-2</v>
      </c>
      <c r="AI22" s="27">
        <f t="shared" si="32"/>
        <v>4.0000000000000049E-2</v>
      </c>
      <c r="AJ22" s="27">
        <f t="shared" si="32"/>
        <v>4.0000000000000022E-2</v>
      </c>
      <c r="AK22" s="27">
        <f t="shared" si="32"/>
        <v>3.9999999999999987E-2</v>
      </c>
      <c r="AM22" s="36" t="s">
        <v>129</v>
      </c>
      <c r="AN22" s="39">
        <f>NPV(AN20,AA18:EL18)*B11</f>
        <v>56618.611238187237</v>
      </c>
    </row>
    <row r="23" spans="3:142" x14ac:dyDescent="0.25">
      <c r="C23" s="2" t="s">
        <v>30</v>
      </c>
      <c r="D23" s="24">
        <f t="shared" ref="D23:G23" si="33">D11/D6</f>
        <v>0.11203319502074689</v>
      </c>
      <c r="E23" s="24">
        <f t="shared" si="33"/>
        <v>0.1134453781512605</v>
      </c>
      <c r="F23" s="24">
        <f t="shared" si="33"/>
        <v>0.10256410256410256</v>
      </c>
      <c r="G23" s="24">
        <f t="shared" si="33"/>
        <v>2.4390243902439025E-2</v>
      </c>
      <c r="H23" s="24">
        <f t="shared" ref="H23:N23" si="34">H11/H6</f>
        <v>9.5785440613026823E-2</v>
      </c>
      <c r="I23" s="24">
        <f t="shared" si="34"/>
        <v>9.6525096525096526E-2</v>
      </c>
      <c r="J23" s="24">
        <f t="shared" si="34"/>
        <v>8.3003952569169967E-2</v>
      </c>
      <c r="K23" s="24">
        <f t="shared" si="34"/>
        <v>6.2745098039215685E-2</v>
      </c>
      <c r="L23" s="24">
        <f t="shared" si="34"/>
        <v>8.3333333333333329E-2</v>
      </c>
      <c r="M23" s="24">
        <f t="shared" si="34"/>
        <v>9.9667774086378738E-2</v>
      </c>
      <c r="N23" s="24">
        <f t="shared" si="34"/>
        <v>7.4576271186440682E-2</v>
      </c>
      <c r="O23" s="24">
        <f>O11/O6</f>
        <v>3.9568345323741004E-2</v>
      </c>
      <c r="P23" s="25">
        <f>P11/P6</f>
        <v>0.10472972972972973</v>
      </c>
      <c r="U23" s="24">
        <f t="shared" ref="U23:W23" si="35">U11/U6</f>
        <v>9.1764705882352943E-2</v>
      </c>
      <c r="V23" s="24">
        <f t="shared" si="35"/>
        <v>7.5123152709359611E-2</v>
      </c>
      <c r="W23" s="24">
        <f t="shared" si="35"/>
        <v>8.3428571428571435E-2</v>
      </c>
      <c r="X23" s="24">
        <f t="shared" ref="X23:Y23" si="36">X11/X6</f>
        <v>8.7682672233820466E-2</v>
      </c>
      <c r="Y23" s="24">
        <f t="shared" si="36"/>
        <v>8.6575875486381321E-2</v>
      </c>
      <c r="Z23" s="25">
        <f>Z11/Z6</f>
        <v>7.3813708260105443E-2</v>
      </c>
      <c r="AA23" s="24">
        <f t="shared" ref="AA23:AK23" si="37">AA11/AA6</f>
        <v>8.5508146920740269E-2</v>
      </c>
      <c r="AB23" s="24">
        <f t="shared" si="37"/>
        <v>0.10292703936034528</v>
      </c>
      <c r="AC23" s="24">
        <f t="shared" si="37"/>
        <v>0.10292703936034524</v>
      </c>
      <c r="AD23" s="24">
        <f t="shared" si="37"/>
        <v>0.10292703936034521</v>
      </c>
      <c r="AE23" s="24">
        <f t="shared" si="37"/>
        <v>0.10292703936034527</v>
      </c>
      <c r="AF23" s="24">
        <f t="shared" si="37"/>
        <v>0.10292703936034521</v>
      </c>
      <c r="AG23" s="24">
        <f t="shared" si="37"/>
        <v>0.10292703936034522</v>
      </c>
      <c r="AH23" s="24">
        <f t="shared" si="37"/>
        <v>0.1029270393603452</v>
      </c>
      <c r="AI23" s="24">
        <f t="shared" si="37"/>
        <v>0.1029270393603451</v>
      </c>
      <c r="AJ23" s="24">
        <f t="shared" si="37"/>
        <v>0.10292703936034513</v>
      </c>
      <c r="AK23" s="24">
        <f t="shared" si="37"/>
        <v>0.10292703936034513</v>
      </c>
      <c r="AM23" s="2" t="s">
        <v>2</v>
      </c>
      <c r="AN23" s="2">
        <f>34+10.58</f>
        <v>44.58</v>
      </c>
    </row>
    <row r="24" spans="3:142" x14ac:dyDescent="0.25">
      <c r="AM24" s="2" t="s">
        <v>130</v>
      </c>
      <c r="AN24" s="40">
        <f>AN22/AN23</f>
        <v>1270.045115257677</v>
      </c>
    </row>
    <row r="25" spans="3:142" x14ac:dyDescent="0.25">
      <c r="C25" s="3" t="s">
        <v>114</v>
      </c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"/>
      <c r="P25" s="16"/>
      <c r="Q25" s="1"/>
      <c r="R25" s="1"/>
      <c r="S25" s="1"/>
      <c r="T25" s="1"/>
      <c r="U25" s="1"/>
      <c r="V25" s="1"/>
      <c r="W25" s="1"/>
      <c r="AM25" s="2" t="s">
        <v>131</v>
      </c>
      <c r="AN25" s="42">
        <f>(AN24-B4)/B4</f>
        <v>2.0603496753197037</v>
      </c>
    </row>
    <row r="26" spans="3:142" x14ac:dyDescent="0.25">
      <c r="C26" s="2" t="s">
        <v>88</v>
      </c>
      <c r="D26" s="13">
        <v>58</v>
      </c>
      <c r="E26" s="13">
        <v>64</v>
      </c>
      <c r="F26" s="13">
        <v>63</v>
      </c>
      <c r="G26" s="13">
        <v>61</v>
      </c>
      <c r="H26" s="13">
        <v>64</v>
      </c>
      <c r="I26" s="13">
        <v>54</v>
      </c>
      <c r="J26" s="13">
        <v>54</v>
      </c>
      <c r="K26" s="13">
        <v>51</v>
      </c>
      <c r="L26" s="13">
        <v>52</v>
      </c>
      <c r="M26" s="13">
        <v>45</v>
      </c>
      <c r="N26" s="13">
        <v>39</v>
      </c>
      <c r="O26" s="13">
        <v>52</v>
      </c>
      <c r="P26" s="14">
        <v>45</v>
      </c>
    </row>
    <row r="27" spans="3:142" x14ac:dyDescent="0.25">
      <c r="C27" s="2" t="s">
        <v>89</v>
      </c>
      <c r="D27" s="13">
        <v>137</v>
      </c>
      <c r="E27" s="13">
        <v>120</v>
      </c>
      <c r="F27" s="13">
        <v>111</v>
      </c>
      <c r="G27" s="13">
        <v>129</v>
      </c>
      <c r="H27" s="13">
        <v>132</v>
      </c>
      <c r="I27" s="13">
        <v>128</v>
      </c>
      <c r="J27" s="13">
        <v>126</v>
      </c>
      <c r="K27" s="13">
        <v>132</v>
      </c>
      <c r="L27" s="13">
        <v>124</v>
      </c>
      <c r="M27" s="13">
        <v>145</v>
      </c>
      <c r="N27" s="13">
        <v>145</v>
      </c>
      <c r="O27" s="13">
        <v>125</v>
      </c>
      <c r="P27" s="14">
        <v>126</v>
      </c>
    </row>
    <row r="28" spans="3:142" x14ac:dyDescent="0.25">
      <c r="C28" s="2" t="s">
        <v>90</v>
      </c>
      <c r="D28" s="13">
        <v>684</v>
      </c>
      <c r="E28" s="13">
        <v>617</v>
      </c>
      <c r="F28" s="13">
        <v>575</v>
      </c>
      <c r="G28" s="13">
        <v>623</v>
      </c>
      <c r="H28" s="13">
        <v>594</v>
      </c>
      <c r="I28" s="13">
        <v>584</v>
      </c>
      <c r="J28" s="13">
        <v>587</v>
      </c>
      <c r="K28" s="13">
        <v>623</v>
      </c>
      <c r="L28" s="13">
        <v>589</v>
      </c>
      <c r="M28" s="13">
        <v>596</v>
      </c>
      <c r="N28" s="13">
        <v>608</v>
      </c>
      <c r="O28" s="13">
        <v>571</v>
      </c>
      <c r="P28" s="14">
        <v>602</v>
      </c>
    </row>
    <row r="29" spans="3:142" x14ac:dyDescent="0.25">
      <c r="C29" s="2" t="s">
        <v>91</v>
      </c>
      <c r="D29" s="13">
        <v>146</v>
      </c>
      <c r="E29" s="13">
        <v>100</v>
      </c>
      <c r="F29" s="13">
        <v>91</v>
      </c>
      <c r="G29" s="13">
        <v>102</v>
      </c>
      <c r="H29" s="13">
        <v>96</v>
      </c>
      <c r="I29" s="13">
        <v>95</v>
      </c>
      <c r="J29" s="13">
        <v>92</v>
      </c>
      <c r="K29" s="13">
        <v>112</v>
      </c>
      <c r="L29" s="13">
        <v>116</v>
      </c>
      <c r="M29" s="13">
        <v>114</v>
      </c>
      <c r="N29" s="13">
        <v>119</v>
      </c>
      <c r="O29" s="13">
        <v>121</v>
      </c>
      <c r="P29" s="14">
        <v>134</v>
      </c>
    </row>
    <row r="30" spans="3:142" x14ac:dyDescent="0.25">
      <c r="C30" s="2" t="s">
        <v>194</v>
      </c>
      <c r="D30" s="13">
        <v>1154</v>
      </c>
      <c r="E30" s="13">
        <v>1156</v>
      </c>
      <c r="F30" s="13">
        <v>1228</v>
      </c>
      <c r="G30" s="13">
        <v>1342</v>
      </c>
      <c r="H30" s="13">
        <v>2040</v>
      </c>
      <c r="I30" s="13">
        <v>1783</v>
      </c>
      <c r="J30" s="13">
        <v>1888</v>
      </c>
      <c r="K30" s="13">
        <v>1877</v>
      </c>
      <c r="L30" s="13">
        <v>2306</v>
      </c>
      <c r="M30" s="13">
        <v>1911</v>
      </c>
      <c r="N30" s="13">
        <v>1958</v>
      </c>
      <c r="O30" s="13">
        <v>2001</v>
      </c>
      <c r="P30" s="14">
        <v>1965</v>
      </c>
    </row>
    <row r="31" spans="3:142" x14ac:dyDescent="0.25">
      <c r="C31" s="2" t="s">
        <v>92</v>
      </c>
      <c r="D31" s="13">
        <v>761</v>
      </c>
      <c r="E31" s="13">
        <v>640</v>
      </c>
      <c r="F31" s="13">
        <v>529</v>
      </c>
      <c r="G31" s="13">
        <v>613</v>
      </c>
      <c r="H31" s="13">
        <v>74</v>
      </c>
      <c r="I31" s="13">
        <v>75</v>
      </c>
      <c r="J31" s="13">
        <v>78</v>
      </c>
      <c r="K31" s="13">
        <v>87</v>
      </c>
      <c r="L31" s="13">
        <v>92</v>
      </c>
      <c r="M31" s="13">
        <v>109</v>
      </c>
      <c r="N31" s="13">
        <v>97</v>
      </c>
      <c r="O31" s="13">
        <v>86</v>
      </c>
      <c r="P31" s="14">
        <v>87</v>
      </c>
    </row>
    <row r="32" spans="3:142" x14ac:dyDescent="0.25">
      <c r="C32" s="2" t="s">
        <v>93</v>
      </c>
      <c r="D32" s="13">
        <v>30</v>
      </c>
      <c r="E32" s="13">
        <v>25</v>
      </c>
      <c r="F32" s="13">
        <v>25</v>
      </c>
      <c r="G32" s="13">
        <v>28</v>
      </c>
      <c r="H32" s="13">
        <v>26</v>
      </c>
      <c r="I32" s="13">
        <v>28</v>
      </c>
      <c r="J32" s="13">
        <v>28</v>
      </c>
      <c r="K32" s="13">
        <v>42</v>
      </c>
      <c r="L32" s="13">
        <v>63</v>
      </c>
      <c r="M32" s="13">
        <v>32</v>
      </c>
      <c r="N32" s="13">
        <v>39</v>
      </c>
      <c r="O32" s="13">
        <v>39</v>
      </c>
      <c r="P32" s="14">
        <v>42</v>
      </c>
    </row>
    <row r="33" spans="3:16" x14ac:dyDescent="0.25">
      <c r="C33" s="2" t="s">
        <v>94</v>
      </c>
      <c r="D33" s="13">
        <v>94</v>
      </c>
      <c r="E33" s="13">
        <v>93</v>
      </c>
      <c r="F33" s="13">
        <v>100</v>
      </c>
      <c r="G33" s="13">
        <v>114</v>
      </c>
      <c r="H33" s="13">
        <v>117</v>
      </c>
      <c r="I33" s="13">
        <v>118</v>
      </c>
      <c r="J33" s="13">
        <v>118</v>
      </c>
      <c r="K33" s="13">
        <v>121</v>
      </c>
      <c r="L33" s="13">
        <v>114</v>
      </c>
      <c r="M33" s="13">
        <v>108</v>
      </c>
      <c r="N33" s="13">
        <v>117</v>
      </c>
      <c r="O33" s="13">
        <v>119</v>
      </c>
      <c r="P33" s="14">
        <v>121</v>
      </c>
    </row>
    <row r="34" spans="3:16" x14ac:dyDescent="0.25">
      <c r="C34" s="2" t="s">
        <v>95</v>
      </c>
      <c r="D34" s="13">
        <v>110</v>
      </c>
      <c r="E34" s="13">
        <v>95</v>
      </c>
      <c r="F34" s="13">
        <v>82</v>
      </c>
      <c r="G34" s="13">
        <v>104</v>
      </c>
      <c r="H34" s="13">
        <v>113</v>
      </c>
      <c r="I34" s="13">
        <v>114</v>
      </c>
      <c r="J34" s="13">
        <v>111</v>
      </c>
      <c r="K34" s="13">
        <v>124</v>
      </c>
      <c r="L34" s="13">
        <v>122</v>
      </c>
      <c r="M34" s="13">
        <v>130</v>
      </c>
      <c r="N34" s="13">
        <v>138</v>
      </c>
      <c r="O34" s="13">
        <v>121</v>
      </c>
      <c r="P34" s="14">
        <v>132</v>
      </c>
    </row>
    <row r="35" spans="3:16" x14ac:dyDescent="0.25">
      <c r="C35" s="2" t="s">
        <v>96</v>
      </c>
      <c r="D35" s="13">
        <v>344</v>
      </c>
      <c r="E35" s="13">
        <v>319</v>
      </c>
      <c r="F35" s="13">
        <v>308</v>
      </c>
      <c r="G35" s="13">
        <v>349</v>
      </c>
      <c r="H35" s="13">
        <v>377</v>
      </c>
      <c r="I35" s="13">
        <v>398</v>
      </c>
      <c r="J35" s="13">
        <v>373</v>
      </c>
      <c r="K35" s="13">
        <v>342</v>
      </c>
      <c r="L35" s="13">
        <v>348</v>
      </c>
      <c r="M35" s="13">
        <v>447</v>
      </c>
      <c r="N35" s="13">
        <v>553</v>
      </c>
      <c r="O35" s="13">
        <v>368</v>
      </c>
      <c r="P35" s="14">
        <v>599</v>
      </c>
    </row>
    <row r="36" spans="3:16" x14ac:dyDescent="0.25">
      <c r="C36" s="2" t="s">
        <v>97</v>
      </c>
      <c r="D36" s="13">
        <v>183</v>
      </c>
      <c r="E36" s="13">
        <v>163</v>
      </c>
      <c r="F36" s="13">
        <v>159</v>
      </c>
      <c r="G36" s="13">
        <v>163</v>
      </c>
      <c r="H36" s="13">
        <v>162</v>
      </c>
      <c r="I36" s="13">
        <v>179</v>
      </c>
      <c r="J36" s="13">
        <v>186</v>
      </c>
      <c r="K36" s="13">
        <v>224</v>
      </c>
      <c r="L36" s="13">
        <v>187</v>
      </c>
      <c r="M36" s="13">
        <v>177</v>
      </c>
      <c r="N36" s="13">
        <v>154</v>
      </c>
      <c r="O36" s="13">
        <v>155</v>
      </c>
      <c r="P36" s="14">
        <v>169</v>
      </c>
    </row>
    <row r="37" spans="3:16" x14ac:dyDescent="0.25">
      <c r="C37" s="1" t="s">
        <v>98</v>
      </c>
      <c r="D37" s="19">
        <f t="shared" ref="D37:P37" si="38">SUM(D26:D36)</f>
        <v>3701</v>
      </c>
      <c r="E37" s="19">
        <f t="shared" si="38"/>
        <v>3392</v>
      </c>
      <c r="F37" s="19">
        <f t="shared" si="38"/>
        <v>3271</v>
      </c>
      <c r="G37" s="19">
        <f t="shared" si="38"/>
        <v>3628</v>
      </c>
      <c r="H37" s="19">
        <f t="shared" si="38"/>
        <v>3795</v>
      </c>
      <c r="I37" s="19">
        <f t="shared" si="38"/>
        <v>3556</v>
      </c>
      <c r="J37" s="19">
        <f t="shared" si="38"/>
        <v>3641</v>
      </c>
      <c r="K37" s="19">
        <f t="shared" si="38"/>
        <v>3735</v>
      </c>
      <c r="L37" s="19">
        <f t="shared" si="38"/>
        <v>4113</v>
      </c>
      <c r="M37" s="19">
        <f t="shared" si="38"/>
        <v>3814</v>
      </c>
      <c r="N37" s="19">
        <f t="shared" si="38"/>
        <v>3967</v>
      </c>
      <c r="O37" s="19">
        <f t="shared" si="38"/>
        <v>3758</v>
      </c>
      <c r="P37" s="12">
        <f t="shared" si="38"/>
        <v>4022</v>
      </c>
    </row>
    <row r="38" spans="3:16" x14ac:dyDescent="0.25">
      <c r="C38" s="2" t="s">
        <v>99</v>
      </c>
      <c r="D38" s="13">
        <v>118</v>
      </c>
      <c r="E38" s="13">
        <v>118</v>
      </c>
      <c r="F38" s="13">
        <v>118</v>
      </c>
      <c r="G38" s="13">
        <v>118</v>
      </c>
      <c r="H38" s="13">
        <v>118</v>
      </c>
      <c r="I38" s="13">
        <v>118</v>
      </c>
      <c r="J38" s="13">
        <v>118</v>
      </c>
      <c r="K38" s="13">
        <v>118</v>
      </c>
      <c r="L38" s="13">
        <v>118</v>
      </c>
      <c r="M38" s="13">
        <v>118</v>
      </c>
      <c r="N38" s="13">
        <v>118</v>
      </c>
      <c r="O38" s="13">
        <v>118</v>
      </c>
      <c r="P38" s="14">
        <v>118</v>
      </c>
    </row>
    <row r="39" spans="3:16" x14ac:dyDescent="0.25">
      <c r="C39" s="2" t="s">
        <v>100</v>
      </c>
      <c r="D39" s="13">
        <v>0</v>
      </c>
      <c r="E39" s="13">
        <v>0</v>
      </c>
      <c r="F39" s="13">
        <v>0</v>
      </c>
      <c r="G39" s="13">
        <v>0</v>
      </c>
      <c r="H39" s="13">
        <v>0</v>
      </c>
      <c r="I39" s="13">
        <v>-1</v>
      </c>
      <c r="J39" s="13">
        <v>-1</v>
      </c>
      <c r="K39" s="13">
        <v>-1</v>
      </c>
      <c r="L39" s="13">
        <v>-1</v>
      </c>
      <c r="M39" s="13">
        <v>-2</v>
      </c>
      <c r="N39" s="13">
        <v>-3</v>
      </c>
      <c r="O39" s="13">
        <v>-3</v>
      </c>
      <c r="P39" s="14">
        <v>-4</v>
      </c>
    </row>
    <row r="40" spans="3:16" x14ac:dyDescent="0.25">
      <c r="C40" s="2" t="s">
        <v>101</v>
      </c>
      <c r="D40" s="13">
        <v>2033</v>
      </c>
      <c r="E40" s="13">
        <v>1917</v>
      </c>
      <c r="F40" s="13">
        <v>1850</v>
      </c>
      <c r="G40" s="13">
        <v>2094</v>
      </c>
      <c r="H40" s="13">
        <v>2222</v>
      </c>
      <c r="I40" s="13">
        <v>2083</v>
      </c>
      <c r="J40" s="13">
        <v>2192</v>
      </c>
      <c r="K40" s="13">
        <v>2215</v>
      </c>
      <c r="L40" s="13">
        <v>2618</v>
      </c>
      <c r="M40" s="13">
        <v>2385</v>
      </c>
      <c r="N40" s="13">
        <v>2527</v>
      </c>
      <c r="O40" s="13">
        <v>2465</v>
      </c>
      <c r="P40" s="14">
        <v>2654</v>
      </c>
    </row>
    <row r="41" spans="3:16" x14ac:dyDescent="0.25">
      <c r="C41" s="2" t="s">
        <v>102</v>
      </c>
      <c r="D41" s="13">
        <v>243</v>
      </c>
      <c r="E41" s="13">
        <v>152</v>
      </c>
      <c r="F41" s="13">
        <v>125</v>
      </c>
      <c r="G41" s="13">
        <v>144</v>
      </c>
      <c r="H41" s="13">
        <v>155</v>
      </c>
      <c r="I41" s="13">
        <v>147</v>
      </c>
      <c r="J41" s="13">
        <v>148</v>
      </c>
      <c r="K41" s="13">
        <v>155</v>
      </c>
      <c r="L41" s="13">
        <v>155</v>
      </c>
      <c r="M41" s="13">
        <v>153</v>
      </c>
      <c r="N41" s="13">
        <v>165</v>
      </c>
      <c r="O41" s="13">
        <v>115</v>
      </c>
      <c r="P41" s="14">
        <v>123</v>
      </c>
    </row>
    <row r="42" spans="3:16" x14ac:dyDescent="0.25">
      <c r="C42" s="11" t="s">
        <v>103</v>
      </c>
      <c r="D42" s="15">
        <f t="shared" ref="D42:P42" si="39">SUM(D38:D41)</f>
        <v>2394</v>
      </c>
      <c r="E42" s="15">
        <f t="shared" si="39"/>
        <v>2187</v>
      </c>
      <c r="F42" s="15">
        <f t="shared" si="39"/>
        <v>2093</v>
      </c>
      <c r="G42" s="15">
        <f t="shared" si="39"/>
        <v>2356</v>
      </c>
      <c r="H42" s="15">
        <f t="shared" si="39"/>
        <v>2495</v>
      </c>
      <c r="I42" s="15">
        <f t="shared" si="39"/>
        <v>2347</v>
      </c>
      <c r="J42" s="15">
        <f t="shared" si="39"/>
        <v>2457</v>
      </c>
      <c r="K42" s="15">
        <f t="shared" si="39"/>
        <v>2487</v>
      </c>
      <c r="L42" s="15">
        <f t="shared" si="39"/>
        <v>2890</v>
      </c>
      <c r="M42" s="15">
        <f t="shared" si="39"/>
        <v>2654</v>
      </c>
      <c r="N42" s="15">
        <f t="shared" si="39"/>
        <v>2807</v>
      </c>
      <c r="O42" s="15">
        <f t="shared" si="39"/>
        <v>2695</v>
      </c>
      <c r="P42" s="67">
        <f t="shared" si="39"/>
        <v>2891</v>
      </c>
    </row>
    <row r="43" spans="3:16" x14ac:dyDescent="0.25">
      <c r="C43" s="2" t="s">
        <v>104</v>
      </c>
      <c r="D43" s="15">
        <v>26</v>
      </c>
      <c r="E43" s="13">
        <v>24</v>
      </c>
      <c r="F43" s="13">
        <v>20</v>
      </c>
      <c r="G43" s="13">
        <v>21</v>
      </c>
      <c r="H43" s="13">
        <v>21</v>
      </c>
      <c r="I43" s="13">
        <v>21</v>
      </c>
      <c r="J43" s="13">
        <v>21</v>
      </c>
      <c r="K43" s="13">
        <v>23</v>
      </c>
      <c r="L43" s="13">
        <v>23</v>
      </c>
      <c r="M43" s="13">
        <v>23</v>
      </c>
      <c r="N43" s="13">
        <v>23</v>
      </c>
      <c r="O43" s="13">
        <v>21</v>
      </c>
      <c r="P43" s="14">
        <v>22</v>
      </c>
    </row>
    <row r="44" spans="3:16" x14ac:dyDescent="0.25">
      <c r="C44" s="2" t="s">
        <v>88</v>
      </c>
      <c r="D44" s="13">
        <v>11</v>
      </c>
      <c r="E44" s="13">
        <v>11</v>
      </c>
      <c r="F44" s="13">
        <v>10</v>
      </c>
      <c r="G44" s="13">
        <v>17</v>
      </c>
      <c r="H44" s="13">
        <v>19</v>
      </c>
      <c r="I44" s="13">
        <v>12</v>
      </c>
      <c r="J44" s="13">
        <v>12</v>
      </c>
      <c r="K44" s="13">
        <v>12</v>
      </c>
      <c r="L44" s="13">
        <v>11</v>
      </c>
      <c r="M44" s="13">
        <v>12</v>
      </c>
      <c r="N44" s="13">
        <v>13</v>
      </c>
      <c r="O44" s="13">
        <v>12</v>
      </c>
      <c r="P44" s="14">
        <v>10</v>
      </c>
    </row>
    <row r="45" spans="3:16" x14ac:dyDescent="0.25">
      <c r="C45" s="2" t="s">
        <v>116</v>
      </c>
      <c r="D45" s="13">
        <v>302</v>
      </c>
      <c r="E45" s="13">
        <v>461</v>
      </c>
      <c r="F45" s="13">
        <v>424</v>
      </c>
      <c r="G45" s="13">
        <v>473</v>
      </c>
      <c r="H45" s="13">
        <v>459</v>
      </c>
      <c r="I45" s="13">
        <v>474</v>
      </c>
      <c r="J45" s="13">
        <v>464</v>
      </c>
      <c r="K45" s="13">
        <v>456</v>
      </c>
      <c r="L45" s="13">
        <v>418</v>
      </c>
      <c r="M45" s="13">
        <v>385</v>
      </c>
      <c r="N45" s="13">
        <v>386</v>
      </c>
      <c r="O45" s="13">
        <v>277</v>
      </c>
      <c r="P45" s="14">
        <v>287</v>
      </c>
    </row>
    <row r="46" spans="3:16" x14ac:dyDescent="0.25">
      <c r="C46" s="2" t="s">
        <v>105</v>
      </c>
      <c r="D46" s="13">
        <v>131</v>
      </c>
      <c r="E46" s="13">
        <v>92</v>
      </c>
      <c r="F46" s="13">
        <v>82</v>
      </c>
      <c r="G46" s="13">
        <v>93</v>
      </c>
      <c r="H46" s="13">
        <v>86</v>
      </c>
      <c r="I46" s="13">
        <v>84</v>
      </c>
      <c r="J46" s="13">
        <v>81</v>
      </c>
      <c r="K46" s="13">
        <v>101</v>
      </c>
      <c r="L46" s="13">
        <v>102</v>
      </c>
      <c r="M46" s="13">
        <v>101</v>
      </c>
      <c r="N46" s="13">
        <v>106</v>
      </c>
      <c r="O46" s="13">
        <v>108</v>
      </c>
      <c r="P46" s="14">
        <v>116</v>
      </c>
    </row>
    <row r="47" spans="3:16" x14ac:dyDescent="0.25">
      <c r="C47" s="2" t="s">
        <v>106</v>
      </c>
      <c r="D47" s="13">
        <v>17</v>
      </c>
      <c r="E47" s="13">
        <v>14</v>
      </c>
      <c r="F47" s="13">
        <v>13</v>
      </c>
      <c r="G47" s="13">
        <v>11</v>
      </c>
      <c r="H47" s="13">
        <v>12</v>
      </c>
      <c r="I47" s="13">
        <v>12</v>
      </c>
      <c r="J47" s="13">
        <v>11</v>
      </c>
      <c r="K47" s="13">
        <v>11</v>
      </c>
      <c r="L47" s="13">
        <v>10</v>
      </c>
      <c r="M47" s="13">
        <v>10</v>
      </c>
      <c r="N47" s="13">
        <v>9</v>
      </c>
      <c r="O47" s="13">
        <v>8</v>
      </c>
      <c r="P47" s="14">
        <v>8</v>
      </c>
    </row>
    <row r="48" spans="3:16" x14ac:dyDescent="0.25">
      <c r="C48" s="2" t="s">
        <v>107</v>
      </c>
      <c r="D48" s="13">
        <v>13</v>
      </c>
      <c r="E48" s="13">
        <v>8</v>
      </c>
      <c r="F48" s="13">
        <v>10</v>
      </c>
      <c r="G48" s="13">
        <v>10</v>
      </c>
      <c r="H48" s="13">
        <v>15</v>
      </c>
      <c r="I48" s="13">
        <v>9</v>
      </c>
      <c r="J48" s="13">
        <v>8</v>
      </c>
      <c r="K48" s="13">
        <v>10</v>
      </c>
      <c r="L48" s="13">
        <v>11</v>
      </c>
      <c r="M48" s="13">
        <v>3</v>
      </c>
      <c r="N48" s="13">
        <v>0</v>
      </c>
      <c r="O48" s="13">
        <v>12</v>
      </c>
      <c r="P48" s="14">
        <v>10</v>
      </c>
    </row>
    <row r="49" spans="3:26" x14ac:dyDescent="0.25">
      <c r="C49" s="2" t="s">
        <v>108</v>
      </c>
      <c r="D49" s="13">
        <v>11</v>
      </c>
      <c r="E49" s="13">
        <v>14</v>
      </c>
      <c r="F49" s="13">
        <v>8</v>
      </c>
      <c r="G49" s="13">
        <v>13</v>
      </c>
      <c r="H49" s="13">
        <v>16</v>
      </c>
      <c r="I49" s="13">
        <v>14</v>
      </c>
      <c r="J49" s="13">
        <v>13</v>
      </c>
      <c r="K49" s="13">
        <v>18</v>
      </c>
      <c r="L49" s="13">
        <v>17</v>
      </c>
      <c r="M49" s="13">
        <v>15</v>
      </c>
      <c r="N49" s="13">
        <v>15</v>
      </c>
      <c r="O49" s="13">
        <v>17</v>
      </c>
      <c r="P49" s="14">
        <v>19</v>
      </c>
    </row>
    <row r="50" spans="3:26" x14ac:dyDescent="0.25">
      <c r="C50" s="2" t="s">
        <v>109</v>
      </c>
      <c r="D50" s="13">
        <v>263</v>
      </c>
      <c r="E50" s="13">
        <v>77</v>
      </c>
      <c r="F50" s="13">
        <v>71</v>
      </c>
      <c r="G50" s="13">
        <v>65</v>
      </c>
      <c r="H50" s="13">
        <v>97</v>
      </c>
      <c r="I50" s="13">
        <v>35</v>
      </c>
      <c r="J50" s="13">
        <v>19</v>
      </c>
      <c r="K50" s="13">
        <v>27</v>
      </c>
      <c r="L50" s="13">
        <v>33</v>
      </c>
      <c r="M50" s="13">
        <v>27</v>
      </c>
      <c r="N50" s="13">
        <v>42</v>
      </c>
      <c r="O50" s="13">
        <v>23</v>
      </c>
      <c r="P50" s="14">
        <v>48</v>
      </c>
    </row>
    <row r="51" spans="3:26" x14ac:dyDescent="0.25">
      <c r="C51" s="2" t="s">
        <v>110</v>
      </c>
      <c r="D51" s="13">
        <v>29</v>
      </c>
      <c r="E51" s="13">
        <v>20</v>
      </c>
      <c r="F51" s="13">
        <v>19</v>
      </c>
      <c r="G51" s="13">
        <v>23</v>
      </c>
      <c r="H51" s="13">
        <v>22</v>
      </c>
      <c r="I51" s="13">
        <v>23</v>
      </c>
      <c r="J51" s="13">
        <v>23</v>
      </c>
      <c r="K51" s="13">
        <v>24</v>
      </c>
      <c r="L51" s="13">
        <v>25</v>
      </c>
      <c r="M51" s="13">
        <v>25</v>
      </c>
      <c r="N51" s="13">
        <v>26</v>
      </c>
      <c r="O51" s="13">
        <v>26</v>
      </c>
      <c r="P51" s="14">
        <v>29</v>
      </c>
    </row>
    <row r="52" spans="3:26" x14ac:dyDescent="0.25">
      <c r="C52" s="2" t="s">
        <v>111</v>
      </c>
      <c r="D52" s="13">
        <v>506</v>
      </c>
      <c r="E52" s="13">
        <v>485</v>
      </c>
      <c r="F52" s="13">
        <v>522</v>
      </c>
      <c r="G52" s="13">
        <v>547</v>
      </c>
      <c r="H52" s="13">
        <v>552</v>
      </c>
      <c r="I52" s="13">
        <v>526</v>
      </c>
      <c r="J52" s="13">
        <v>533</v>
      </c>
      <c r="K52" s="13">
        <v>567</v>
      </c>
      <c r="L52" s="13">
        <v>574</v>
      </c>
      <c r="M52" s="13">
        <v>560</v>
      </c>
      <c r="N52" s="13">
        <v>542</v>
      </c>
      <c r="O52" s="13">
        <v>559</v>
      </c>
      <c r="P52" s="14">
        <v>582</v>
      </c>
    </row>
    <row r="53" spans="3:26" x14ac:dyDescent="0.25">
      <c r="C53" s="11" t="s">
        <v>112</v>
      </c>
      <c r="D53" s="15">
        <f t="shared" ref="D53:P53" si="40">SUM(D43:D52)</f>
        <v>1309</v>
      </c>
      <c r="E53" s="15">
        <f t="shared" si="40"/>
        <v>1206</v>
      </c>
      <c r="F53" s="15">
        <f t="shared" si="40"/>
        <v>1179</v>
      </c>
      <c r="G53" s="15">
        <f t="shared" si="40"/>
        <v>1273</v>
      </c>
      <c r="H53" s="15">
        <f t="shared" si="40"/>
        <v>1299</v>
      </c>
      <c r="I53" s="15">
        <f t="shared" si="40"/>
        <v>1210</v>
      </c>
      <c r="J53" s="15">
        <f t="shared" si="40"/>
        <v>1185</v>
      </c>
      <c r="K53" s="15">
        <f t="shared" si="40"/>
        <v>1249</v>
      </c>
      <c r="L53" s="15">
        <f t="shared" si="40"/>
        <v>1224</v>
      </c>
      <c r="M53" s="15">
        <f t="shared" si="40"/>
        <v>1161</v>
      </c>
      <c r="N53" s="15">
        <f t="shared" si="40"/>
        <v>1162</v>
      </c>
      <c r="O53" s="15">
        <f t="shared" si="40"/>
        <v>1063</v>
      </c>
      <c r="P53" s="67">
        <f t="shared" si="40"/>
        <v>1131</v>
      </c>
    </row>
    <row r="54" spans="3:26" x14ac:dyDescent="0.25">
      <c r="C54" s="1" t="s">
        <v>113</v>
      </c>
      <c r="D54" s="19">
        <f t="shared" ref="D54:P54" si="41">D42+D53</f>
        <v>3703</v>
      </c>
      <c r="E54" s="19">
        <f t="shared" si="41"/>
        <v>3393</v>
      </c>
      <c r="F54" s="19">
        <f t="shared" si="41"/>
        <v>3272</v>
      </c>
      <c r="G54" s="19">
        <f t="shared" si="41"/>
        <v>3629</v>
      </c>
      <c r="H54" s="19">
        <f t="shared" si="41"/>
        <v>3794</v>
      </c>
      <c r="I54" s="19">
        <f t="shared" si="41"/>
        <v>3557</v>
      </c>
      <c r="J54" s="19">
        <f t="shared" si="41"/>
        <v>3642</v>
      </c>
      <c r="K54" s="19">
        <f t="shared" si="41"/>
        <v>3736</v>
      </c>
      <c r="L54" s="19">
        <f t="shared" si="41"/>
        <v>4114</v>
      </c>
      <c r="M54" s="19">
        <f t="shared" si="41"/>
        <v>3815</v>
      </c>
      <c r="N54" s="19">
        <f t="shared" si="41"/>
        <v>3969</v>
      </c>
      <c r="O54" s="19">
        <f t="shared" si="41"/>
        <v>3758</v>
      </c>
      <c r="P54" s="12">
        <f t="shared" si="41"/>
        <v>4022</v>
      </c>
    </row>
    <row r="55" spans="3:26" x14ac:dyDescent="0.25">
      <c r="D55" s="13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1"/>
    </row>
    <row r="56" spans="3:26" x14ac:dyDescent="0.25">
      <c r="C56" s="3" t="s">
        <v>115</v>
      </c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</row>
    <row r="57" spans="3:26" x14ac:dyDescent="0.25">
      <c r="C57" s="2" t="s">
        <v>58</v>
      </c>
      <c r="D57" s="13">
        <f t="shared" ref="D57:N57" si="42">D16</f>
        <v>165</v>
      </c>
      <c r="E57" s="13">
        <f t="shared" si="42"/>
        <v>-45</v>
      </c>
      <c r="F57" s="13">
        <f t="shared" si="42"/>
        <v>-24</v>
      </c>
      <c r="G57" s="13">
        <f t="shared" si="42"/>
        <v>211</v>
      </c>
      <c r="H57" s="13">
        <f t="shared" si="42"/>
        <v>107</v>
      </c>
      <c r="I57" s="13">
        <f t="shared" si="42"/>
        <v>164</v>
      </c>
      <c r="J57" s="13">
        <f t="shared" si="42"/>
        <v>157</v>
      </c>
      <c r="K57" s="13">
        <f t="shared" si="42"/>
        <v>90</v>
      </c>
      <c r="L57" s="13">
        <f t="shared" si="42"/>
        <v>116</v>
      </c>
      <c r="M57" s="13">
        <f t="shared" si="42"/>
        <v>179</v>
      </c>
      <c r="N57" s="13">
        <f t="shared" si="42"/>
        <v>144</v>
      </c>
      <c r="O57" s="13">
        <f>O16</f>
        <v>100</v>
      </c>
      <c r="P57" s="14">
        <f>P16</f>
        <v>149</v>
      </c>
      <c r="R57" s="13"/>
      <c r="S57" s="13"/>
      <c r="T57" s="13"/>
      <c r="U57" s="13">
        <f t="shared" ref="U57:V57" si="43">U16</f>
        <v>145</v>
      </c>
      <c r="V57" s="13">
        <f t="shared" si="43"/>
        <v>205</v>
      </c>
      <c r="W57" s="13">
        <f>W16</f>
        <v>66</v>
      </c>
      <c r="X57" s="13">
        <f>X16</f>
        <v>305</v>
      </c>
      <c r="Y57" s="13">
        <f>Y16</f>
        <v>516</v>
      </c>
      <c r="Z57" s="14">
        <f>Z16</f>
        <v>537</v>
      </c>
    </row>
    <row r="58" spans="3:26" x14ac:dyDescent="0.25">
      <c r="C58" s="2" t="s">
        <v>59</v>
      </c>
      <c r="D58" s="13">
        <v>165</v>
      </c>
      <c r="E58" s="13">
        <v>-39</v>
      </c>
      <c r="F58" s="13">
        <v>-26</v>
      </c>
      <c r="G58" s="13">
        <v>212</v>
      </c>
      <c r="H58" s="13">
        <v>107</v>
      </c>
      <c r="I58" s="13">
        <v>164</v>
      </c>
      <c r="J58" s="13">
        <v>153</v>
      </c>
      <c r="K58" s="13">
        <v>91</v>
      </c>
      <c r="L58" s="13">
        <v>116</v>
      </c>
      <c r="M58" s="13">
        <v>180</v>
      </c>
      <c r="N58" s="13">
        <v>144</v>
      </c>
      <c r="O58" s="2">
        <v>98</v>
      </c>
      <c r="P58" s="4">
        <v>150</v>
      </c>
      <c r="U58" s="2">
        <v>144</v>
      </c>
      <c r="V58" s="2">
        <v>205</v>
      </c>
      <c r="W58" s="2">
        <v>66</v>
      </c>
      <c r="X58" s="2">
        <v>306</v>
      </c>
      <c r="Y58" s="2">
        <v>515</v>
      </c>
      <c r="Z58" s="4">
        <v>538</v>
      </c>
    </row>
    <row r="59" spans="3:26" x14ac:dyDescent="0.25">
      <c r="C59" s="2" t="s">
        <v>60</v>
      </c>
      <c r="D59" s="13">
        <v>-64</v>
      </c>
      <c r="E59" s="13">
        <v>-45</v>
      </c>
      <c r="F59" s="13">
        <v>-87</v>
      </c>
      <c r="G59" s="13">
        <v>-100</v>
      </c>
      <c r="H59" s="13">
        <v>-83</v>
      </c>
      <c r="I59" s="13">
        <v>-141</v>
      </c>
      <c r="J59" s="13">
        <v>-138</v>
      </c>
      <c r="K59" s="13">
        <v>-68</v>
      </c>
      <c r="L59" s="13">
        <v>-92</v>
      </c>
      <c r="M59" s="13">
        <v>-146</v>
      </c>
      <c r="N59" s="13">
        <v>-118</v>
      </c>
      <c r="O59" s="2">
        <v>-116</v>
      </c>
      <c r="P59" s="4">
        <v>-121</v>
      </c>
      <c r="U59" s="2">
        <v>-49</v>
      </c>
      <c r="V59" s="2">
        <v>50</v>
      </c>
      <c r="W59" s="2">
        <v>-101</v>
      </c>
      <c r="X59" s="2">
        <v>-296</v>
      </c>
      <c r="Y59" s="2">
        <v>-431</v>
      </c>
      <c r="Z59" s="4">
        <v>-472</v>
      </c>
    </row>
    <row r="60" spans="3:26" x14ac:dyDescent="0.25">
      <c r="C60" s="2" t="s">
        <v>61</v>
      </c>
      <c r="D60" s="13">
        <v>-70</v>
      </c>
      <c r="E60" s="13">
        <v>92</v>
      </c>
      <c r="F60" s="13">
        <v>106</v>
      </c>
      <c r="G60" s="13">
        <v>-78</v>
      </c>
      <c r="H60" s="13">
        <v>-1</v>
      </c>
      <c r="I60" s="13">
        <v>-1</v>
      </c>
      <c r="J60" s="13">
        <v>-4</v>
      </c>
      <c r="K60" s="13">
        <v>-5</v>
      </c>
      <c r="L60" s="13">
        <v>-8</v>
      </c>
      <c r="M60" s="13">
        <v>-15</v>
      </c>
      <c r="N60" s="13">
        <v>-3</v>
      </c>
      <c r="O60" s="2">
        <v>-1</v>
      </c>
      <c r="P60" s="4">
        <v>7</v>
      </c>
      <c r="U60" s="2">
        <v>-34</v>
      </c>
      <c r="V60" s="2">
        <v>-192</v>
      </c>
      <c r="W60" s="2">
        <v>107</v>
      </c>
      <c r="X60" s="2">
        <v>50</v>
      </c>
      <c r="Y60" s="2">
        <v>-11</v>
      </c>
      <c r="Z60" s="4">
        <v>-27</v>
      </c>
    </row>
    <row r="61" spans="3:26" x14ac:dyDescent="0.25">
      <c r="C61" s="2" t="s">
        <v>62</v>
      </c>
      <c r="D61" s="13">
        <v>-4</v>
      </c>
      <c r="E61" s="13">
        <v>25</v>
      </c>
      <c r="F61" s="13">
        <v>29</v>
      </c>
      <c r="G61" s="13">
        <v>-27</v>
      </c>
      <c r="H61" s="13">
        <v>2</v>
      </c>
      <c r="I61" s="13">
        <v>3</v>
      </c>
      <c r="J61" s="13">
        <v>11</v>
      </c>
      <c r="K61" s="13">
        <v>-1</v>
      </c>
      <c r="L61" s="13">
        <v>6</v>
      </c>
      <c r="M61" s="13">
        <v>12</v>
      </c>
      <c r="N61" s="13">
        <v>-1</v>
      </c>
      <c r="O61" s="2">
        <v>29</v>
      </c>
      <c r="P61" s="4">
        <v>-4</v>
      </c>
      <c r="U61" s="2">
        <v>17</v>
      </c>
      <c r="V61" s="2">
        <v>-2</v>
      </c>
      <c r="W61" s="2">
        <v>1</v>
      </c>
      <c r="X61" s="2">
        <v>23</v>
      </c>
      <c r="Y61" s="2">
        <v>15</v>
      </c>
      <c r="Z61" s="4">
        <v>46</v>
      </c>
    </row>
    <row r="62" spans="3:26" x14ac:dyDescent="0.25">
      <c r="C62" s="2" t="s">
        <v>47</v>
      </c>
      <c r="D62" s="13">
        <v>17</v>
      </c>
      <c r="E62" s="13">
        <v>12</v>
      </c>
      <c r="F62" s="13">
        <v>13</v>
      </c>
      <c r="G62" s="13">
        <v>27</v>
      </c>
      <c r="H62" s="13">
        <v>14</v>
      </c>
      <c r="I62" s="13">
        <v>14</v>
      </c>
      <c r="J62" s="13">
        <v>15</v>
      </c>
      <c r="K62" s="13">
        <v>16</v>
      </c>
      <c r="L62" s="13">
        <v>16</v>
      </c>
      <c r="M62" s="13">
        <v>16</v>
      </c>
      <c r="N62" s="13">
        <v>16</v>
      </c>
      <c r="O62" s="2">
        <v>26</v>
      </c>
      <c r="P62" s="4">
        <v>14</v>
      </c>
      <c r="U62" s="2">
        <v>71</v>
      </c>
      <c r="V62" s="2">
        <v>78</v>
      </c>
      <c r="W62" s="2">
        <v>68</v>
      </c>
      <c r="X62" s="2">
        <v>69</v>
      </c>
      <c r="Y62" s="2">
        <v>59</v>
      </c>
      <c r="Z62" s="4">
        <v>74</v>
      </c>
    </row>
    <row r="63" spans="3:26" x14ac:dyDescent="0.25">
      <c r="C63" s="2" t="s">
        <v>63</v>
      </c>
      <c r="D63" s="13">
        <v>-9</v>
      </c>
      <c r="E63" s="13">
        <v>1</v>
      </c>
      <c r="F63" s="13">
        <v>1</v>
      </c>
      <c r="G63" s="13">
        <v>-10</v>
      </c>
      <c r="H63" s="13">
        <v>1</v>
      </c>
      <c r="I63" s="13">
        <v>2</v>
      </c>
      <c r="J63" s="13">
        <v>1</v>
      </c>
      <c r="K63" s="13">
        <v>-5</v>
      </c>
      <c r="L63" s="13">
        <v>1</v>
      </c>
      <c r="M63" s="13">
        <v>0</v>
      </c>
      <c r="N63" s="13">
        <v>1</v>
      </c>
      <c r="O63" s="2">
        <v>-4</v>
      </c>
      <c r="P63" s="4">
        <v>1</v>
      </c>
      <c r="U63" s="2">
        <v>-8</v>
      </c>
      <c r="V63" s="2">
        <v>-5</v>
      </c>
      <c r="W63" s="2">
        <v>-2</v>
      </c>
      <c r="X63" s="2">
        <v>-17</v>
      </c>
      <c r="Y63" s="2">
        <v>-1</v>
      </c>
      <c r="Z63" s="4">
        <v>-2</v>
      </c>
    </row>
    <row r="64" spans="3:26" x14ac:dyDescent="0.25">
      <c r="C64" s="2" t="s">
        <v>64</v>
      </c>
      <c r="D64" s="13">
        <f>-1-30</f>
        <v>-31</v>
      </c>
      <c r="E64" s="13">
        <f>-1-5-33</f>
        <v>-39</v>
      </c>
      <c r="F64" s="13">
        <f>-3-12+14</f>
        <v>-1</v>
      </c>
      <c r="G64" s="13">
        <f>1-2+13</f>
        <v>12</v>
      </c>
      <c r="H64" s="13">
        <f>-3+8</f>
        <v>5</v>
      </c>
      <c r="I64" s="13">
        <f>-3-13</f>
        <v>-16</v>
      </c>
      <c r="J64" s="13">
        <f>1-2+36</f>
        <v>35</v>
      </c>
      <c r="K64" s="13">
        <f>-1+1+44</f>
        <v>44</v>
      </c>
      <c r="L64" s="13">
        <f>3-4</f>
        <v>-1</v>
      </c>
      <c r="M64" s="13">
        <f>5-31</f>
        <v>-26</v>
      </c>
      <c r="N64" s="13">
        <f>-5+15</f>
        <v>10</v>
      </c>
      <c r="O64" s="2">
        <f>-10-14</f>
        <v>-24</v>
      </c>
      <c r="P64" s="4">
        <f>2-7</f>
        <v>-5</v>
      </c>
      <c r="U64" s="2">
        <f>-6-9-19</f>
        <v>-34</v>
      </c>
      <c r="V64" s="2">
        <f>1+70</f>
        <v>71</v>
      </c>
      <c r="W64" s="2">
        <f>1-13+8</f>
        <v>-4</v>
      </c>
      <c r="X64" s="2">
        <f>-2-21-31</f>
        <v>-54</v>
      </c>
      <c r="Y64" s="2">
        <f>1-7+75</f>
        <v>69</v>
      </c>
      <c r="Z64" s="4">
        <f>1-7-33</f>
        <v>-39</v>
      </c>
    </row>
    <row r="65" spans="3:26" x14ac:dyDescent="0.25">
      <c r="C65" s="2" t="s">
        <v>65</v>
      </c>
      <c r="D65" s="13">
        <v>-1</v>
      </c>
      <c r="E65" s="2">
        <v>-1</v>
      </c>
      <c r="F65" s="2">
        <v>-7</v>
      </c>
      <c r="G65" s="2">
        <v>-8</v>
      </c>
      <c r="H65" s="2">
        <v>-3</v>
      </c>
      <c r="I65" s="2">
        <v>-7</v>
      </c>
      <c r="J65" s="2">
        <v>-3</v>
      </c>
      <c r="K65" s="2">
        <v>-8</v>
      </c>
      <c r="L65" s="2">
        <v>-4</v>
      </c>
      <c r="M65" s="2">
        <v>-7</v>
      </c>
      <c r="N65" s="2">
        <v>-5</v>
      </c>
      <c r="O65" s="2">
        <v>-6</v>
      </c>
      <c r="P65" s="4">
        <v>-5</v>
      </c>
      <c r="U65" s="2">
        <v>-8</v>
      </c>
      <c r="V65" s="2">
        <v>-9</v>
      </c>
      <c r="W65" s="2">
        <v>-14</v>
      </c>
      <c r="X65" s="2">
        <v>-17</v>
      </c>
      <c r="Y65" s="2">
        <v>-21</v>
      </c>
      <c r="Z65" s="4">
        <v>-22</v>
      </c>
    </row>
    <row r="66" spans="3:26" x14ac:dyDescent="0.25">
      <c r="C66" s="1" t="s">
        <v>31</v>
      </c>
      <c r="D66" s="1">
        <f t="shared" ref="D66:N66" si="44">SUM(D58:D65)</f>
        <v>3</v>
      </c>
      <c r="E66" s="1">
        <f t="shared" si="44"/>
        <v>6</v>
      </c>
      <c r="F66" s="1">
        <f t="shared" si="44"/>
        <v>28</v>
      </c>
      <c r="G66" s="1">
        <f t="shared" si="44"/>
        <v>28</v>
      </c>
      <c r="H66" s="1">
        <f t="shared" si="44"/>
        <v>42</v>
      </c>
      <c r="I66" s="1">
        <f t="shared" si="44"/>
        <v>18</v>
      </c>
      <c r="J66" s="1">
        <f t="shared" si="44"/>
        <v>70</v>
      </c>
      <c r="K66" s="1">
        <f t="shared" si="44"/>
        <v>64</v>
      </c>
      <c r="L66" s="1">
        <f t="shared" si="44"/>
        <v>34</v>
      </c>
      <c r="M66" s="1">
        <f t="shared" si="44"/>
        <v>14</v>
      </c>
      <c r="N66" s="1">
        <f t="shared" si="44"/>
        <v>44</v>
      </c>
      <c r="O66" s="1">
        <f>SUM(O58:O65)</f>
        <v>2</v>
      </c>
      <c r="P66" s="16">
        <f>SUM(P58:P65)</f>
        <v>37</v>
      </c>
      <c r="R66" s="1"/>
      <c r="S66" s="1"/>
      <c r="T66" s="1"/>
      <c r="U66" s="1">
        <f t="shared" ref="U66:V66" si="45">SUM(U58:U65)</f>
        <v>99</v>
      </c>
      <c r="V66" s="1">
        <f t="shared" si="45"/>
        <v>196</v>
      </c>
      <c r="W66" s="1">
        <f>SUM(W58:W65)</f>
        <v>121</v>
      </c>
      <c r="X66" s="1">
        <f t="shared" ref="X66:Y66" si="46">SUM(X58:X65)</f>
        <v>64</v>
      </c>
      <c r="Y66" s="1">
        <f t="shared" si="46"/>
        <v>194</v>
      </c>
      <c r="Z66" s="16">
        <f>SUM(Z58:Z65)</f>
        <v>96</v>
      </c>
    </row>
    <row r="68" spans="3:26" x14ac:dyDescent="0.25">
      <c r="C68" s="2" t="s">
        <v>66</v>
      </c>
      <c r="D68" s="2">
        <v>1</v>
      </c>
      <c r="E68" s="2">
        <v>24</v>
      </c>
      <c r="F68" s="2">
        <v>1</v>
      </c>
      <c r="G68" s="2">
        <v>10</v>
      </c>
      <c r="H68" s="2">
        <v>0</v>
      </c>
      <c r="I68" s="2">
        <v>89</v>
      </c>
      <c r="J68" s="2">
        <v>3</v>
      </c>
      <c r="K68" s="2">
        <v>59</v>
      </c>
      <c r="L68" s="2">
        <v>2</v>
      </c>
      <c r="M68" s="2">
        <v>132</v>
      </c>
      <c r="N68" s="2">
        <v>2</v>
      </c>
      <c r="O68" s="2">
        <v>175</v>
      </c>
      <c r="P68" s="4">
        <v>3</v>
      </c>
      <c r="U68" s="2">
        <v>33</v>
      </c>
      <c r="V68" s="2">
        <v>21</v>
      </c>
      <c r="W68" s="2">
        <v>13</v>
      </c>
      <c r="X68" s="2">
        <v>37</v>
      </c>
      <c r="Y68" s="2">
        <v>170</v>
      </c>
      <c r="Z68" s="4">
        <v>311</v>
      </c>
    </row>
    <row r="69" spans="3:26" x14ac:dyDescent="0.25">
      <c r="C69" s="2" t="s">
        <v>67</v>
      </c>
      <c r="D69" s="2">
        <v>1</v>
      </c>
      <c r="E69" s="2">
        <v>0</v>
      </c>
      <c r="F69" s="2">
        <v>0</v>
      </c>
      <c r="G69" s="2">
        <v>26</v>
      </c>
      <c r="H69" s="2">
        <v>0</v>
      </c>
      <c r="I69" s="2">
        <v>0</v>
      </c>
      <c r="J69" s="2">
        <v>0</v>
      </c>
      <c r="K69" s="2">
        <v>1</v>
      </c>
      <c r="L69" s="2">
        <v>0</v>
      </c>
      <c r="M69" s="2">
        <v>0</v>
      </c>
      <c r="N69" s="2">
        <v>0</v>
      </c>
      <c r="O69" s="2">
        <v>0</v>
      </c>
      <c r="P69" s="4">
        <v>0</v>
      </c>
      <c r="U69" s="2">
        <v>17</v>
      </c>
      <c r="V69" s="2">
        <v>7</v>
      </c>
      <c r="W69" s="2">
        <v>26</v>
      </c>
      <c r="X69" s="2">
        <v>27</v>
      </c>
      <c r="Y69" s="2">
        <v>2</v>
      </c>
      <c r="Z69" s="4">
        <v>1</v>
      </c>
    </row>
    <row r="70" spans="3:26" x14ac:dyDescent="0.25">
      <c r="C70" s="2" t="s">
        <v>68</v>
      </c>
      <c r="D70" s="2">
        <v>-9</v>
      </c>
      <c r="E70" s="2">
        <v>-6</v>
      </c>
      <c r="F70" s="2">
        <v>-12</v>
      </c>
      <c r="G70" s="2">
        <v>-23</v>
      </c>
      <c r="H70" s="2">
        <v>-8</v>
      </c>
      <c r="I70" s="2">
        <v>-11</v>
      </c>
      <c r="J70" s="2">
        <v>-11</v>
      </c>
      <c r="K70" s="2">
        <v>-13</v>
      </c>
      <c r="L70" s="2">
        <v>-9</v>
      </c>
      <c r="M70" s="2">
        <v>-13</v>
      </c>
      <c r="N70" s="2">
        <v>-8</v>
      </c>
      <c r="O70" s="2">
        <v>-9</v>
      </c>
      <c r="P70" s="4">
        <v>-10</v>
      </c>
      <c r="U70" s="2">
        <v>-40</v>
      </c>
      <c r="V70" s="2">
        <v>-37</v>
      </c>
      <c r="W70" s="2">
        <v>-45</v>
      </c>
      <c r="X70" s="2">
        <v>-49</v>
      </c>
      <c r="Y70" s="2">
        <v>-43</v>
      </c>
      <c r="Z70" s="4">
        <v>-40</v>
      </c>
    </row>
    <row r="71" spans="3:26" x14ac:dyDescent="0.25">
      <c r="C71" s="2" t="s">
        <v>69</v>
      </c>
      <c r="D71" s="2">
        <v>-48</v>
      </c>
      <c r="E71" s="2">
        <v>0</v>
      </c>
      <c r="F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2">
        <v>2</v>
      </c>
      <c r="N71" s="2">
        <v>0</v>
      </c>
      <c r="O71" s="2">
        <v>7</v>
      </c>
      <c r="P71" s="4">
        <v>0</v>
      </c>
      <c r="U71" s="2">
        <v>3</v>
      </c>
      <c r="V71" s="2">
        <v>0</v>
      </c>
      <c r="W71" s="2">
        <v>0</v>
      </c>
      <c r="X71" s="2">
        <v>-37</v>
      </c>
      <c r="Y71" s="2">
        <v>0</v>
      </c>
      <c r="Z71" s="4">
        <v>9</v>
      </c>
    </row>
    <row r="72" spans="3:26" x14ac:dyDescent="0.25">
      <c r="C72" s="2" t="s">
        <v>70</v>
      </c>
      <c r="D72" s="2">
        <v>0</v>
      </c>
      <c r="E72" s="2">
        <v>0</v>
      </c>
      <c r="F72" s="2">
        <v>-4</v>
      </c>
      <c r="G72" s="2">
        <v>-4</v>
      </c>
      <c r="H72" s="2">
        <v>-44</v>
      </c>
      <c r="I72" s="2">
        <v>0</v>
      </c>
      <c r="J72" s="2">
        <v>-4</v>
      </c>
      <c r="K72" s="2">
        <v>-2</v>
      </c>
      <c r="L72" s="2">
        <v>-24</v>
      </c>
      <c r="M72" s="2">
        <v>-27</v>
      </c>
      <c r="N72" s="2">
        <v>0</v>
      </c>
      <c r="O72" s="2">
        <v>-3</v>
      </c>
      <c r="P72" s="4">
        <v>-16</v>
      </c>
      <c r="U72" s="2">
        <v>34</v>
      </c>
      <c r="V72" s="2">
        <v>0</v>
      </c>
      <c r="W72" s="2">
        <v>-36</v>
      </c>
      <c r="X72" s="2">
        <v>-18</v>
      </c>
      <c r="Y72" s="2">
        <v>-50</v>
      </c>
      <c r="Z72" s="4">
        <v>-55</v>
      </c>
    </row>
    <row r="73" spans="3:26" x14ac:dyDescent="0.25">
      <c r="C73" s="2" t="s">
        <v>71</v>
      </c>
      <c r="D73" s="2">
        <v>0</v>
      </c>
      <c r="E73" s="2">
        <v>0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  <c r="M73" s="2">
        <v>6</v>
      </c>
      <c r="N73" s="2">
        <v>0</v>
      </c>
      <c r="O73" s="2">
        <v>1</v>
      </c>
      <c r="P73" s="4">
        <v>0</v>
      </c>
      <c r="U73" s="2">
        <v>-3</v>
      </c>
      <c r="V73" s="2">
        <v>-34</v>
      </c>
      <c r="W73" s="2">
        <v>-16</v>
      </c>
      <c r="X73" s="2">
        <v>0</v>
      </c>
      <c r="Y73" s="2">
        <v>0</v>
      </c>
      <c r="Z73" s="4">
        <v>7</v>
      </c>
    </row>
    <row r="74" spans="3:26" x14ac:dyDescent="0.25">
      <c r="C74" s="2" t="s">
        <v>72</v>
      </c>
      <c r="D74" s="2">
        <v>15</v>
      </c>
      <c r="E74" s="2">
        <v>0</v>
      </c>
      <c r="F74" s="2">
        <v>0</v>
      </c>
      <c r="G74" s="2">
        <v>-1</v>
      </c>
      <c r="H74" s="2">
        <v>-1</v>
      </c>
      <c r="I74" s="2">
        <v>-1</v>
      </c>
      <c r="J74" s="2">
        <v>0</v>
      </c>
      <c r="K74" s="2">
        <v>-9</v>
      </c>
      <c r="L74" s="2">
        <v>-1</v>
      </c>
      <c r="M74" s="2">
        <v>0</v>
      </c>
      <c r="N74" s="2">
        <v>-1</v>
      </c>
      <c r="O74" s="2">
        <v>0</v>
      </c>
      <c r="P74" s="4">
        <v>-1</v>
      </c>
      <c r="U74" s="2">
        <v>6</v>
      </c>
      <c r="V74" s="2">
        <v>0</v>
      </c>
      <c r="W74" s="2">
        <v>2</v>
      </c>
      <c r="X74" s="2">
        <v>-2</v>
      </c>
      <c r="Y74" s="2">
        <v>-11</v>
      </c>
      <c r="Z74" s="4">
        <v>-2</v>
      </c>
    </row>
    <row r="75" spans="3:26" x14ac:dyDescent="0.25">
      <c r="C75" s="2" t="s">
        <v>73</v>
      </c>
      <c r="D75" s="2">
        <v>-1</v>
      </c>
      <c r="E75" s="2">
        <v>39</v>
      </c>
      <c r="F75" s="2">
        <v>9</v>
      </c>
      <c r="G75" s="2">
        <v>3</v>
      </c>
      <c r="H75" s="2">
        <v>2</v>
      </c>
      <c r="I75" s="2">
        <v>24</v>
      </c>
      <c r="J75" s="2">
        <v>8</v>
      </c>
      <c r="K75" s="2">
        <v>6</v>
      </c>
      <c r="L75" s="2">
        <v>8</v>
      </c>
      <c r="M75" s="2">
        <v>10</v>
      </c>
      <c r="N75" s="2">
        <v>1</v>
      </c>
      <c r="O75" s="2">
        <v>3</v>
      </c>
      <c r="P75" s="4">
        <v>8</v>
      </c>
      <c r="U75" s="2">
        <v>65</v>
      </c>
      <c r="V75" s="2">
        <v>146</v>
      </c>
      <c r="W75" s="2">
        <v>62</v>
      </c>
      <c r="X75" s="2">
        <v>66</v>
      </c>
      <c r="Y75" s="2">
        <v>41</v>
      </c>
      <c r="Z75" s="4">
        <v>21</v>
      </c>
    </row>
    <row r="76" spans="3:26" x14ac:dyDescent="0.25">
      <c r="C76" s="2" t="s">
        <v>74</v>
      </c>
      <c r="D76" s="2">
        <v>0</v>
      </c>
      <c r="E76" s="2">
        <v>-2</v>
      </c>
      <c r="F76" s="2">
        <v>-8</v>
      </c>
      <c r="G76" s="2">
        <v>-10</v>
      </c>
      <c r="H76" s="2">
        <v>-1</v>
      </c>
      <c r="I76" s="2">
        <v>-8</v>
      </c>
      <c r="J76" s="2">
        <v>-11</v>
      </c>
      <c r="K76" s="2">
        <v>-13</v>
      </c>
      <c r="L76" s="2">
        <v>-9</v>
      </c>
      <c r="M76" s="2">
        <v>-17</v>
      </c>
      <c r="N76" s="2">
        <v>-17</v>
      </c>
      <c r="O76" s="2">
        <v>-4</v>
      </c>
      <c r="P76" s="4">
        <v>-12</v>
      </c>
      <c r="U76" s="2">
        <v>-38</v>
      </c>
      <c r="V76" s="2">
        <v>-62</v>
      </c>
      <c r="W76" s="2">
        <v>-54</v>
      </c>
      <c r="X76" s="2">
        <v>-22</v>
      </c>
      <c r="Y76" s="2">
        <v>-53</v>
      </c>
      <c r="Z76" s="4">
        <v>-47</v>
      </c>
    </row>
    <row r="77" spans="3:26" x14ac:dyDescent="0.25">
      <c r="C77" s="2" t="s">
        <v>86</v>
      </c>
      <c r="D77" s="2">
        <v>-2</v>
      </c>
      <c r="E77" s="2">
        <v>1</v>
      </c>
      <c r="F77" s="2">
        <v>1</v>
      </c>
      <c r="G77" s="2">
        <v>3</v>
      </c>
      <c r="H77" s="2">
        <v>2</v>
      </c>
      <c r="I77" s="2">
        <v>2</v>
      </c>
      <c r="J77" s="2">
        <v>2</v>
      </c>
      <c r="K77" s="2">
        <v>2</v>
      </c>
      <c r="L77" s="2">
        <v>2</v>
      </c>
      <c r="M77" s="2">
        <v>3</v>
      </c>
      <c r="N77" s="2">
        <v>2</v>
      </c>
      <c r="O77" s="2">
        <v>3</v>
      </c>
      <c r="P77" s="4">
        <v>1</v>
      </c>
      <c r="U77" s="2">
        <v>4</v>
      </c>
      <c r="V77" s="2">
        <v>1</v>
      </c>
      <c r="W77" s="2">
        <v>1</v>
      </c>
      <c r="X77" s="2">
        <v>4</v>
      </c>
      <c r="Y77" s="2">
        <v>8</v>
      </c>
      <c r="Z77" s="4">
        <v>9</v>
      </c>
    </row>
    <row r="78" spans="3:26" x14ac:dyDescent="0.25">
      <c r="C78" s="2" t="s">
        <v>75</v>
      </c>
      <c r="D78" s="2">
        <v>0</v>
      </c>
      <c r="E78" s="2">
        <v>0</v>
      </c>
      <c r="F78" s="2">
        <v>0</v>
      </c>
      <c r="G78" s="2">
        <v>2</v>
      </c>
      <c r="H78" s="2">
        <v>0</v>
      </c>
      <c r="I78" s="2">
        <v>0</v>
      </c>
      <c r="J78" s="2">
        <v>0</v>
      </c>
      <c r="K78" s="2">
        <v>0</v>
      </c>
      <c r="L78" s="2">
        <v>0</v>
      </c>
      <c r="M78" s="2">
        <v>0</v>
      </c>
      <c r="N78" s="2">
        <v>0</v>
      </c>
      <c r="O78" s="2">
        <v>2</v>
      </c>
      <c r="P78" s="4">
        <v>0</v>
      </c>
      <c r="U78" s="2">
        <v>0</v>
      </c>
      <c r="V78" s="2">
        <v>0</v>
      </c>
      <c r="W78" s="2">
        <v>-6</v>
      </c>
      <c r="X78" s="2">
        <v>0</v>
      </c>
      <c r="Y78" s="2">
        <v>0</v>
      </c>
      <c r="Z78" s="4">
        <v>2</v>
      </c>
    </row>
    <row r="79" spans="3:26" x14ac:dyDescent="0.25">
      <c r="C79" s="1" t="s">
        <v>33</v>
      </c>
      <c r="D79" s="1">
        <f t="shared" ref="D79:N79" si="47">SUM(D68:D78)</f>
        <v>-43</v>
      </c>
      <c r="E79" s="1">
        <f t="shared" si="47"/>
        <v>56</v>
      </c>
      <c r="F79" s="1">
        <f t="shared" si="47"/>
        <v>-13</v>
      </c>
      <c r="G79" s="1">
        <f t="shared" si="47"/>
        <v>6</v>
      </c>
      <c r="H79" s="1">
        <f t="shared" si="47"/>
        <v>-50</v>
      </c>
      <c r="I79" s="1">
        <f t="shared" si="47"/>
        <v>95</v>
      </c>
      <c r="J79" s="1">
        <f t="shared" si="47"/>
        <v>-13</v>
      </c>
      <c r="K79" s="1">
        <f t="shared" si="47"/>
        <v>31</v>
      </c>
      <c r="L79" s="1">
        <f t="shared" si="47"/>
        <v>-31</v>
      </c>
      <c r="M79" s="1">
        <f t="shared" si="47"/>
        <v>96</v>
      </c>
      <c r="N79" s="1">
        <f t="shared" si="47"/>
        <v>-21</v>
      </c>
      <c r="O79" s="1">
        <f>SUM(O68:O78)</f>
        <v>175</v>
      </c>
      <c r="P79" s="16">
        <f>SUM(P68:P78)</f>
        <v>-27</v>
      </c>
      <c r="R79" s="1"/>
      <c r="S79" s="1"/>
      <c r="T79" s="1"/>
      <c r="U79" s="1">
        <f t="shared" ref="U79:Y79" si="48">SUM(U68:U78)</f>
        <v>81</v>
      </c>
      <c r="V79" s="1">
        <f t="shared" si="48"/>
        <v>42</v>
      </c>
      <c r="W79" s="1">
        <f t="shared" si="48"/>
        <v>-53</v>
      </c>
      <c r="X79" s="1">
        <f t="shared" si="48"/>
        <v>6</v>
      </c>
      <c r="Y79" s="1">
        <f t="shared" si="48"/>
        <v>64</v>
      </c>
      <c r="Z79" s="16">
        <f>SUM(Z68:Z78)</f>
        <v>216</v>
      </c>
    </row>
    <row r="81" spans="3:26" x14ac:dyDescent="0.25">
      <c r="C81" s="2" t="s">
        <v>76</v>
      </c>
      <c r="D81" s="2">
        <v>48</v>
      </c>
      <c r="E81" s="2">
        <v>259</v>
      </c>
      <c r="F81" s="2">
        <v>2</v>
      </c>
      <c r="G81" s="2">
        <v>0</v>
      </c>
      <c r="H81" s="2">
        <v>19</v>
      </c>
      <c r="I81" s="2">
        <v>28</v>
      </c>
      <c r="J81" s="2">
        <v>0</v>
      </c>
      <c r="K81" s="2">
        <v>5</v>
      </c>
      <c r="L81" s="2">
        <v>19</v>
      </c>
      <c r="M81" s="2">
        <v>26</v>
      </c>
      <c r="N81" s="2">
        <v>19</v>
      </c>
      <c r="O81" s="2">
        <v>16</v>
      </c>
      <c r="P81" s="4">
        <v>24</v>
      </c>
      <c r="U81" s="2">
        <v>93</v>
      </c>
      <c r="V81" s="2">
        <v>19</v>
      </c>
      <c r="W81" s="2">
        <v>70</v>
      </c>
      <c r="X81" s="2">
        <v>310</v>
      </c>
      <c r="Y81" s="2">
        <v>84</v>
      </c>
      <c r="Z81" s="4">
        <v>81</v>
      </c>
    </row>
    <row r="82" spans="3:26" x14ac:dyDescent="0.25">
      <c r="C82" s="2" t="s">
        <v>77</v>
      </c>
      <c r="D82" s="2">
        <v>-32</v>
      </c>
      <c r="E82" s="2">
        <v>-253</v>
      </c>
      <c r="F82" s="2">
        <v>-7</v>
      </c>
      <c r="G82" s="2">
        <v>0</v>
      </c>
      <c r="H82" s="2">
        <v>-43</v>
      </c>
      <c r="I82" s="2">
        <v>-72</v>
      </c>
      <c r="J82" s="2">
        <v>-28</v>
      </c>
      <c r="K82" s="2">
        <v>-28</v>
      </c>
      <c r="L82" s="2">
        <v>-43</v>
      </c>
      <c r="M82" s="2">
        <v>-68</v>
      </c>
      <c r="N82" s="2">
        <v>-18</v>
      </c>
      <c r="O82" s="2">
        <v>-118</v>
      </c>
      <c r="P82" s="4">
        <v>-1</v>
      </c>
      <c r="U82" s="2">
        <v>-136</v>
      </c>
      <c r="V82" s="2">
        <v>-60</v>
      </c>
      <c r="W82" s="2">
        <v>-71</v>
      </c>
      <c r="X82" s="2">
        <v>-292</v>
      </c>
      <c r="Y82" s="2">
        <v>-157</v>
      </c>
      <c r="Z82" s="4">
        <v>-246</v>
      </c>
    </row>
    <row r="83" spans="3:26" x14ac:dyDescent="0.25">
      <c r="C83" s="2" t="s">
        <v>78</v>
      </c>
      <c r="D83" s="2">
        <v>-11</v>
      </c>
      <c r="E83" s="2">
        <v>-7</v>
      </c>
      <c r="F83" s="2">
        <v>-6</v>
      </c>
      <c r="G83" s="2">
        <v>-4</v>
      </c>
      <c r="H83" s="2">
        <v>-9</v>
      </c>
      <c r="I83" s="2">
        <v>-7</v>
      </c>
      <c r="J83" s="2">
        <v>-7</v>
      </c>
      <c r="K83" s="2">
        <v>-6</v>
      </c>
      <c r="L83" s="2">
        <v>-9</v>
      </c>
      <c r="M83" s="2">
        <v>-8</v>
      </c>
      <c r="N83" s="2">
        <v>-8</v>
      </c>
      <c r="O83" s="2">
        <v>-7</v>
      </c>
      <c r="P83" s="4">
        <v>-9</v>
      </c>
      <c r="U83" s="2">
        <v>-24</v>
      </c>
      <c r="V83" s="2">
        <v>-19</v>
      </c>
      <c r="W83" s="2">
        <v>-30</v>
      </c>
      <c r="X83" s="2">
        <v>-28</v>
      </c>
      <c r="Y83" s="2">
        <v>-28</v>
      </c>
      <c r="Z83" s="4">
        <v>-33</v>
      </c>
    </row>
    <row r="84" spans="3:26" x14ac:dyDescent="0.25">
      <c r="C84" s="2" t="s">
        <v>79</v>
      </c>
      <c r="D84" s="2">
        <v>-4</v>
      </c>
      <c r="E84" s="2">
        <v>-5</v>
      </c>
      <c r="F84" s="2">
        <v>-5</v>
      </c>
      <c r="G84" s="2">
        <v>-8</v>
      </c>
      <c r="H84" s="2">
        <v>-8</v>
      </c>
      <c r="I84" s="2">
        <v>-8</v>
      </c>
      <c r="J84" s="2">
        <v>-9</v>
      </c>
      <c r="K84" s="2">
        <v>-8</v>
      </c>
      <c r="L84" s="2">
        <v>-8</v>
      </c>
      <c r="M84" s="2">
        <v>-8</v>
      </c>
      <c r="N84" s="2">
        <v>-7</v>
      </c>
      <c r="O84" s="2">
        <v>-6</v>
      </c>
      <c r="P84" s="4">
        <v>-5</v>
      </c>
      <c r="U84" s="2">
        <v>-25</v>
      </c>
      <c r="V84" s="2">
        <v>-18</v>
      </c>
      <c r="W84" s="2">
        <v>-15</v>
      </c>
      <c r="X84" s="2">
        <v>-22</v>
      </c>
      <c r="Y84" s="2">
        <v>-33</v>
      </c>
      <c r="Z84" s="4">
        <v>-29</v>
      </c>
    </row>
    <row r="85" spans="3:26" x14ac:dyDescent="0.25">
      <c r="C85" s="2" t="s">
        <v>80</v>
      </c>
      <c r="D85" s="2">
        <v>-1</v>
      </c>
      <c r="E85" s="2">
        <v>-1</v>
      </c>
      <c r="G85" s="2">
        <v>-1</v>
      </c>
      <c r="H85" s="2">
        <v>0</v>
      </c>
      <c r="I85" s="2">
        <v>0</v>
      </c>
      <c r="J85" s="2">
        <v>-2</v>
      </c>
      <c r="K85" s="2">
        <v>-2</v>
      </c>
      <c r="L85" s="2">
        <v>0</v>
      </c>
      <c r="M85" s="2">
        <v>0</v>
      </c>
      <c r="N85" s="2">
        <v>0</v>
      </c>
      <c r="O85" s="2">
        <v>-3</v>
      </c>
      <c r="P85" s="4">
        <v>6</v>
      </c>
      <c r="U85" s="2">
        <v>-11</v>
      </c>
      <c r="V85" s="2">
        <v>-10</v>
      </c>
      <c r="W85" s="2">
        <v>-9</v>
      </c>
      <c r="X85" s="2">
        <v>-6</v>
      </c>
      <c r="Y85" s="2">
        <v>-4</v>
      </c>
      <c r="Z85" s="4">
        <v>-3</v>
      </c>
    </row>
    <row r="86" spans="3:26" x14ac:dyDescent="0.25">
      <c r="C86" s="2" t="s">
        <v>81</v>
      </c>
      <c r="D86" s="2">
        <v>-2</v>
      </c>
      <c r="E86" s="2">
        <v>-1</v>
      </c>
      <c r="F86" s="2">
        <v>-1</v>
      </c>
      <c r="G86" s="2">
        <v>-1</v>
      </c>
      <c r="H86" s="2">
        <v>0</v>
      </c>
      <c r="I86" s="2">
        <v>-2</v>
      </c>
      <c r="J86" s="2">
        <v>0</v>
      </c>
      <c r="K86" s="2">
        <v>0</v>
      </c>
      <c r="L86" s="2">
        <v>0</v>
      </c>
      <c r="M86" s="2">
        <v>-2</v>
      </c>
      <c r="N86" s="2">
        <v>0</v>
      </c>
      <c r="O86" s="2">
        <v>-30</v>
      </c>
      <c r="P86" s="4">
        <v>0</v>
      </c>
      <c r="U86" s="2">
        <v>0</v>
      </c>
      <c r="V86" s="2">
        <v>-14</v>
      </c>
      <c r="W86" s="2">
        <v>7</v>
      </c>
      <c r="X86" s="2">
        <v>-3</v>
      </c>
      <c r="Y86" s="2">
        <v>-2</v>
      </c>
      <c r="Z86" s="4">
        <v>-32</v>
      </c>
    </row>
    <row r="87" spans="3:26" x14ac:dyDescent="0.25">
      <c r="C87" s="2" t="s">
        <v>82</v>
      </c>
      <c r="D87" s="2">
        <v>0</v>
      </c>
      <c r="E87" s="2">
        <v>-53</v>
      </c>
      <c r="F87" s="2">
        <v>0</v>
      </c>
      <c r="G87" s="2">
        <v>0</v>
      </c>
      <c r="H87" s="2">
        <v>0</v>
      </c>
      <c r="I87" s="2">
        <v>-10</v>
      </c>
      <c r="J87" s="2">
        <v>0</v>
      </c>
      <c r="K87" s="2">
        <v>0</v>
      </c>
      <c r="L87" s="2">
        <v>0</v>
      </c>
      <c r="M87" s="2">
        <v>-15</v>
      </c>
      <c r="N87" s="2">
        <v>-33</v>
      </c>
      <c r="O87" s="2">
        <v>1</v>
      </c>
      <c r="P87" s="4">
        <v>-22</v>
      </c>
      <c r="U87" s="2">
        <v>0</v>
      </c>
      <c r="W87" s="2">
        <v>0</v>
      </c>
      <c r="X87" s="2">
        <v>-53</v>
      </c>
      <c r="Y87" s="2">
        <v>-11</v>
      </c>
      <c r="Z87" s="4">
        <v>-47</v>
      </c>
    </row>
    <row r="88" spans="3:26" x14ac:dyDescent="0.25">
      <c r="C88" s="2" t="s">
        <v>83</v>
      </c>
      <c r="D88" s="2">
        <v>-5</v>
      </c>
      <c r="E88" s="2">
        <v>-22</v>
      </c>
      <c r="F88" s="2">
        <v>-4</v>
      </c>
      <c r="G88" s="2">
        <v>-15</v>
      </c>
      <c r="H88" s="2">
        <v>0</v>
      </c>
      <c r="I88" s="2">
        <v>-26</v>
      </c>
      <c r="J88" s="2">
        <v>-3</v>
      </c>
      <c r="K88" s="2">
        <v>-18</v>
      </c>
      <c r="L88" s="2">
        <v>0</v>
      </c>
      <c r="M88" s="2">
        <v>-44</v>
      </c>
      <c r="N88" s="2">
        <v>0</v>
      </c>
      <c r="O88" s="2">
        <v>-28</v>
      </c>
      <c r="P88" s="4">
        <v>0</v>
      </c>
      <c r="U88" s="2">
        <v>-62</v>
      </c>
      <c r="V88" s="2">
        <v>-18</v>
      </c>
      <c r="W88" s="2">
        <v>-58</v>
      </c>
      <c r="X88" s="2">
        <v>-46</v>
      </c>
      <c r="Y88" s="2">
        <v>-46</v>
      </c>
      <c r="Z88" s="4">
        <v>-72</v>
      </c>
    </row>
    <row r="89" spans="3:26" x14ac:dyDescent="0.25">
      <c r="C89" s="1" t="s">
        <v>32</v>
      </c>
      <c r="D89" s="1">
        <f t="shared" ref="D89:N89" si="49">SUM(D81:D88)</f>
        <v>-7</v>
      </c>
      <c r="E89" s="1">
        <f t="shared" si="49"/>
        <v>-83</v>
      </c>
      <c r="F89" s="1">
        <f>SUM(F81:F88)</f>
        <v>-21</v>
      </c>
      <c r="G89" s="1">
        <f t="shared" si="49"/>
        <v>-29</v>
      </c>
      <c r="H89" s="1">
        <f t="shared" si="49"/>
        <v>-41</v>
      </c>
      <c r="I89" s="1">
        <f t="shared" si="49"/>
        <v>-97</v>
      </c>
      <c r="J89" s="1">
        <f t="shared" si="49"/>
        <v>-49</v>
      </c>
      <c r="K89" s="1">
        <f t="shared" si="49"/>
        <v>-57</v>
      </c>
      <c r="L89" s="1">
        <f t="shared" si="49"/>
        <v>-41</v>
      </c>
      <c r="M89" s="1">
        <f t="shared" si="49"/>
        <v>-119</v>
      </c>
      <c r="N89" s="1">
        <f t="shared" si="49"/>
        <v>-47</v>
      </c>
      <c r="O89" s="1">
        <f>SUM(O81:O88)</f>
        <v>-175</v>
      </c>
      <c r="P89" s="16">
        <f>SUM(P81:P88)</f>
        <v>-7</v>
      </c>
      <c r="R89" s="1"/>
      <c r="S89" s="1"/>
      <c r="T89" s="1"/>
      <c r="U89" s="1">
        <f t="shared" ref="U89" si="50">SUM(U81:U88)</f>
        <v>-165</v>
      </c>
      <c r="V89" s="1">
        <f>SUM(V81:V88)</f>
        <v>-120</v>
      </c>
      <c r="W89" s="1">
        <f t="shared" ref="W89:Y89" si="51">SUM(W81:W88)</f>
        <v>-106</v>
      </c>
      <c r="X89" s="1">
        <f t="shared" si="51"/>
        <v>-140</v>
      </c>
      <c r="Y89" s="1">
        <f t="shared" si="51"/>
        <v>-197</v>
      </c>
      <c r="Z89" s="16">
        <f>SUM(Z81:Z88)</f>
        <v>-381</v>
      </c>
    </row>
    <row r="91" spans="3:26" x14ac:dyDescent="0.25">
      <c r="C91" s="2" t="s">
        <v>84</v>
      </c>
      <c r="D91" s="2">
        <f t="shared" ref="D91:N91" si="52">D66+D79+D89</f>
        <v>-47</v>
      </c>
      <c r="E91" s="2">
        <f t="shared" si="52"/>
        <v>-21</v>
      </c>
      <c r="F91" s="2">
        <f t="shared" si="52"/>
        <v>-6</v>
      </c>
      <c r="G91" s="2">
        <f t="shared" si="52"/>
        <v>5</v>
      </c>
      <c r="H91" s="2">
        <f t="shared" si="52"/>
        <v>-49</v>
      </c>
      <c r="I91" s="2">
        <f t="shared" si="52"/>
        <v>16</v>
      </c>
      <c r="J91" s="2">
        <f t="shared" si="52"/>
        <v>8</v>
      </c>
      <c r="K91" s="2">
        <f t="shared" si="52"/>
        <v>38</v>
      </c>
      <c r="L91" s="2">
        <f t="shared" si="52"/>
        <v>-38</v>
      </c>
      <c r="M91" s="2">
        <f t="shared" si="52"/>
        <v>-9</v>
      </c>
      <c r="N91" s="2">
        <f t="shared" si="52"/>
        <v>-24</v>
      </c>
      <c r="O91" s="2">
        <f>O66+O79+O89</f>
        <v>2</v>
      </c>
      <c r="P91" s="4">
        <f>P66+P79+P89</f>
        <v>3</v>
      </c>
      <c r="U91" s="2">
        <f t="shared" ref="U91:V91" si="53">U66+U79+U89</f>
        <v>15</v>
      </c>
      <c r="V91" s="2">
        <f t="shared" si="53"/>
        <v>118</v>
      </c>
      <c r="W91" s="2">
        <f t="shared" ref="W91:Y91" si="54">W66+W79+W89</f>
        <v>-38</v>
      </c>
      <c r="X91" s="2">
        <f t="shared" si="54"/>
        <v>-70</v>
      </c>
      <c r="Y91" s="2">
        <f t="shared" si="54"/>
        <v>61</v>
      </c>
      <c r="Z91" s="4">
        <f>Z66+Z79+Z89</f>
        <v>-69</v>
      </c>
    </row>
    <row r="93" spans="3:26" x14ac:dyDescent="0.25">
      <c r="C93" s="2" t="s">
        <v>85</v>
      </c>
      <c r="D93" s="2">
        <f t="shared" ref="D93:N93" si="55">D66+D68+D70+D72</f>
        <v>-5</v>
      </c>
      <c r="E93" s="2">
        <f t="shared" si="55"/>
        <v>24</v>
      </c>
      <c r="F93" s="2">
        <f t="shared" si="55"/>
        <v>13</v>
      </c>
      <c r="G93" s="2">
        <f t="shared" si="55"/>
        <v>11</v>
      </c>
      <c r="H93" s="2">
        <f>H66+H68+H70+H72</f>
        <v>-10</v>
      </c>
      <c r="I93" s="2">
        <f>I66+I68+I70+I72</f>
        <v>96</v>
      </c>
      <c r="J93" s="2">
        <f t="shared" si="55"/>
        <v>58</v>
      </c>
      <c r="K93" s="2">
        <f t="shared" si="55"/>
        <v>108</v>
      </c>
      <c r="L93" s="2">
        <f t="shared" si="55"/>
        <v>3</v>
      </c>
      <c r="M93" s="2">
        <f t="shared" si="55"/>
        <v>106</v>
      </c>
      <c r="N93" s="2">
        <f t="shared" si="55"/>
        <v>38</v>
      </c>
      <c r="O93" s="2">
        <f>O66+O68+O70+O72</f>
        <v>165</v>
      </c>
      <c r="P93" s="4">
        <f>P66+P68+P70+P72</f>
        <v>14</v>
      </c>
      <c r="U93" s="2">
        <f t="shared" ref="U93:V93" si="56">U66+U68+U70+U72</f>
        <v>126</v>
      </c>
      <c r="V93" s="2">
        <f t="shared" si="56"/>
        <v>180</v>
      </c>
      <c r="W93" s="2">
        <f t="shared" ref="W93:Y93" si="57">W66+W68+W70+W72</f>
        <v>53</v>
      </c>
      <c r="X93" s="2">
        <f t="shared" si="57"/>
        <v>34</v>
      </c>
      <c r="Y93" s="2">
        <f t="shared" si="57"/>
        <v>271</v>
      </c>
      <c r="Z93" s="4">
        <f>Z66+Z68+Z70+Z72</f>
        <v>312</v>
      </c>
    </row>
  </sheetData>
  <phoneticPr fontId="10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058E0-3BA5-6740-BE74-082DF7085DA4}">
  <dimension ref="B3:S53"/>
  <sheetViews>
    <sheetView showGridLines="0" zoomScale="90" zoomScaleNormal="9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P54" sqref="P54"/>
    </sheetView>
  </sheetViews>
  <sheetFormatPr baseColWidth="10" defaultRowHeight="19" x14ac:dyDescent="0.25"/>
  <cols>
    <col min="1" max="1" width="3.6640625" style="2" customWidth="1"/>
    <col min="2" max="2" width="46" style="2" customWidth="1"/>
    <col min="3" max="15" width="10.83203125" style="2"/>
    <col min="16" max="16" width="10.83203125" style="4"/>
    <col min="17" max="16384" width="10.83203125" style="2"/>
  </cols>
  <sheetData>
    <row r="3" spans="2:19" x14ac:dyDescent="0.25">
      <c r="B3" s="1" t="s">
        <v>43</v>
      </c>
    </row>
    <row r="4" spans="2:19" x14ac:dyDescent="0.25">
      <c r="B4" s="36"/>
      <c r="C4" s="36"/>
      <c r="D4" s="57" t="s">
        <v>3</v>
      </c>
      <c r="E4" s="57" t="s">
        <v>4</v>
      </c>
      <c r="F4" s="57" t="s">
        <v>5</v>
      </c>
      <c r="G4" s="57" t="s">
        <v>6</v>
      </c>
      <c r="H4" s="57" t="s">
        <v>7</v>
      </c>
      <c r="I4" s="57" t="s">
        <v>8</v>
      </c>
      <c r="J4" s="57" t="s">
        <v>9</v>
      </c>
      <c r="K4" s="57" t="s">
        <v>10</v>
      </c>
      <c r="L4" s="57" t="s">
        <v>11</v>
      </c>
      <c r="M4" s="57" t="s">
        <v>12</v>
      </c>
      <c r="N4" s="57" t="s">
        <v>13</v>
      </c>
      <c r="O4" s="7" t="s">
        <v>14</v>
      </c>
      <c r="P4" s="8" t="s">
        <v>117</v>
      </c>
      <c r="Q4" s="7" t="s">
        <v>118</v>
      </c>
      <c r="R4" s="7" t="s">
        <v>119</v>
      </c>
      <c r="S4" s="7" t="s">
        <v>120</v>
      </c>
    </row>
    <row r="5" spans="2:19" x14ac:dyDescent="0.25">
      <c r="B5" s="59" t="s">
        <v>158</v>
      </c>
    </row>
    <row r="6" spans="2:19" x14ac:dyDescent="0.25">
      <c r="B6" s="1" t="s">
        <v>42</v>
      </c>
      <c r="D6" s="1">
        <v>154</v>
      </c>
      <c r="E6" s="1">
        <v>156</v>
      </c>
      <c r="F6" s="1">
        <v>157</v>
      </c>
      <c r="G6" s="1">
        <v>162</v>
      </c>
      <c r="H6" s="1">
        <v>183</v>
      </c>
      <c r="I6" s="1">
        <v>185</v>
      </c>
      <c r="J6" s="1">
        <v>178</v>
      </c>
      <c r="K6" s="1">
        <v>187</v>
      </c>
      <c r="L6" s="1">
        <v>194</v>
      </c>
      <c r="M6" s="1">
        <v>220</v>
      </c>
      <c r="N6" s="1">
        <v>216</v>
      </c>
      <c r="O6" s="1">
        <v>202</v>
      </c>
      <c r="P6" s="16">
        <v>213</v>
      </c>
    </row>
    <row r="7" spans="2:19" x14ac:dyDescent="0.25">
      <c r="B7" s="54" t="s">
        <v>170</v>
      </c>
      <c r="D7" s="11">
        <v>94</v>
      </c>
      <c r="E7" s="11">
        <v>99</v>
      </c>
      <c r="F7" s="11">
        <v>100</v>
      </c>
      <c r="G7" s="11">
        <v>102</v>
      </c>
      <c r="H7" s="11">
        <v>119</v>
      </c>
      <c r="I7" s="11">
        <v>119</v>
      </c>
      <c r="J7" s="11">
        <v>115</v>
      </c>
      <c r="K7" s="11">
        <v>115</v>
      </c>
      <c r="L7" s="11">
        <v>128</v>
      </c>
      <c r="M7" s="11">
        <v>128</v>
      </c>
      <c r="N7" s="11">
        <v>127</v>
      </c>
      <c r="O7" s="11">
        <v>125</v>
      </c>
      <c r="P7" s="17">
        <v>125</v>
      </c>
    </row>
    <row r="8" spans="2:19" x14ac:dyDescent="0.25">
      <c r="B8" s="54" t="s">
        <v>171</v>
      </c>
      <c r="D8" s="11">
        <v>33</v>
      </c>
      <c r="E8" s="11">
        <v>35</v>
      </c>
      <c r="F8" s="11">
        <v>34</v>
      </c>
      <c r="G8" s="11">
        <v>34</v>
      </c>
      <c r="H8" s="11">
        <v>37</v>
      </c>
      <c r="I8" s="11">
        <v>38</v>
      </c>
      <c r="J8" s="11">
        <v>37</v>
      </c>
      <c r="K8" s="11">
        <v>41</v>
      </c>
      <c r="L8" s="11">
        <v>40</v>
      </c>
      <c r="M8" s="11">
        <v>41</v>
      </c>
      <c r="N8" s="11">
        <v>39</v>
      </c>
      <c r="O8" s="11">
        <v>43</v>
      </c>
      <c r="P8" s="17">
        <v>43</v>
      </c>
    </row>
    <row r="9" spans="2:19" x14ac:dyDescent="0.25">
      <c r="B9" s="54" t="s">
        <v>168</v>
      </c>
      <c r="D9" s="11">
        <v>16</v>
      </c>
      <c r="E9" s="11">
        <v>17</v>
      </c>
      <c r="F9" s="11">
        <v>17</v>
      </c>
      <c r="G9" s="11">
        <v>19</v>
      </c>
      <c r="H9" s="11">
        <v>20</v>
      </c>
      <c r="I9" s="11">
        <v>22</v>
      </c>
      <c r="J9" s="11">
        <v>22</v>
      </c>
      <c r="K9" s="11">
        <v>23</v>
      </c>
      <c r="L9" s="11">
        <v>21</v>
      </c>
      <c r="M9" s="11">
        <v>49</v>
      </c>
      <c r="N9" s="11">
        <v>47</v>
      </c>
      <c r="O9" s="11">
        <v>30</v>
      </c>
      <c r="P9" s="17">
        <v>30</v>
      </c>
    </row>
    <row r="10" spans="2:19" x14ac:dyDescent="0.25">
      <c r="B10" s="55" t="s">
        <v>159</v>
      </c>
      <c r="C10" s="36"/>
      <c r="D10" s="53">
        <v>10</v>
      </c>
      <c r="E10" s="53">
        <v>5</v>
      </c>
      <c r="F10" s="53">
        <v>6</v>
      </c>
      <c r="G10" s="53">
        <v>8</v>
      </c>
      <c r="H10" s="53">
        <v>7</v>
      </c>
      <c r="I10" s="53">
        <v>7</v>
      </c>
      <c r="J10" s="53">
        <v>4</v>
      </c>
      <c r="K10" s="53">
        <v>8</v>
      </c>
      <c r="L10" s="53">
        <v>6</v>
      </c>
      <c r="M10" s="53">
        <v>2</v>
      </c>
      <c r="N10" s="53">
        <v>2</v>
      </c>
      <c r="O10" s="53">
        <v>4</v>
      </c>
      <c r="P10" s="62">
        <v>4</v>
      </c>
      <c r="Q10" s="36"/>
      <c r="R10" s="36"/>
      <c r="S10" s="36"/>
    </row>
    <row r="11" spans="2:19" x14ac:dyDescent="0.25">
      <c r="B11" s="60" t="s">
        <v>135</v>
      </c>
      <c r="D11" s="1">
        <v>20</v>
      </c>
      <c r="E11" s="1">
        <v>25</v>
      </c>
      <c r="F11" s="1">
        <v>24</v>
      </c>
      <c r="G11" s="1">
        <v>25</v>
      </c>
      <c r="H11" s="1">
        <v>28</v>
      </c>
      <c r="I11" s="1">
        <v>30</v>
      </c>
      <c r="J11" s="1">
        <v>24</v>
      </c>
      <c r="K11" s="1">
        <v>24</v>
      </c>
      <c r="L11" s="1">
        <v>28</v>
      </c>
      <c r="M11" s="1">
        <v>32</v>
      </c>
      <c r="N11" s="1">
        <v>26</v>
      </c>
      <c r="O11" s="1">
        <v>24</v>
      </c>
      <c r="P11" s="16">
        <v>32</v>
      </c>
    </row>
    <row r="12" spans="2:19" x14ac:dyDescent="0.25">
      <c r="B12" s="55" t="s">
        <v>160</v>
      </c>
      <c r="C12" s="36"/>
      <c r="D12" s="58">
        <v>0.13</v>
      </c>
      <c r="E12" s="58">
        <v>0.16</v>
      </c>
      <c r="F12" s="58">
        <v>0.15</v>
      </c>
      <c r="G12" s="58">
        <v>0.15</v>
      </c>
      <c r="H12" s="58">
        <v>0.15</v>
      </c>
      <c r="I12" s="58">
        <v>0.16</v>
      </c>
      <c r="J12" s="58">
        <v>0.13</v>
      </c>
      <c r="K12" s="58">
        <v>0.13</v>
      </c>
      <c r="L12" s="58">
        <v>0.14000000000000001</v>
      </c>
      <c r="M12" s="58">
        <v>0.15</v>
      </c>
      <c r="N12" s="58">
        <v>0.12</v>
      </c>
      <c r="O12" s="58">
        <v>0.12</v>
      </c>
      <c r="P12" s="63">
        <v>0.15</v>
      </c>
      <c r="Q12" s="36"/>
      <c r="R12" s="36"/>
      <c r="S12" s="36"/>
    </row>
    <row r="13" spans="2:19" x14ac:dyDescent="0.25">
      <c r="B13" s="60" t="s">
        <v>161</v>
      </c>
      <c r="D13" s="1">
        <v>14</v>
      </c>
      <c r="E13" s="1">
        <v>19</v>
      </c>
      <c r="F13" s="1">
        <v>18</v>
      </c>
      <c r="G13" s="1">
        <v>6</v>
      </c>
      <c r="H13" s="1">
        <v>21</v>
      </c>
      <c r="I13" s="1">
        <v>23</v>
      </c>
      <c r="J13" s="1">
        <v>17</v>
      </c>
      <c r="K13" s="1">
        <v>16</v>
      </c>
      <c r="L13" s="1">
        <v>21</v>
      </c>
      <c r="M13" s="1">
        <v>25</v>
      </c>
      <c r="N13" s="1">
        <v>18</v>
      </c>
      <c r="O13" s="1">
        <v>6</v>
      </c>
      <c r="P13" s="16">
        <v>25</v>
      </c>
    </row>
    <row r="14" spans="2:19" x14ac:dyDescent="0.25">
      <c r="B14" s="54" t="s">
        <v>30</v>
      </c>
      <c r="D14" s="37">
        <v>0.09</v>
      </c>
      <c r="E14" s="37">
        <v>0.12</v>
      </c>
      <c r="F14" s="37">
        <v>0.12</v>
      </c>
      <c r="G14" s="37">
        <v>0.04</v>
      </c>
      <c r="H14" s="37">
        <v>0.12</v>
      </c>
      <c r="I14" s="37">
        <v>0.12</v>
      </c>
      <c r="J14" s="37">
        <v>0.09</v>
      </c>
      <c r="K14" s="58">
        <v>0.09</v>
      </c>
      <c r="L14" s="37">
        <v>0.11</v>
      </c>
      <c r="M14" s="37">
        <v>0.11</v>
      </c>
      <c r="N14" s="37">
        <v>0.09</v>
      </c>
      <c r="O14" s="58">
        <v>0.03</v>
      </c>
      <c r="P14" s="63">
        <v>0.12</v>
      </c>
      <c r="Q14" s="36"/>
      <c r="R14" s="36"/>
      <c r="S14" s="36"/>
    </row>
    <row r="15" spans="2:19" x14ac:dyDescent="0.25">
      <c r="B15" s="52" t="s">
        <v>162</v>
      </c>
      <c r="C15" s="52"/>
      <c r="D15" s="52">
        <v>1</v>
      </c>
      <c r="E15" s="52">
        <v>2</v>
      </c>
      <c r="F15" s="52">
        <v>2</v>
      </c>
      <c r="G15" s="52">
        <v>1</v>
      </c>
      <c r="H15" s="52">
        <v>1</v>
      </c>
      <c r="I15" s="52">
        <v>1</v>
      </c>
      <c r="J15" s="52">
        <v>2</v>
      </c>
      <c r="K15" s="2">
        <v>2</v>
      </c>
      <c r="L15" s="52">
        <v>0</v>
      </c>
      <c r="M15" s="52">
        <v>1</v>
      </c>
      <c r="N15" s="52">
        <v>2</v>
      </c>
      <c r="O15" s="2">
        <v>-1</v>
      </c>
      <c r="P15" s="4">
        <v>1</v>
      </c>
    </row>
    <row r="16" spans="2:19" x14ac:dyDescent="0.25">
      <c r="B16" s="2" t="s">
        <v>167</v>
      </c>
      <c r="D16" s="2">
        <v>4</v>
      </c>
      <c r="E16" s="2">
        <v>-23</v>
      </c>
      <c r="F16" s="2">
        <v>-23</v>
      </c>
      <c r="G16" s="2">
        <v>22</v>
      </c>
      <c r="H16" s="2">
        <v>-9</v>
      </c>
      <c r="I16" s="2">
        <v>0</v>
      </c>
      <c r="J16" s="2">
        <v>-6</v>
      </c>
      <c r="K16" s="2">
        <v>-4</v>
      </c>
      <c r="L16" s="2">
        <v>-10</v>
      </c>
      <c r="M16" s="2">
        <v>-4</v>
      </c>
      <c r="N16" s="2">
        <v>3</v>
      </c>
      <c r="O16" s="2">
        <v>-26</v>
      </c>
      <c r="P16" s="4">
        <v>18</v>
      </c>
    </row>
    <row r="17" spans="2:19" x14ac:dyDescent="0.25">
      <c r="B17" s="36" t="s">
        <v>163</v>
      </c>
      <c r="C17" s="36"/>
      <c r="D17" s="36">
        <v>-4</v>
      </c>
      <c r="E17" s="36">
        <v>0</v>
      </c>
      <c r="F17" s="36">
        <v>1</v>
      </c>
      <c r="G17" s="36">
        <v>-12</v>
      </c>
      <c r="H17" s="36">
        <v>-3</v>
      </c>
      <c r="I17" s="36">
        <v>-5</v>
      </c>
      <c r="J17" s="36">
        <v>-3</v>
      </c>
      <c r="K17" s="36">
        <v>-9</v>
      </c>
      <c r="L17" s="36">
        <v>-2</v>
      </c>
      <c r="M17" s="36">
        <v>-5</v>
      </c>
      <c r="N17" s="36">
        <v>-5</v>
      </c>
      <c r="O17" s="36">
        <v>1</v>
      </c>
      <c r="P17" s="65">
        <v>-10</v>
      </c>
      <c r="Q17" s="36"/>
      <c r="R17" s="36"/>
      <c r="S17" s="36"/>
    </row>
    <row r="18" spans="2:19" x14ac:dyDescent="0.25">
      <c r="B18" s="1" t="s">
        <v>164</v>
      </c>
      <c r="D18" s="1">
        <v>15</v>
      </c>
      <c r="E18" s="1">
        <v>-1</v>
      </c>
      <c r="F18" s="1">
        <v>-2</v>
      </c>
      <c r="G18" s="1">
        <v>17</v>
      </c>
      <c r="H18" s="1">
        <v>11</v>
      </c>
      <c r="I18" s="1">
        <v>19</v>
      </c>
      <c r="J18" s="1">
        <v>10</v>
      </c>
      <c r="K18" s="1">
        <v>5</v>
      </c>
      <c r="L18" s="1">
        <v>8</v>
      </c>
      <c r="M18" s="1">
        <v>17</v>
      </c>
      <c r="N18" s="1">
        <v>19</v>
      </c>
      <c r="O18" s="1">
        <v>-21</v>
      </c>
      <c r="P18" s="16">
        <v>35</v>
      </c>
    </row>
    <row r="19" spans="2:19" x14ac:dyDescent="0.25">
      <c r="B19" s="54" t="s">
        <v>165</v>
      </c>
      <c r="D19" s="37">
        <v>0.09</v>
      </c>
      <c r="E19" s="37">
        <v>-0.01</v>
      </c>
      <c r="F19" s="37">
        <v>-0.01</v>
      </c>
      <c r="G19" s="37">
        <v>0.1</v>
      </c>
      <c r="H19" s="37">
        <v>0.06</v>
      </c>
      <c r="I19" s="37">
        <v>0.1</v>
      </c>
      <c r="J19" s="37">
        <v>0.06</v>
      </c>
      <c r="K19" s="37">
        <v>0.03</v>
      </c>
      <c r="L19" s="37">
        <v>0.04</v>
      </c>
      <c r="M19" s="37">
        <v>0.08</v>
      </c>
      <c r="N19" s="37">
        <v>0.09</v>
      </c>
      <c r="O19" s="37">
        <v>-0.1</v>
      </c>
      <c r="P19" s="64">
        <v>0.16</v>
      </c>
    </row>
    <row r="21" spans="2:19" x14ac:dyDescent="0.25">
      <c r="B21" s="59" t="s">
        <v>166</v>
      </c>
    </row>
    <row r="22" spans="2:19" x14ac:dyDescent="0.25">
      <c r="B22" s="1" t="s">
        <v>42</v>
      </c>
      <c r="D22" s="1">
        <v>93</v>
      </c>
      <c r="E22" s="1">
        <v>81</v>
      </c>
      <c r="F22" s="1">
        <v>76</v>
      </c>
      <c r="G22" s="1">
        <v>83</v>
      </c>
      <c r="H22" s="1">
        <v>75</v>
      </c>
      <c r="I22" s="1">
        <v>74</v>
      </c>
      <c r="J22" s="1">
        <v>74</v>
      </c>
      <c r="K22" s="1">
        <v>68</v>
      </c>
      <c r="L22" s="1">
        <v>69</v>
      </c>
      <c r="M22" s="1">
        <v>80</v>
      </c>
      <c r="N22" s="1">
        <v>78</v>
      </c>
      <c r="O22" s="1">
        <v>75</v>
      </c>
      <c r="P22" s="4">
        <v>82</v>
      </c>
    </row>
    <row r="23" spans="2:19" x14ac:dyDescent="0.25">
      <c r="B23" s="54" t="s">
        <v>172</v>
      </c>
      <c r="D23" s="11">
        <v>84</v>
      </c>
      <c r="E23" s="11">
        <v>70</v>
      </c>
      <c r="F23" s="11">
        <v>64</v>
      </c>
      <c r="G23" s="11">
        <v>74</v>
      </c>
      <c r="H23" s="11">
        <v>69</v>
      </c>
      <c r="I23" s="11">
        <v>73</v>
      </c>
      <c r="J23" s="11">
        <v>74</v>
      </c>
      <c r="K23" s="2">
        <v>67</v>
      </c>
      <c r="L23" s="11">
        <v>68</v>
      </c>
      <c r="M23" s="11">
        <v>79</v>
      </c>
      <c r="N23" s="11">
        <v>78</v>
      </c>
      <c r="O23" s="11">
        <v>75</v>
      </c>
      <c r="P23" s="17">
        <v>81</v>
      </c>
    </row>
    <row r="24" spans="2:19" x14ac:dyDescent="0.25">
      <c r="B24" s="55" t="s">
        <v>159</v>
      </c>
      <c r="C24" s="36"/>
      <c r="D24" s="53">
        <v>9</v>
      </c>
      <c r="E24" s="53">
        <v>11</v>
      </c>
      <c r="F24" s="53">
        <v>11</v>
      </c>
      <c r="G24" s="53">
        <v>10</v>
      </c>
      <c r="H24" s="53">
        <v>5</v>
      </c>
      <c r="I24" s="53">
        <v>1</v>
      </c>
      <c r="J24" s="53">
        <v>0</v>
      </c>
      <c r="K24" s="36">
        <v>1</v>
      </c>
      <c r="L24" s="53">
        <v>1</v>
      </c>
      <c r="M24" s="53">
        <v>1</v>
      </c>
      <c r="N24" s="53">
        <v>0</v>
      </c>
      <c r="O24" s="53">
        <v>0</v>
      </c>
      <c r="P24" s="62">
        <v>1</v>
      </c>
      <c r="Q24" s="36"/>
      <c r="R24" s="36"/>
      <c r="S24" s="36"/>
    </row>
    <row r="25" spans="2:19" x14ac:dyDescent="0.25">
      <c r="B25" s="60" t="s">
        <v>135</v>
      </c>
      <c r="D25" s="1">
        <v>31</v>
      </c>
      <c r="E25" s="1">
        <v>15</v>
      </c>
      <c r="F25" s="1">
        <v>13</v>
      </c>
      <c r="G25" s="1">
        <v>15</v>
      </c>
      <c r="H25" s="1">
        <v>12</v>
      </c>
      <c r="I25" s="1">
        <v>11</v>
      </c>
      <c r="J25" s="1">
        <v>14</v>
      </c>
      <c r="K25" s="1">
        <v>13</v>
      </c>
      <c r="L25" s="1">
        <v>12</v>
      </c>
      <c r="M25" s="1">
        <v>17</v>
      </c>
      <c r="N25" s="1">
        <v>15</v>
      </c>
      <c r="O25" s="1">
        <v>16</v>
      </c>
      <c r="P25" s="16">
        <v>15</v>
      </c>
    </row>
    <row r="26" spans="2:19" x14ac:dyDescent="0.25">
      <c r="B26" s="55" t="s">
        <v>160</v>
      </c>
      <c r="C26" s="36"/>
      <c r="D26" s="58">
        <v>0.34</v>
      </c>
      <c r="E26" s="58">
        <v>0.18</v>
      </c>
      <c r="F26" s="58">
        <v>0.17</v>
      </c>
      <c r="G26" s="58">
        <v>0.18</v>
      </c>
      <c r="H26" s="58">
        <v>0.16</v>
      </c>
      <c r="I26" s="58">
        <v>0.15</v>
      </c>
      <c r="J26" s="58">
        <v>0.19</v>
      </c>
      <c r="K26" s="58">
        <v>0.19</v>
      </c>
      <c r="L26" s="58">
        <v>0.17</v>
      </c>
      <c r="M26" s="58">
        <v>0.21</v>
      </c>
      <c r="N26" s="58">
        <v>0.19</v>
      </c>
      <c r="O26" s="58">
        <v>0.21</v>
      </c>
      <c r="P26" s="63">
        <v>0.19</v>
      </c>
      <c r="Q26" s="36"/>
      <c r="R26" s="36"/>
      <c r="S26" s="36"/>
    </row>
    <row r="27" spans="2:19" x14ac:dyDescent="0.25">
      <c r="B27" s="60" t="s">
        <v>161</v>
      </c>
      <c r="D27" s="1">
        <v>22</v>
      </c>
      <c r="E27" s="1">
        <v>10</v>
      </c>
      <c r="F27" s="1">
        <v>7</v>
      </c>
      <c r="G27" s="1">
        <v>8</v>
      </c>
      <c r="H27" s="1">
        <v>6</v>
      </c>
      <c r="I27" s="1">
        <v>5</v>
      </c>
      <c r="J27" s="1">
        <v>7</v>
      </c>
      <c r="K27" s="1">
        <v>5</v>
      </c>
      <c r="L27" s="1">
        <v>4</v>
      </c>
      <c r="M27" s="1">
        <v>9</v>
      </c>
      <c r="N27" s="1">
        <v>7</v>
      </c>
      <c r="O27" s="1">
        <v>9</v>
      </c>
      <c r="P27" s="16">
        <v>9</v>
      </c>
    </row>
    <row r="28" spans="2:19" x14ac:dyDescent="0.25">
      <c r="B28" s="54" t="s">
        <v>30</v>
      </c>
      <c r="D28" s="37">
        <v>0.24</v>
      </c>
      <c r="E28" s="37">
        <v>0.12</v>
      </c>
      <c r="F28" s="37">
        <v>0.09</v>
      </c>
      <c r="G28" s="37">
        <v>0.1</v>
      </c>
      <c r="H28" s="37">
        <v>0.08</v>
      </c>
      <c r="I28" s="37">
        <v>0.06</v>
      </c>
      <c r="J28" s="37">
        <v>0.1</v>
      </c>
      <c r="K28" s="58">
        <v>7.0000000000000007E-2</v>
      </c>
      <c r="L28" s="37">
        <v>0.06</v>
      </c>
      <c r="M28" s="37">
        <v>0.11</v>
      </c>
      <c r="N28" s="37">
        <v>0.09</v>
      </c>
      <c r="O28" s="58">
        <v>0.11</v>
      </c>
      <c r="P28" s="63">
        <v>0.11</v>
      </c>
      <c r="Q28" s="36"/>
      <c r="R28" s="36"/>
      <c r="S28" s="36"/>
    </row>
    <row r="29" spans="2:19" x14ac:dyDescent="0.25">
      <c r="B29" s="52" t="s">
        <v>162</v>
      </c>
      <c r="C29" s="52"/>
      <c r="D29" s="52">
        <v>2</v>
      </c>
      <c r="E29" s="52">
        <v>3</v>
      </c>
      <c r="F29" s="52">
        <v>3</v>
      </c>
      <c r="G29" s="52">
        <v>1</v>
      </c>
      <c r="H29" s="52">
        <v>2</v>
      </c>
      <c r="I29" s="52">
        <v>1</v>
      </c>
      <c r="J29" s="52">
        <v>4</v>
      </c>
      <c r="K29" s="2">
        <v>3</v>
      </c>
      <c r="L29" s="52">
        <v>3</v>
      </c>
      <c r="M29" s="52">
        <v>3</v>
      </c>
      <c r="N29" s="52">
        <v>1</v>
      </c>
      <c r="O29" s="2">
        <v>-1</v>
      </c>
      <c r="P29" s="4">
        <v>4</v>
      </c>
    </row>
    <row r="30" spans="2:19" x14ac:dyDescent="0.25">
      <c r="B30" s="54" t="s">
        <v>172</v>
      </c>
      <c r="E30" s="11"/>
      <c r="F30" s="11">
        <v>2</v>
      </c>
      <c r="G30" s="11"/>
      <c r="H30" s="11"/>
      <c r="I30" s="11">
        <v>1</v>
      </c>
      <c r="J30" s="11">
        <v>1</v>
      </c>
      <c r="K30" s="11">
        <v>1</v>
      </c>
      <c r="L30" s="11">
        <v>2</v>
      </c>
      <c r="M30" s="11">
        <v>3</v>
      </c>
      <c r="N30" s="11">
        <v>2</v>
      </c>
      <c r="O30" s="11">
        <v>0</v>
      </c>
      <c r="P30" s="17">
        <v>2</v>
      </c>
    </row>
    <row r="31" spans="2:19" x14ac:dyDescent="0.25">
      <c r="B31" s="54" t="s">
        <v>159</v>
      </c>
      <c r="E31" s="11"/>
      <c r="F31" s="11">
        <v>1</v>
      </c>
      <c r="G31" s="11"/>
      <c r="H31" s="11"/>
      <c r="I31" s="11">
        <v>0</v>
      </c>
      <c r="J31" s="11">
        <v>2</v>
      </c>
      <c r="K31" s="11">
        <v>2</v>
      </c>
      <c r="L31" s="11">
        <v>1</v>
      </c>
      <c r="M31" s="11">
        <v>0</v>
      </c>
      <c r="N31" s="11">
        <v>-1</v>
      </c>
      <c r="O31" s="11">
        <v>-1</v>
      </c>
      <c r="P31" s="17">
        <v>2</v>
      </c>
    </row>
    <row r="32" spans="2:19" x14ac:dyDescent="0.25">
      <c r="B32" s="2" t="s">
        <v>167</v>
      </c>
      <c r="D32" s="2">
        <v>-4</v>
      </c>
      <c r="E32" s="2">
        <v>-3</v>
      </c>
      <c r="F32" s="2">
        <v>-4</v>
      </c>
      <c r="G32" s="2">
        <v>-6</v>
      </c>
      <c r="H32" s="2">
        <v>-4</v>
      </c>
      <c r="I32" s="2">
        <v>-4</v>
      </c>
      <c r="J32" s="2">
        <v>-2</v>
      </c>
      <c r="K32" s="2">
        <v>-9</v>
      </c>
      <c r="L32" s="2">
        <v>0</v>
      </c>
      <c r="M32" s="2">
        <v>1</v>
      </c>
      <c r="N32" s="2">
        <v>-8</v>
      </c>
      <c r="O32" s="2">
        <v>1</v>
      </c>
      <c r="P32" s="4">
        <v>-12</v>
      </c>
    </row>
    <row r="33" spans="2:19" x14ac:dyDescent="0.25">
      <c r="B33" s="36" t="s">
        <v>163</v>
      </c>
      <c r="C33" s="36"/>
      <c r="D33" s="36">
        <v>1</v>
      </c>
      <c r="E33" s="36">
        <v>0</v>
      </c>
      <c r="F33" s="36">
        <v>0</v>
      </c>
      <c r="G33" s="36">
        <v>-3</v>
      </c>
      <c r="H33" s="36">
        <v>0</v>
      </c>
      <c r="I33" s="36">
        <v>0</v>
      </c>
      <c r="J33" s="36">
        <v>-1</v>
      </c>
      <c r="K33" s="36">
        <v>-1</v>
      </c>
      <c r="L33" s="36">
        <v>0</v>
      </c>
      <c r="M33" s="36">
        <v>1</v>
      </c>
      <c r="N33" s="36">
        <v>-1</v>
      </c>
      <c r="O33" s="36">
        <v>-2</v>
      </c>
      <c r="P33" s="65">
        <v>0</v>
      </c>
      <c r="Q33" s="36"/>
      <c r="R33" s="36"/>
      <c r="S33" s="36"/>
    </row>
    <row r="34" spans="2:19" x14ac:dyDescent="0.25">
      <c r="B34" s="1" t="s">
        <v>164</v>
      </c>
      <c r="D34" s="1">
        <v>21</v>
      </c>
      <c r="E34" s="1">
        <v>9</v>
      </c>
      <c r="F34" s="1">
        <v>6</v>
      </c>
      <c r="G34" s="1">
        <v>2</v>
      </c>
      <c r="H34" s="1">
        <v>3</v>
      </c>
      <c r="I34" s="1">
        <v>2</v>
      </c>
      <c r="J34" s="1">
        <v>8</v>
      </c>
      <c r="K34" s="1">
        <v>-1</v>
      </c>
      <c r="L34" s="1">
        <v>7</v>
      </c>
      <c r="M34" s="1">
        <v>14</v>
      </c>
      <c r="N34" s="1">
        <v>-2</v>
      </c>
      <c r="O34" s="1">
        <v>7</v>
      </c>
      <c r="P34" s="16">
        <v>1</v>
      </c>
    </row>
    <row r="35" spans="2:19" x14ac:dyDescent="0.25">
      <c r="B35" s="54" t="s">
        <v>165</v>
      </c>
      <c r="D35" s="37">
        <v>0.23</v>
      </c>
      <c r="E35" s="37">
        <v>0.11</v>
      </c>
      <c r="F35" s="37">
        <v>0.08</v>
      </c>
      <c r="G35" s="37">
        <v>0.02</v>
      </c>
      <c r="H35" s="37">
        <v>0.04</v>
      </c>
      <c r="I35" s="37">
        <v>0.03</v>
      </c>
      <c r="J35" s="37">
        <v>0.11</v>
      </c>
      <c r="K35" s="24">
        <v>-0.01</v>
      </c>
      <c r="L35" s="37">
        <v>0.1</v>
      </c>
      <c r="M35" s="37">
        <v>0.18</v>
      </c>
      <c r="N35" s="37">
        <v>-0.02</v>
      </c>
      <c r="O35" s="37">
        <v>0.1</v>
      </c>
      <c r="P35" s="64">
        <v>0.02</v>
      </c>
    </row>
    <row r="37" spans="2:19" x14ac:dyDescent="0.25">
      <c r="B37" s="59" t="s">
        <v>174</v>
      </c>
    </row>
    <row r="38" spans="2:19" x14ac:dyDescent="0.25">
      <c r="B38" s="1" t="s">
        <v>42</v>
      </c>
      <c r="D38" s="1">
        <v>-2</v>
      </c>
      <c r="E38" s="1">
        <v>4</v>
      </c>
      <c r="F38" s="1">
        <v>4</v>
      </c>
      <c r="G38" s="1">
        <v>4</v>
      </c>
      <c r="H38" s="1">
        <v>5</v>
      </c>
      <c r="I38" s="1">
        <v>3</v>
      </c>
      <c r="J38" s="1">
        <v>4</v>
      </c>
      <c r="K38" s="1">
        <v>3</v>
      </c>
      <c r="L38" s="1">
        <v>5</v>
      </c>
      <c r="M38" s="1">
        <v>4</v>
      </c>
      <c r="N38" s="1">
        <v>4</v>
      </c>
      <c r="O38" s="1">
        <v>4</v>
      </c>
      <c r="P38" s="16">
        <v>4</v>
      </c>
    </row>
    <row r="39" spans="2:19" x14ac:dyDescent="0.25">
      <c r="B39" s="54" t="s">
        <v>175</v>
      </c>
      <c r="D39" s="11">
        <v>4</v>
      </c>
      <c r="E39" s="11">
        <v>5</v>
      </c>
      <c r="F39" s="11">
        <v>4</v>
      </c>
      <c r="G39" s="11">
        <v>4</v>
      </c>
      <c r="H39" s="11">
        <v>5</v>
      </c>
      <c r="I39" s="11">
        <v>3</v>
      </c>
      <c r="J39" s="11">
        <v>4</v>
      </c>
      <c r="K39" s="11">
        <v>3</v>
      </c>
      <c r="L39" s="11">
        <v>5</v>
      </c>
      <c r="M39" s="11">
        <v>4</v>
      </c>
      <c r="N39" s="11">
        <v>4</v>
      </c>
      <c r="O39" s="11">
        <v>4</v>
      </c>
      <c r="P39" s="17">
        <v>4</v>
      </c>
    </row>
    <row r="40" spans="2:19" x14ac:dyDescent="0.25">
      <c r="B40" s="55" t="s">
        <v>176</v>
      </c>
      <c r="C40" s="36"/>
      <c r="D40" s="53">
        <v>-7</v>
      </c>
      <c r="E40" s="53">
        <v>-1</v>
      </c>
      <c r="F40" s="53">
        <v>0</v>
      </c>
      <c r="G40" s="53">
        <v>0</v>
      </c>
      <c r="H40" s="53">
        <v>0</v>
      </c>
      <c r="I40" s="53">
        <v>0</v>
      </c>
      <c r="J40" s="53">
        <v>0</v>
      </c>
      <c r="K40" s="53">
        <v>0</v>
      </c>
      <c r="L40" s="53">
        <v>0</v>
      </c>
      <c r="M40" s="53">
        <v>0</v>
      </c>
      <c r="N40" s="53">
        <v>0</v>
      </c>
      <c r="O40" s="53">
        <v>0</v>
      </c>
      <c r="P40" s="62">
        <v>0</v>
      </c>
      <c r="Q40" s="36"/>
      <c r="R40" s="36"/>
      <c r="S40" s="36"/>
    </row>
    <row r="41" spans="2:19" x14ac:dyDescent="0.25">
      <c r="B41" s="60" t="s">
        <v>135</v>
      </c>
      <c r="D41" s="1">
        <v>-8</v>
      </c>
      <c r="E41" s="1">
        <v>-1</v>
      </c>
      <c r="F41" s="1">
        <v>-1</v>
      </c>
      <c r="G41" s="1">
        <v>-6</v>
      </c>
      <c r="H41" s="1">
        <v>0</v>
      </c>
      <c r="I41" s="1">
        <v>-2</v>
      </c>
      <c r="J41" s="1">
        <v>-2</v>
      </c>
      <c r="K41" s="1">
        <v>-3</v>
      </c>
      <c r="L41" s="1">
        <v>-1</v>
      </c>
      <c r="M41" s="1">
        <v>-2</v>
      </c>
      <c r="N41" s="1">
        <v>-2</v>
      </c>
      <c r="O41" s="1">
        <v>-3</v>
      </c>
      <c r="P41" s="16">
        <v>-1</v>
      </c>
    </row>
    <row r="42" spans="2:19" x14ac:dyDescent="0.25">
      <c r="B42" s="60" t="s">
        <v>161</v>
      </c>
      <c r="D42" s="1">
        <v>-9</v>
      </c>
      <c r="E42" s="1">
        <v>-2</v>
      </c>
      <c r="F42" s="1">
        <v>-2</v>
      </c>
      <c r="G42" s="1">
        <v>-7</v>
      </c>
      <c r="H42" s="1">
        <v>-1</v>
      </c>
      <c r="I42" s="1">
        <v>-3</v>
      </c>
      <c r="J42" s="1">
        <v>-3</v>
      </c>
      <c r="K42" s="56">
        <v>-4</v>
      </c>
      <c r="L42" s="1">
        <v>-2</v>
      </c>
      <c r="M42" s="1">
        <v>-4</v>
      </c>
      <c r="N42" s="1">
        <v>-3</v>
      </c>
      <c r="O42" s="56">
        <v>-4</v>
      </c>
      <c r="P42" s="68">
        <v>-2</v>
      </c>
      <c r="Q42" s="36"/>
      <c r="R42" s="36"/>
      <c r="S42" s="36"/>
    </row>
    <row r="43" spans="2:19" x14ac:dyDescent="0.25">
      <c r="B43" s="61" t="s">
        <v>162</v>
      </c>
      <c r="C43" s="61"/>
      <c r="D43" s="61">
        <v>61</v>
      </c>
      <c r="E43" s="61">
        <v>41</v>
      </c>
      <c r="F43" s="61">
        <v>100</v>
      </c>
      <c r="G43" s="61">
        <v>98</v>
      </c>
      <c r="H43" s="61">
        <v>56</v>
      </c>
      <c r="I43" s="61">
        <v>139</v>
      </c>
      <c r="J43" s="61">
        <v>132</v>
      </c>
      <c r="K43" s="1">
        <v>63</v>
      </c>
      <c r="L43" s="61">
        <v>88</v>
      </c>
      <c r="M43" s="61">
        <v>142</v>
      </c>
      <c r="N43" s="61">
        <v>115</v>
      </c>
      <c r="O43" s="1">
        <v>117</v>
      </c>
      <c r="P43" s="16">
        <v>116</v>
      </c>
    </row>
    <row r="44" spans="2:19" x14ac:dyDescent="0.25">
      <c r="B44" s="54" t="s">
        <v>177</v>
      </c>
      <c r="D44" s="11">
        <v>61</v>
      </c>
      <c r="E44" s="11">
        <v>41</v>
      </c>
      <c r="F44" s="11">
        <v>81</v>
      </c>
      <c r="G44" s="11">
        <v>98</v>
      </c>
      <c r="H44" s="11">
        <v>56</v>
      </c>
      <c r="I44" s="11">
        <v>114</v>
      </c>
      <c r="J44" s="11">
        <v>113</v>
      </c>
      <c r="K44" s="11">
        <v>42</v>
      </c>
      <c r="L44" s="11">
        <v>63</v>
      </c>
      <c r="M44" s="11">
        <v>118</v>
      </c>
      <c r="N44" s="11">
        <v>91</v>
      </c>
      <c r="O44" s="11">
        <v>100</v>
      </c>
      <c r="P44" s="17">
        <v>86</v>
      </c>
    </row>
    <row r="45" spans="2:19" x14ac:dyDescent="0.25">
      <c r="B45" s="54" t="s">
        <v>178</v>
      </c>
      <c r="D45" s="11">
        <v>0</v>
      </c>
      <c r="E45" s="11">
        <v>0</v>
      </c>
      <c r="F45" s="11">
        <v>19</v>
      </c>
      <c r="G45" s="11">
        <v>0</v>
      </c>
      <c r="H45" s="11">
        <v>0</v>
      </c>
      <c r="I45" s="11">
        <v>25</v>
      </c>
      <c r="J45" s="11">
        <v>20</v>
      </c>
      <c r="K45" s="11">
        <v>21</v>
      </c>
      <c r="L45" s="11">
        <v>25</v>
      </c>
      <c r="M45" s="11">
        <v>24</v>
      </c>
      <c r="N45" s="11">
        <v>23</v>
      </c>
      <c r="O45" s="11">
        <v>18</v>
      </c>
      <c r="P45" s="17">
        <v>30</v>
      </c>
    </row>
    <row r="46" spans="2:19" x14ac:dyDescent="0.25">
      <c r="B46" s="55" t="s">
        <v>179</v>
      </c>
      <c r="C46" s="36"/>
      <c r="D46" s="53">
        <v>0</v>
      </c>
      <c r="E46" s="53">
        <v>0</v>
      </c>
      <c r="F46" s="53">
        <v>0</v>
      </c>
      <c r="G46" s="53">
        <v>0</v>
      </c>
      <c r="H46" s="53">
        <v>0</v>
      </c>
      <c r="I46" s="53">
        <v>0</v>
      </c>
      <c r="J46" s="53">
        <v>0</v>
      </c>
      <c r="K46" s="53">
        <v>0</v>
      </c>
      <c r="L46" s="53">
        <v>0</v>
      </c>
      <c r="M46" s="53">
        <v>0</v>
      </c>
      <c r="N46" s="53">
        <v>0</v>
      </c>
      <c r="O46" s="53">
        <v>0</v>
      </c>
      <c r="P46" s="62">
        <v>0</v>
      </c>
      <c r="Q46" s="36"/>
      <c r="R46" s="36"/>
      <c r="S46" s="36"/>
    </row>
    <row r="47" spans="2:19" x14ac:dyDescent="0.25">
      <c r="B47" s="60" t="s">
        <v>61</v>
      </c>
      <c r="D47" s="1">
        <v>70</v>
      </c>
      <c r="E47" s="1">
        <v>-92</v>
      </c>
      <c r="F47" s="1">
        <v>-3</v>
      </c>
      <c r="G47" s="1">
        <v>76</v>
      </c>
      <c r="H47" s="1">
        <v>-35</v>
      </c>
      <c r="I47" s="1">
        <v>-1</v>
      </c>
      <c r="J47" s="1">
        <v>1</v>
      </c>
      <c r="K47" s="1">
        <v>5</v>
      </c>
      <c r="L47" s="1">
        <v>2</v>
      </c>
      <c r="M47" s="1">
        <v>4</v>
      </c>
      <c r="N47" s="1">
        <v>5</v>
      </c>
      <c r="O47" s="1">
        <v>-1</v>
      </c>
      <c r="P47" s="16">
        <v>-1</v>
      </c>
    </row>
    <row r="48" spans="2:19" x14ac:dyDescent="0.25">
      <c r="B48" s="1" t="s">
        <v>180</v>
      </c>
      <c r="D48" s="1">
        <v>4</v>
      </c>
      <c r="E48" s="1">
        <v>1</v>
      </c>
      <c r="F48" s="1">
        <v>-3</v>
      </c>
      <c r="G48" s="1">
        <v>11</v>
      </c>
      <c r="H48" s="1">
        <v>37</v>
      </c>
      <c r="I48" s="1">
        <v>2</v>
      </c>
      <c r="J48" s="1">
        <v>26</v>
      </c>
      <c r="K48" s="1">
        <v>19</v>
      </c>
      <c r="L48" s="1">
        <v>10</v>
      </c>
      <c r="M48" s="1">
        <v>3</v>
      </c>
      <c r="N48" s="1">
        <v>4</v>
      </c>
      <c r="O48" s="1">
        <v>11</v>
      </c>
      <c r="P48" s="16">
        <v>-9</v>
      </c>
    </row>
    <row r="49" spans="2:19" x14ac:dyDescent="0.25">
      <c r="B49" s="54" t="s">
        <v>181</v>
      </c>
      <c r="D49" s="11">
        <v>-8</v>
      </c>
      <c r="E49" s="11">
        <v>-2</v>
      </c>
      <c r="F49" s="11">
        <v>-5</v>
      </c>
      <c r="G49" s="11">
        <v>12</v>
      </c>
      <c r="H49" s="11">
        <v>7</v>
      </c>
      <c r="I49" s="11">
        <v>3</v>
      </c>
      <c r="J49" s="11">
        <v>0</v>
      </c>
      <c r="K49" s="11">
        <v>6</v>
      </c>
      <c r="L49" s="11">
        <v>7</v>
      </c>
      <c r="M49" s="11">
        <v>6</v>
      </c>
      <c r="N49" s="11">
        <v>3</v>
      </c>
      <c r="O49" s="11">
        <v>-5</v>
      </c>
      <c r="P49" s="17">
        <v>0</v>
      </c>
    </row>
    <row r="50" spans="2:19" x14ac:dyDescent="0.25">
      <c r="B50" s="54" t="s">
        <v>182</v>
      </c>
      <c r="D50" s="11">
        <v>13</v>
      </c>
      <c r="E50" s="11">
        <v>-1</v>
      </c>
      <c r="F50" s="11">
        <v>0</v>
      </c>
      <c r="G50" s="11">
        <v>0</v>
      </c>
      <c r="H50" s="11">
        <v>19</v>
      </c>
      <c r="I50" s="11">
        <v>0</v>
      </c>
      <c r="J50" s="11">
        <v>26</v>
      </c>
      <c r="K50" s="11">
        <v>9</v>
      </c>
      <c r="L50" s="11">
        <v>1</v>
      </c>
      <c r="M50" s="11">
        <v>1</v>
      </c>
      <c r="N50" s="11">
        <v>2</v>
      </c>
      <c r="O50" s="11">
        <v>14</v>
      </c>
      <c r="P50" s="17">
        <v>3</v>
      </c>
    </row>
    <row r="51" spans="2:19" x14ac:dyDescent="0.25">
      <c r="B51" s="55" t="s">
        <v>183</v>
      </c>
      <c r="C51" s="36"/>
      <c r="D51" s="53">
        <v>-1</v>
      </c>
      <c r="E51" s="53">
        <v>3</v>
      </c>
      <c r="F51" s="53">
        <v>2</v>
      </c>
      <c r="G51" s="53">
        <v>-2</v>
      </c>
      <c r="H51" s="53">
        <v>11</v>
      </c>
      <c r="I51" s="53">
        <v>-1</v>
      </c>
      <c r="J51" s="53">
        <v>0</v>
      </c>
      <c r="K51" s="53">
        <v>4</v>
      </c>
      <c r="L51" s="53">
        <v>2</v>
      </c>
      <c r="M51" s="53">
        <v>-5</v>
      </c>
      <c r="N51" s="53">
        <v>0</v>
      </c>
      <c r="O51" s="53">
        <v>2</v>
      </c>
      <c r="P51" s="62">
        <v>-12</v>
      </c>
      <c r="Q51" s="36"/>
      <c r="R51" s="36"/>
      <c r="S51" s="36"/>
    </row>
    <row r="52" spans="2:19" x14ac:dyDescent="0.25">
      <c r="B52" s="2" t="s">
        <v>163</v>
      </c>
      <c r="D52" s="2">
        <v>-2</v>
      </c>
      <c r="E52" s="2">
        <v>6</v>
      </c>
      <c r="F52" s="2">
        <v>-1</v>
      </c>
      <c r="G52" s="2">
        <v>1</v>
      </c>
      <c r="H52" s="2">
        <v>-3</v>
      </c>
      <c r="I52" s="2">
        <v>0</v>
      </c>
      <c r="J52" s="2">
        <v>-1</v>
      </c>
      <c r="K52" s="2">
        <v>-2</v>
      </c>
      <c r="L52" s="2">
        <v>0</v>
      </c>
      <c r="M52" s="2">
        <v>-2</v>
      </c>
      <c r="N52" s="2">
        <v>-1</v>
      </c>
      <c r="O52" s="2">
        <v>-5</v>
      </c>
      <c r="P52" s="4">
        <v>-2</v>
      </c>
    </row>
    <row r="53" spans="2:19" x14ac:dyDescent="0.25">
      <c r="B53" s="1" t="s">
        <v>184</v>
      </c>
      <c r="D53" s="1">
        <v>124</v>
      </c>
      <c r="E53" s="1">
        <v>-46</v>
      </c>
      <c r="F53" s="1">
        <v>91</v>
      </c>
      <c r="G53" s="1">
        <v>180</v>
      </c>
      <c r="H53" s="1">
        <v>54</v>
      </c>
      <c r="I53" s="1">
        <v>137</v>
      </c>
      <c r="J53" s="1">
        <v>155</v>
      </c>
      <c r="K53" s="1">
        <v>81</v>
      </c>
      <c r="L53" s="1">
        <v>98</v>
      </c>
      <c r="M53" s="1">
        <v>143</v>
      </c>
      <c r="N53" s="1">
        <v>119</v>
      </c>
      <c r="O53" s="1">
        <v>118</v>
      </c>
      <c r="P53" s="16">
        <v>101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6005A-D926-0A4A-83BB-6287EB4C1EBD}">
  <dimension ref="A2:F34"/>
  <sheetViews>
    <sheetView showGridLines="0" workbookViewId="0">
      <selection activeCell="E34" sqref="E34"/>
    </sheetView>
  </sheetViews>
  <sheetFormatPr baseColWidth="10" defaultRowHeight="16" x14ac:dyDescent="0.2"/>
  <cols>
    <col min="1" max="1" width="33.83203125" customWidth="1"/>
    <col min="2" max="2" width="12.6640625" customWidth="1"/>
  </cols>
  <sheetData>
    <row r="2" spans="1:4" ht="19" x14ac:dyDescent="0.25">
      <c r="A2" s="1" t="s">
        <v>124</v>
      </c>
      <c r="B2" s="38">
        <f>Modell!B4/SOTP!D34</f>
        <v>0.5742999847093847</v>
      </c>
    </row>
    <row r="5" spans="1:4" x14ac:dyDescent="0.2">
      <c r="A5" s="47" t="s">
        <v>125</v>
      </c>
      <c r="B5" s="47" t="s">
        <v>135</v>
      </c>
      <c r="C5" s="47" t="s">
        <v>136</v>
      </c>
      <c r="D5" s="47" t="s">
        <v>137</v>
      </c>
    </row>
    <row r="7" spans="1:4" x14ac:dyDescent="0.2">
      <c r="A7" s="35" t="s">
        <v>126</v>
      </c>
    </row>
    <row r="8" spans="1:4" x14ac:dyDescent="0.2">
      <c r="A8" t="s">
        <v>133</v>
      </c>
      <c r="D8" s="43">
        <v>72.8</v>
      </c>
    </row>
    <row r="9" spans="1:4" x14ac:dyDescent="0.2">
      <c r="A9" t="s">
        <v>134</v>
      </c>
      <c r="D9">
        <v>160.21</v>
      </c>
    </row>
    <row r="10" spans="1:4" x14ac:dyDescent="0.2">
      <c r="A10" t="s">
        <v>139</v>
      </c>
      <c r="D10" s="44">
        <f>D8*D9</f>
        <v>11663.288</v>
      </c>
    </row>
    <row r="11" spans="1:4" x14ac:dyDescent="0.2">
      <c r="A11" s="34" t="s">
        <v>138</v>
      </c>
      <c r="D11" s="48">
        <f>D10/D32</f>
        <v>1143.4596078431373</v>
      </c>
    </row>
    <row r="13" spans="1:4" x14ac:dyDescent="0.2">
      <c r="A13" s="35" t="s">
        <v>140</v>
      </c>
    </row>
    <row r="14" spans="1:4" x14ac:dyDescent="0.2">
      <c r="A14" t="s">
        <v>133</v>
      </c>
      <c r="D14" s="43">
        <v>27.4</v>
      </c>
    </row>
    <row r="15" spans="1:4" x14ac:dyDescent="0.2">
      <c r="A15" t="s">
        <v>141</v>
      </c>
      <c r="D15">
        <v>172</v>
      </c>
    </row>
    <row r="16" spans="1:4" x14ac:dyDescent="0.2">
      <c r="A16" t="s">
        <v>139</v>
      </c>
      <c r="D16" s="44">
        <f>D14*D15</f>
        <v>4712.8</v>
      </c>
    </row>
    <row r="17" spans="1:6" x14ac:dyDescent="0.2">
      <c r="A17" s="34" t="s">
        <v>138</v>
      </c>
      <c r="D17" s="48">
        <f>D16/D32</f>
        <v>462.03921568627459</v>
      </c>
    </row>
    <row r="19" spans="1:6" x14ac:dyDescent="0.2">
      <c r="A19" s="35" t="s">
        <v>157</v>
      </c>
    </row>
    <row r="20" spans="1:6" x14ac:dyDescent="0.2">
      <c r="A20" t="s">
        <v>156</v>
      </c>
      <c r="D20" s="45">
        <f>(3.85*25)/1.58</f>
        <v>60.917721518987342</v>
      </c>
      <c r="E20" t="s">
        <v>155</v>
      </c>
    </row>
    <row r="21" spans="1:6" x14ac:dyDescent="0.2">
      <c r="A21" t="s">
        <v>192</v>
      </c>
      <c r="D21">
        <f>23*40.1</f>
        <v>922.30000000000007</v>
      </c>
      <c r="E21" t="s">
        <v>154</v>
      </c>
      <c r="F21" t="s">
        <v>193</v>
      </c>
    </row>
    <row r="22" spans="1:6" x14ac:dyDescent="0.2">
      <c r="A22" t="s">
        <v>142</v>
      </c>
      <c r="D22">
        <f>7*96.8</f>
        <v>677.6</v>
      </c>
      <c r="E22" t="s">
        <v>154</v>
      </c>
    </row>
    <row r="23" spans="1:6" x14ac:dyDescent="0.2">
      <c r="A23" s="34" t="s">
        <v>138</v>
      </c>
      <c r="D23" s="49">
        <f>D20+((D21+D22)/D32)</f>
        <v>217.77066269545796</v>
      </c>
    </row>
    <row r="25" spans="1:6" x14ac:dyDescent="0.2">
      <c r="A25" s="35" t="s">
        <v>143</v>
      </c>
      <c r="B25">
        <v>125</v>
      </c>
      <c r="C25" s="46" t="s">
        <v>146</v>
      </c>
      <c r="D25">
        <f>B25*8</f>
        <v>1000</v>
      </c>
    </row>
    <row r="26" spans="1:6" x14ac:dyDescent="0.2">
      <c r="A26" s="35" t="s">
        <v>144</v>
      </c>
      <c r="B26">
        <v>-10</v>
      </c>
      <c r="C26" s="46" t="s">
        <v>147</v>
      </c>
      <c r="D26">
        <v>-60</v>
      </c>
    </row>
    <row r="27" spans="1:6" x14ac:dyDescent="0.2">
      <c r="A27" s="35" t="s">
        <v>145</v>
      </c>
      <c r="B27">
        <v>60</v>
      </c>
      <c r="C27" s="46" t="s">
        <v>148</v>
      </c>
      <c r="D27">
        <f>60*9</f>
        <v>540</v>
      </c>
    </row>
    <row r="29" spans="1:6" x14ac:dyDescent="0.2">
      <c r="A29" s="34" t="s">
        <v>149</v>
      </c>
      <c r="D29" s="44">
        <f>D11+D17+D23+D25+D26+D27</f>
        <v>3303.26948622487</v>
      </c>
    </row>
    <row r="30" spans="1:6" x14ac:dyDescent="0.2">
      <c r="A30" t="s">
        <v>150</v>
      </c>
      <c r="D30">
        <f>Modell!O45+Modell!O50-Modell!O36</f>
        <v>145</v>
      </c>
    </row>
    <row r="31" spans="1:6" x14ac:dyDescent="0.2">
      <c r="A31" s="34" t="s">
        <v>151</v>
      </c>
      <c r="D31" s="44">
        <f>D29-D30</f>
        <v>3158.26948622487</v>
      </c>
    </row>
    <row r="32" spans="1:6" x14ac:dyDescent="0.2">
      <c r="A32" t="s">
        <v>57</v>
      </c>
      <c r="D32">
        <v>10.199999999999999</v>
      </c>
    </row>
    <row r="33" spans="1:4" x14ac:dyDescent="0.2">
      <c r="A33" t="s">
        <v>152</v>
      </c>
      <c r="D33">
        <f>34+10.58</f>
        <v>44.58</v>
      </c>
    </row>
    <row r="34" spans="1:4" x14ac:dyDescent="0.2">
      <c r="A34" s="47" t="s">
        <v>153</v>
      </c>
      <c r="B34" s="50"/>
      <c r="C34" s="50"/>
      <c r="D34" s="51">
        <f>(D31*D32)/D33</f>
        <v>722.61885956692845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8E745-DC06-8448-81B5-DC40131426CF}">
  <dimension ref="C4:F6"/>
  <sheetViews>
    <sheetView showGridLines="0" workbookViewId="0">
      <selection activeCell="H8" sqref="H8"/>
    </sheetView>
  </sheetViews>
  <sheetFormatPr baseColWidth="10" defaultRowHeight="16" x14ac:dyDescent="0.2"/>
  <cols>
    <col min="3" max="3" width="29.5" bestFit="1" customWidth="1"/>
    <col min="4" max="6" width="28.33203125" bestFit="1" customWidth="1"/>
  </cols>
  <sheetData>
    <row r="4" spans="3:6" ht="62" x14ac:dyDescent="0.7">
      <c r="C4" s="33"/>
      <c r="D4" s="33">
        <v>2025</v>
      </c>
      <c r="E4" s="33">
        <v>2026</v>
      </c>
      <c r="F4" s="33">
        <v>2027</v>
      </c>
    </row>
    <row r="5" spans="3:6" ht="62" x14ac:dyDescent="0.7">
      <c r="C5" s="33" t="s">
        <v>34</v>
      </c>
      <c r="D5" s="41">
        <f>Modell!$B$9/(Modell!AA11*Modell!$B$11)</f>
        <v>19.290967466731633</v>
      </c>
      <c r="E5" s="41">
        <f>Modell!$B$9/(Modell!AB11*Modell!$B$11)</f>
        <v>15.263099085848792</v>
      </c>
      <c r="F5" s="41">
        <f>Modell!$B$9/(Modell!AC11*Modell!$B$11)</f>
        <v>14.676056813316151</v>
      </c>
    </row>
    <row r="6" spans="3:6" ht="62" x14ac:dyDescent="0.7">
      <c r="C6" s="33" t="s">
        <v>35</v>
      </c>
      <c r="D6" s="41">
        <f>Modell!$B$4/Modell!AA19</f>
        <v>3.1141255903232925</v>
      </c>
      <c r="E6" s="41">
        <f>Modell!$B$4/Modell!AB19</f>
        <v>3.1056880744819129</v>
      </c>
      <c r="F6" s="41">
        <f>Modell!$B$4/Modell!AC19</f>
        <v>3.2048727050200951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5</vt:i4>
      </vt:variant>
    </vt:vector>
  </HeadingPairs>
  <TitlesOfParts>
    <vt:vector size="5" baseType="lpstr">
      <vt:lpstr>Info</vt:lpstr>
      <vt:lpstr>Modell</vt:lpstr>
      <vt:lpstr>Segementer</vt:lpstr>
      <vt:lpstr>SOTP</vt:lpstr>
      <vt:lpstr>Nøkkeltall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august hodt</dc:creator>
  <cp:lastModifiedBy>august hodt</cp:lastModifiedBy>
  <dcterms:created xsi:type="dcterms:W3CDTF">2025-02-09T20:32:11Z</dcterms:created>
  <dcterms:modified xsi:type="dcterms:W3CDTF">2025-06-02T06:58:48Z</dcterms:modified>
</cp:coreProperties>
</file>