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18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augusthodt/Desktop/Aksjemodellering/"/>
    </mc:Choice>
  </mc:AlternateContent>
  <xr:revisionPtr revIDLastSave="0" documentId="13_ncr:1_{6A80BFA8-8D7C-7E45-BCDD-E7B536FDECE3}" xr6:coauthVersionLast="47" xr6:coauthVersionMax="47" xr10:uidLastSave="{00000000-0000-0000-0000-000000000000}"/>
  <bookViews>
    <workbookView xWindow="0" yWindow="500" windowWidth="23980" windowHeight="26740" activeTab="1" xr2:uid="{94B0891E-D6B3-6945-A555-DBC7EB42234E}"/>
  </bookViews>
  <sheets>
    <sheet name="Info" sheetId="1" r:id="rId1"/>
    <sheet name="Modell" sheetId="2" r:id="rId2"/>
    <sheet name="Nøkkeltall" sheetId="3" r:id="rId3"/>
    <sheet name="SOTP" sheetId="4" r:id="rId4"/>
    <sheet name="Nedsidebergning" sheetId="5" r:id="rId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24" i="2" l="1"/>
  <c r="Q24" i="2"/>
  <c r="L84" i="2"/>
  <c r="Q74" i="2"/>
  <c r="Q66" i="2"/>
  <c r="R39" i="2"/>
  <c r="Q8" i="2"/>
  <c r="R16" i="2"/>
  <c r="Q5" i="2"/>
  <c r="Q4" i="2"/>
  <c r="R84" i="2"/>
  <c r="S84" i="2"/>
  <c r="Q72" i="2"/>
  <c r="Q90" i="2" s="1"/>
  <c r="R72" i="2"/>
  <c r="R90" i="2" s="1"/>
  <c r="S72" i="2"/>
  <c r="S90" i="2" s="1"/>
  <c r="Q76" i="2"/>
  <c r="R76" i="2"/>
  <c r="S76" i="2"/>
  <c r="Q60" i="2"/>
  <c r="R60" i="2"/>
  <c r="S60" i="2"/>
  <c r="Q45" i="2"/>
  <c r="R45" i="2"/>
  <c r="S45" i="2"/>
  <c r="S61" i="2" s="1"/>
  <c r="Q39" i="2"/>
  <c r="S39" i="2"/>
  <c r="S88" i="2" l="1"/>
  <c r="R61" i="2"/>
  <c r="R88" i="2"/>
  <c r="Q61" i="2"/>
  <c r="S64" i="2"/>
  <c r="S16" i="2"/>
  <c r="AG5" i="2"/>
  <c r="AH5" i="2" s="1"/>
  <c r="AI5" i="2" s="1"/>
  <c r="AJ5" i="2" s="1"/>
  <c r="AK5" i="2" s="1"/>
  <c r="AL5" i="2" s="1"/>
  <c r="AM5" i="2" s="1"/>
  <c r="AF6" i="2"/>
  <c r="AG6" i="2" s="1"/>
  <c r="AH6" i="2" s="1"/>
  <c r="AI6" i="2" s="1"/>
  <c r="AJ6" i="2" s="1"/>
  <c r="AK6" i="2" s="1"/>
  <c r="AL6" i="2" s="1"/>
  <c r="AM6" i="2" s="1"/>
  <c r="AF5" i="2"/>
  <c r="AF4" i="2"/>
  <c r="AG4" i="2" s="1"/>
  <c r="AH4" i="2" s="1"/>
  <c r="AI4" i="2" s="1"/>
  <c r="AJ4" i="2" s="1"/>
  <c r="AK4" i="2" s="1"/>
  <c r="AL4" i="2" s="1"/>
  <c r="AM4" i="2" s="1"/>
  <c r="P82" i="2"/>
  <c r="P75" i="2"/>
  <c r="P76" i="2" s="1"/>
  <c r="P67" i="2"/>
  <c r="P72" i="2" s="1"/>
  <c r="P60" i="2"/>
  <c r="P45" i="2"/>
  <c r="P39" i="2"/>
  <c r="Q82" i="2" l="1"/>
  <c r="P84" i="2"/>
  <c r="P88" i="2"/>
  <c r="P90" i="2"/>
  <c r="P61" i="2"/>
  <c r="Y82" i="2"/>
  <c r="Y84" i="2" s="1"/>
  <c r="Y70" i="2"/>
  <c r="Y72" i="2" s="1"/>
  <c r="Z82" i="2"/>
  <c r="Z84" i="2" s="1"/>
  <c r="AA82" i="2"/>
  <c r="AA84" i="2" s="1"/>
  <c r="AB82" i="2"/>
  <c r="AB84" i="2" s="1"/>
  <c r="Z75" i="2"/>
  <c r="Z76" i="2" s="1"/>
  <c r="AA75" i="2"/>
  <c r="AB75" i="2"/>
  <c r="AB76" i="2" s="1"/>
  <c r="Y76" i="2"/>
  <c r="AA76" i="2"/>
  <c r="Z72" i="2"/>
  <c r="Z90" i="2" s="1"/>
  <c r="AA72" i="2"/>
  <c r="AA90" i="2" s="1"/>
  <c r="AB65" i="2"/>
  <c r="AB72" i="2" s="1"/>
  <c r="AB90" i="2" s="1"/>
  <c r="Q84" i="2" l="1"/>
  <c r="Q88" i="2" s="1"/>
  <c r="Y88" i="2"/>
  <c r="Y90" i="2"/>
  <c r="Z88" i="2"/>
  <c r="AA88" i="2"/>
  <c r="AB88" i="2"/>
  <c r="I90" i="2"/>
  <c r="K84" i="2"/>
  <c r="J84" i="2"/>
  <c r="I84" i="2"/>
  <c r="H84" i="2"/>
  <c r="G84" i="2"/>
  <c r="F84" i="2"/>
  <c r="E84" i="2"/>
  <c r="D84" i="2"/>
  <c r="D88" i="2" s="1"/>
  <c r="O84" i="2"/>
  <c r="N84" i="2"/>
  <c r="M84" i="2"/>
  <c r="K76" i="2"/>
  <c r="J76" i="2"/>
  <c r="I76" i="2"/>
  <c r="H76" i="2"/>
  <c r="G76" i="2"/>
  <c r="F76" i="2"/>
  <c r="E76" i="2"/>
  <c r="D76" i="2"/>
  <c r="O76" i="2"/>
  <c r="N76" i="2"/>
  <c r="M76" i="2"/>
  <c r="D72" i="2"/>
  <c r="D90" i="2" s="1"/>
  <c r="E72" i="2"/>
  <c r="F72" i="2"/>
  <c r="F90" i="2" s="1"/>
  <c r="G72" i="2"/>
  <c r="G90" i="2" s="1"/>
  <c r="H72" i="2"/>
  <c r="H90" i="2" s="1"/>
  <c r="I72" i="2"/>
  <c r="J72" i="2"/>
  <c r="K72" i="2"/>
  <c r="K90" i="2" s="1"/>
  <c r="M72" i="2"/>
  <c r="M90" i="2" s="1"/>
  <c r="N72" i="2"/>
  <c r="O72" i="2"/>
  <c r="H7" i="2"/>
  <c r="H9" i="2" s="1"/>
  <c r="H12" i="2" s="1"/>
  <c r="H14" i="2" s="1"/>
  <c r="D64" i="2"/>
  <c r="E64" i="2"/>
  <c r="F64" i="2"/>
  <c r="G64" i="2"/>
  <c r="I64" i="2"/>
  <c r="J64" i="2"/>
  <c r="K64" i="2"/>
  <c r="L76" i="2"/>
  <c r="L72" i="2"/>
  <c r="L90" i="2" s="1"/>
  <c r="O60" i="2"/>
  <c r="O45" i="2"/>
  <c r="O39" i="2"/>
  <c r="AB6" i="2"/>
  <c r="O8" i="2"/>
  <c r="O5" i="2"/>
  <c r="O4" i="2"/>
  <c r="AB4" i="2" s="1"/>
  <c r="N88" i="2" l="1"/>
  <c r="J88" i="2"/>
  <c r="E88" i="2"/>
  <c r="O88" i="2"/>
  <c r="E90" i="2"/>
  <c r="K88" i="2"/>
  <c r="L88" i="2"/>
  <c r="I88" i="2"/>
  <c r="N90" i="2"/>
  <c r="O90" i="2"/>
  <c r="M88" i="2"/>
  <c r="F88" i="2"/>
  <c r="H88" i="2"/>
  <c r="J90" i="2"/>
  <c r="G88" i="2"/>
  <c r="H16" i="2"/>
  <c r="H64" i="2"/>
  <c r="O61" i="2"/>
  <c r="M60" i="2" l="1"/>
  <c r="D60" i="2"/>
  <c r="E60" i="2"/>
  <c r="F60" i="2"/>
  <c r="G60" i="2"/>
  <c r="H60" i="2"/>
  <c r="I60" i="2"/>
  <c r="J60" i="2"/>
  <c r="K60" i="2"/>
  <c r="L60" i="2"/>
  <c r="D45" i="2"/>
  <c r="E45" i="2"/>
  <c r="F45" i="2"/>
  <c r="G45" i="2"/>
  <c r="H45" i="2"/>
  <c r="I45" i="2"/>
  <c r="J45" i="2"/>
  <c r="K45" i="2"/>
  <c r="L45" i="2"/>
  <c r="M45" i="2"/>
  <c r="D39" i="2"/>
  <c r="E39" i="2"/>
  <c r="F39" i="2"/>
  <c r="G39" i="2"/>
  <c r="H39" i="2"/>
  <c r="I39" i="2"/>
  <c r="J39" i="2"/>
  <c r="K39" i="2"/>
  <c r="L39" i="2"/>
  <c r="M39" i="2"/>
  <c r="P18" i="2"/>
  <c r="I61" i="2" l="1"/>
  <c r="G61" i="2"/>
  <c r="H61" i="2"/>
  <c r="F61" i="2"/>
  <c r="E61" i="2"/>
  <c r="L61" i="2"/>
  <c r="D61" i="2"/>
  <c r="M61" i="2"/>
  <c r="K61" i="2"/>
  <c r="J61" i="2"/>
  <c r="AC6" i="2"/>
  <c r="S18" i="2"/>
  <c r="P7" i="2"/>
  <c r="Q7" i="2"/>
  <c r="S19" i="2"/>
  <c r="AF8" i="2"/>
  <c r="AG8" i="2" s="1"/>
  <c r="AH8" i="2" s="1"/>
  <c r="AI8" i="2" s="1"/>
  <c r="AJ8" i="2" s="1"/>
  <c r="AK8" i="2" s="1"/>
  <c r="AL8" i="2" s="1"/>
  <c r="AM8" i="2" s="1"/>
  <c r="AD7" i="2"/>
  <c r="AD19" i="2" s="1"/>
  <c r="AE7" i="2"/>
  <c r="AE19" i="2" s="1"/>
  <c r="Y7" i="2"/>
  <c r="Y19" i="2" s="1"/>
  <c r="Z7" i="2"/>
  <c r="Z19" i="2" s="1"/>
  <c r="AA7" i="2"/>
  <c r="AA19" i="2" s="1"/>
  <c r="L7" i="2"/>
  <c r="M7" i="2"/>
  <c r="M19" i="2" s="1"/>
  <c r="N7" i="2"/>
  <c r="N19" i="2" s="1"/>
  <c r="O7" i="2"/>
  <c r="O19" i="2" s="1"/>
  <c r="AF18" i="2"/>
  <c r="Q18" i="2"/>
  <c r="R18" i="2"/>
  <c r="AE18" i="2"/>
  <c r="Z18" i="2"/>
  <c r="AA18" i="2"/>
  <c r="AB13" i="2"/>
  <c r="AB11" i="2"/>
  <c r="AB10" i="2"/>
  <c r="AB8" i="2"/>
  <c r="AB5" i="2"/>
  <c r="AB7" i="2" s="1"/>
  <c r="AB19" i="2" s="1"/>
  <c r="AC7" i="2" l="1"/>
  <c r="AC19" i="2" s="1"/>
  <c r="AA9" i="2"/>
  <c r="AA12" i="2" s="1"/>
  <c r="AA14" i="2" s="1"/>
  <c r="Z9" i="2"/>
  <c r="Z12" i="2" s="1"/>
  <c r="Z14" i="2" s="1"/>
  <c r="AF7" i="2"/>
  <c r="AF9" i="2" s="1"/>
  <c r="L9" i="2"/>
  <c r="L12" i="2" s="1"/>
  <c r="L14" i="2" s="1"/>
  <c r="L19" i="2"/>
  <c r="M9" i="2"/>
  <c r="M12" i="2" s="1"/>
  <c r="M14" i="2" s="1"/>
  <c r="Q9" i="2"/>
  <c r="Q12" i="2" s="1"/>
  <c r="Q14" i="2" s="1"/>
  <c r="Q19" i="2"/>
  <c r="N9" i="2"/>
  <c r="N12" i="2" s="1"/>
  <c r="N14" i="2" s="1"/>
  <c r="R19" i="2"/>
  <c r="P9" i="2"/>
  <c r="P12" i="2" s="1"/>
  <c r="P14" i="2" s="1"/>
  <c r="P19" i="2"/>
  <c r="AB9" i="2"/>
  <c r="Y9" i="2"/>
  <c r="Y12" i="2" s="1"/>
  <c r="Y14" i="2" s="1"/>
  <c r="AD18" i="2"/>
  <c r="O9" i="2"/>
  <c r="AC18" i="2"/>
  <c r="AE9" i="2"/>
  <c r="AE12" i="2" s="1"/>
  <c r="AE14" i="2" s="1"/>
  <c r="AE16" i="2" s="1"/>
  <c r="H10" i="3" s="1"/>
  <c r="AD9" i="2"/>
  <c r="AD12" i="2" s="1"/>
  <c r="AD14" i="2" s="1"/>
  <c r="AD16" i="2" s="1"/>
  <c r="G10" i="3" s="1"/>
  <c r="AB18" i="2"/>
  <c r="AG7" i="2"/>
  <c r="AG19" i="2" s="1"/>
  <c r="N45" i="2"/>
  <c r="N60" i="2"/>
  <c r="N39" i="2"/>
  <c r="AC9" i="2" l="1"/>
  <c r="AC12" i="2" s="1"/>
  <c r="AC14" i="2" s="1"/>
  <c r="R64" i="2"/>
  <c r="Q16" i="2"/>
  <c r="Q64" i="2"/>
  <c r="P64" i="2"/>
  <c r="P16" i="2"/>
  <c r="Y16" i="2"/>
  <c r="Y64" i="2"/>
  <c r="AF19" i="2"/>
  <c r="M16" i="2"/>
  <c r="M64" i="2"/>
  <c r="L16" i="2"/>
  <c r="L64" i="2"/>
  <c r="N16" i="2"/>
  <c r="N64" i="2"/>
  <c r="Z16" i="2"/>
  <c r="Z64" i="2"/>
  <c r="AA16" i="2"/>
  <c r="AA64" i="2"/>
  <c r="O12" i="2"/>
  <c r="O14" i="2" s="1"/>
  <c r="AG9" i="2"/>
  <c r="AH7" i="2"/>
  <c r="AG18" i="2"/>
  <c r="AF12" i="2"/>
  <c r="AB12" i="2"/>
  <c r="AB14" i="2" s="1"/>
  <c r="N61" i="2"/>
  <c r="B6" i="2"/>
  <c r="B9" i="2" s="1"/>
  <c r="AC16" i="2" l="1"/>
  <c r="F10" i="3" s="1"/>
  <c r="O16" i="2"/>
  <c r="O64" i="2"/>
  <c r="AB16" i="2"/>
  <c r="AB64" i="2"/>
  <c r="AH9" i="2"/>
  <c r="AH19" i="2"/>
  <c r="H8" i="3"/>
  <c r="G8" i="3"/>
  <c r="F8" i="3"/>
  <c r="AF13" i="2"/>
  <c r="AF14" i="2" s="1"/>
  <c r="AF16" i="2" s="1"/>
  <c r="AG12" i="2"/>
  <c r="AH18" i="2"/>
  <c r="AI7" i="2"/>
  <c r="G9" i="3"/>
  <c r="H9" i="3"/>
  <c r="F9" i="3"/>
  <c r="AI9" i="2" l="1"/>
  <c r="AI19" i="2"/>
  <c r="AG13" i="2"/>
  <c r="AG14" i="2" s="1"/>
  <c r="AG16" i="2" s="1"/>
  <c r="AI18" i="2"/>
  <c r="AJ7" i="2"/>
  <c r="AH12" i="2"/>
  <c r="AJ9" i="2" l="1"/>
  <c r="AJ19" i="2"/>
  <c r="AH13" i="2"/>
  <c r="AH14" i="2" s="1"/>
  <c r="AH16" i="2" s="1"/>
  <c r="AI12" i="2"/>
  <c r="AJ18" i="2"/>
  <c r="AK7" i="2"/>
  <c r="AK9" i="2" l="1"/>
  <c r="AK19" i="2"/>
  <c r="AI13" i="2"/>
  <c r="AI14" i="2" s="1"/>
  <c r="AI16" i="2" s="1"/>
  <c r="AJ12" i="2"/>
  <c r="AK18" i="2"/>
  <c r="AL7" i="2"/>
  <c r="AL9" i="2" l="1"/>
  <c r="AL19" i="2"/>
  <c r="AJ13" i="2"/>
  <c r="AJ14" i="2" s="1"/>
  <c r="AJ16" i="2" s="1"/>
  <c r="AK12" i="2"/>
  <c r="AL18" i="2"/>
  <c r="AM7" i="2"/>
  <c r="AM9" i="2" l="1"/>
  <c r="AM19" i="2"/>
  <c r="AK13" i="2"/>
  <c r="AK14" i="2" s="1"/>
  <c r="AK16" i="2" s="1"/>
  <c r="AM18" i="2"/>
  <c r="AL12" i="2"/>
  <c r="AL13" i="2" l="1"/>
  <c r="AL14" i="2" s="1"/>
  <c r="AL16" i="2" s="1"/>
  <c r="AM12" i="2"/>
  <c r="AM13" i="2" l="1"/>
  <c r="AM14" i="2" s="1"/>
  <c r="AM16" i="2" l="1"/>
  <c r="AN14" i="2"/>
  <c r="AO14" i="2" s="1"/>
  <c r="AP14" i="2" s="1"/>
  <c r="AQ14" i="2" s="1"/>
  <c r="AR14" i="2" s="1"/>
  <c r="AS14" i="2" s="1"/>
  <c r="AT14" i="2" s="1"/>
  <c r="AU14" i="2" s="1"/>
  <c r="AV14" i="2" s="1"/>
  <c r="AW14" i="2" s="1"/>
  <c r="AX14" i="2" s="1"/>
  <c r="AY14" i="2" s="1"/>
  <c r="AZ14" i="2" s="1"/>
  <c r="BA14" i="2" s="1"/>
  <c r="BB14" i="2" s="1"/>
  <c r="BC14" i="2" s="1"/>
  <c r="BD14" i="2" s="1"/>
  <c r="BE14" i="2" s="1"/>
  <c r="BF14" i="2" s="1"/>
  <c r="BG14" i="2" s="1"/>
  <c r="BH14" i="2" s="1"/>
  <c r="BI14" i="2" s="1"/>
  <c r="BJ14" i="2" s="1"/>
  <c r="BK14" i="2" s="1"/>
  <c r="BL14" i="2" s="1"/>
  <c r="BM14" i="2" s="1"/>
  <c r="BN14" i="2" s="1"/>
  <c r="BO14" i="2" s="1"/>
  <c r="BP14" i="2" s="1"/>
  <c r="BQ14" i="2" s="1"/>
  <c r="BR14" i="2" s="1"/>
  <c r="BS14" i="2" s="1"/>
  <c r="BT14" i="2" s="1"/>
  <c r="BU14" i="2" s="1"/>
  <c r="BV14" i="2" s="1"/>
  <c r="BW14" i="2" s="1"/>
  <c r="BX14" i="2" s="1"/>
  <c r="BY14" i="2" s="1"/>
  <c r="BZ14" i="2" s="1"/>
  <c r="CA14" i="2" s="1"/>
  <c r="CB14" i="2" s="1"/>
  <c r="CC14" i="2" s="1"/>
  <c r="CD14" i="2" s="1"/>
  <c r="CE14" i="2" s="1"/>
  <c r="CF14" i="2" s="1"/>
  <c r="CG14" i="2" s="1"/>
  <c r="CH14" i="2" s="1"/>
  <c r="CI14" i="2" s="1"/>
  <c r="CJ14" i="2" s="1"/>
  <c r="CK14" i="2" s="1"/>
  <c r="CL14" i="2" s="1"/>
  <c r="CM14" i="2" s="1"/>
  <c r="CN14" i="2" s="1"/>
  <c r="CO14" i="2" s="1"/>
  <c r="CP14" i="2" s="1"/>
  <c r="CQ14" i="2" s="1"/>
  <c r="CR14" i="2" s="1"/>
  <c r="CS14" i="2" s="1"/>
  <c r="CT14" i="2" s="1"/>
  <c r="CU14" i="2" s="1"/>
  <c r="CV14" i="2" s="1"/>
  <c r="CW14" i="2" s="1"/>
  <c r="CX14" i="2" s="1"/>
  <c r="CY14" i="2" s="1"/>
  <c r="CZ14" i="2" s="1"/>
  <c r="DA14" i="2" s="1"/>
  <c r="DB14" i="2" s="1"/>
  <c r="DC14" i="2" s="1"/>
  <c r="DD14" i="2" s="1"/>
  <c r="DE14" i="2" s="1"/>
  <c r="DF14" i="2" s="1"/>
  <c r="DG14" i="2" s="1"/>
  <c r="DH14" i="2" s="1"/>
  <c r="DI14" i="2" s="1"/>
  <c r="DJ14" i="2" s="1"/>
  <c r="DK14" i="2" s="1"/>
  <c r="DL14" i="2" s="1"/>
  <c r="DM14" i="2" s="1"/>
  <c r="DN14" i="2" s="1"/>
  <c r="DO14" i="2" s="1"/>
  <c r="DP14" i="2" s="1"/>
  <c r="DQ14" i="2" s="1"/>
  <c r="DR14" i="2" s="1"/>
  <c r="DS14" i="2" s="1"/>
  <c r="DT14" i="2" s="1"/>
  <c r="DU14" i="2" s="1"/>
  <c r="DV14" i="2" s="1"/>
  <c r="DW14" i="2" s="1"/>
  <c r="DX14" i="2" s="1"/>
  <c r="DY14" i="2" s="1"/>
  <c r="DZ14" i="2" s="1"/>
  <c r="EA14" i="2" s="1"/>
  <c r="EB14" i="2" s="1"/>
  <c r="EC14" i="2" s="1"/>
  <c r="ED14" i="2" s="1"/>
  <c r="EE14" i="2" s="1"/>
  <c r="EF14" i="2" s="1"/>
  <c r="EG14" i="2" s="1"/>
  <c r="AP19" i="2" l="1"/>
  <c r="AP20" i="2" l="1"/>
  <c r="AP22" i="2" s="1"/>
  <c r="AP23" i="2" s="1"/>
</calcChain>
</file>

<file path=xl/sharedStrings.xml><?xml version="1.0" encoding="utf-8"?>
<sst xmlns="http://schemas.openxmlformats.org/spreadsheetml/2006/main" count="341" uniqueCount="269">
  <si>
    <t>Kapitalstruktur</t>
  </si>
  <si>
    <t>Price</t>
  </si>
  <si>
    <t>S/O</t>
  </si>
  <si>
    <t>MC NOKm</t>
  </si>
  <si>
    <t>Cash NOKm</t>
  </si>
  <si>
    <t>Debt NOKm</t>
  </si>
  <si>
    <t>EV NOKm</t>
  </si>
  <si>
    <t>Flåte</t>
  </si>
  <si>
    <t>Wind Zaratan</t>
  </si>
  <si>
    <t>Wind Scylla</t>
  </si>
  <si>
    <t>Wind Orca</t>
  </si>
  <si>
    <t>Wind Osprey</t>
  </si>
  <si>
    <t>Wind Maker</t>
  </si>
  <si>
    <t>Wind Mover</t>
  </si>
  <si>
    <t>Wind peak</t>
  </si>
  <si>
    <t>Wind Pace</t>
  </si>
  <si>
    <t>Wind Ally</t>
  </si>
  <si>
    <t>Wind Ace</t>
  </si>
  <si>
    <t>Wind Apex</t>
  </si>
  <si>
    <t>Class</t>
  </si>
  <si>
    <t>Wind turbine installation vessels (WTIV)</t>
  </si>
  <si>
    <t>Foundation installation vessels (FIV)</t>
  </si>
  <si>
    <t>Main crain capacity tonnes</t>
  </si>
  <si>
    <t>&gt;2600</t>
  </si>
  <si>
    <t>&gt;3000</t>
  </si>
  <si>
    <t>Z-class</t>
  </si>
  <si>
    <t>S-class</t>
  </si>
  <si>
    <t>O-class</t>
  </si>
  <si>
    <t>M-class</t>
  </si>
  <si>
    <t>P-class</t>
  </si>
  <si>
    <t>A-class</t>
  </si>
  <si>
    <t>Hook height (meters)</t>
  </si>
  <si>
    <t>&gt;200</t>
  </si>
  <si>
    <t>Turbine installation capacity (MW)</t>
  </si>
  <si>
    <t>15-20</t>
  </si>
  <si>
    <t>20+</t>
  </si>
  <si>
    <t>20+ &amp; up to 6 XL foundations</t>
  </si>
  <si>
    <t>12-14mw</t>
  </si>
  <si>
    <t>Q4 2025</t>
  </si>
  <si>
    <t>Q2 2025</t>
  </si>
  <si>
    <t>H2 2026</t>
  </si>
  <si>
    <t>H1 2027</t>
  </si>
  <si>
    <t>Oppgraderte kranen i Q1 2024 for å kunne ta 20 MW turbin</t>
  </si>
  <si>
    <t>Q122</t>
  </si>
  <si>
    <t>Q222</t>
  </si>
  <si>
    <t>Q322</t>
  </si>
  <si>
    <t>Q422</t>
  </si>
  <si>
    <t>Q123</t>
  </si>
  <si>
    <t>Q223</t>
  </si>
  <si>
    <t>Q323</t>
  </si>
  <si>
    <t>Q423</t>
  </si>
  <si>
    <t>Q124</t>
  </si>
  <si>
    <t>Q224</t>
  </si>
  <si>
    <t>Q324</t>
  </si>
  <si>
    <t>Q424</t>
  </si>
  <si>
    <t>Euro/NOK</t>
  </si>
  <si>
    <t>Revenue</t>
  </si>
  <si>
    <t>Cost of sales</t>
  </si>
  <si>
    <t>Other opex</t>
  </si>
  <si>
    <t>Adminstrative expenses</t>
  </si>
  <si>
    <t>EBIT</t>
  </si>
  <si>
    <t>Finance income</t>
  </si>
  <si>
    <t>Finance costs</t>
  </si>
  <si>
    <t>PTP</t>
  </si>
  <si>
    <t>tax</t>
  </si>
  <si>
    <t>Net income</t>
  </si>
  <si>
    <t>Share</t>
  </si>
  <si>
    <t>Revenue y/y</t>
  </si>
  <si>
    <t>Intangible assets</t>
  </si>
  <si>
    <t>PP&amp;E</t>
  </si>
  <si>
    <t>Derivative assets</t>
  </si>
  <si>
    <t>Inventories</t>
  </si>
  <si>
    <t>Trade reveivables</t>
  </si>
  <si>
    <t>Contract assets</t>
  </si>
  <si>
    <t xml:space="preserve">Prepayments </t>
  </si>
  <si>
    <t>Cash</t>
  </si>
  <si>
    <t>Total assets</t>
  </si>
  <si>
    <t xml:space="preserve">Right-of-use assets </t>
  </si>
  <si>
    <t>Leasehold deposits</t>
  </si>
  <si>
    <t>Share capital</t>
  </si>
  <si>
    <t>Treasury shares</t>
  </si>
  <si>
    <t>Reserves</t>
  </si>
  <si>
    <t>Retained earnings</t>
  </si>
  <si>
    <t>Total Equity</t>
  </si>
  <si>
    <t>Provisons</t>
  </si>
  <si>
    <t>Lese liabilities</t>
  </si>
  <si>
    <t>Deferred tax liabilities</t>
  </si>
  <si>
    <t>Deferred charter hire income</t>
  </si>
  <si>
    <t>Debt to credit institutions</t>
  </si>
  <si>
    <t>Derivative liabilties</t>
  </si>
  <si>
    <t>Trade an other payables</t>
  </si>
  <si>
    <t>Current provisions</t>
  </si>
  <si>
    <t>Payabales to related parties</t>
  </si>
  <si>
    <t>Current deferred charter hire income</t>
  </si>
  <si>
    <t>Current lease liabilties</t>
  </si>
  <si>
    <t xml:space="preserve">Current income tax liabilites </t>
  </si>
  <si>
    <t>Current derivative liabilites</t>
  </si>
  <si>
    <t>Total debt</t>
  </si>
  <si>
    <t>Total E/D</t>
  </si>
  <si>
    <t>FY 2022</t>
  </si>
  <si>
    <t>FY 2023</t>
  </si>
  <si>
    <t>FY 2024</t>
  </si>
  <si>
    <t>FY 2025</t>
  </si>
  <si>
    <t>FY 2026</t>
  </si>
  <si>
    <t>FY 2027</t>
  </si>
  <si>
    <t>FY 2028</t>
  </si>
  <si>
    <t>FY 2029</t>
  </si>
  <si>
    <t>FY 2030</t>
  </si>
  <si>
    <t>FY 2031</t>
  </si>
  <si>
    <t>FY 2032</t>
  </si>
  <si>
    <t>FY 2033</t>
  </si>
  <si>
    <t>FY 2034</t>
  </si>
  <si>
    <t>FY 2035</t>
  </si>
  <si>
    <t>EPS (NOK)</t>
  </si>
  <si>
    <t>FY 2021</t>
  </si>
  <si>
    <t>Q125</t>
  </si>
  <si>
    <t>Q225</t>
  </si>
  <si>
    <t>Q325</t>
  </si>
  <si>
    <t>Q425</t>
  </si>
  <si>
    <t>EV/EBIT</t>
  </si>
  <si>
    <t>P/E</t>
  </si>
  <si>
    <t>EBITDA</t>
  </si>
  <si>
    <t>EV/EBITDA</t>
  </si>
  <si>
    <t>EBITDA margin</t>
  </si>
  <si>
    <t>Discount</t>
  </si>
  <si>
    <t>TV</t>
  </si>
  <si>
    <t>NPV Eur</t>
  </si>
  <si>
    <t>NPV NOK</t>
  </si>
  <si>
    <t>NPV/Share</t>
  </si>
  <si>
    <t>Opp- nedside</t>
  </si>
  <si>
    <t>Order backlog (EUR mill)</t>
  </si>
  <si>
    <t>Balanse EUR million</t>
  </si>
  <si>
    <t>Press releases:</t>
  </si>
  <si>
    <t>28.02.25: Signerner kontrakt for Wind Pace i USA, arbeidet starter Q225 og varer frem til Q126, EUR 75 mill</t>
  </si>
  <si>
    <t>07.02.25: Signerner en vessel reservation agreement (VRA) med Ocran Winds for installasjon av turbiner i det pols-baltiske hav. EUR 48-56 mill</t>
  </si>
  <si>
    <t>03.02.25: Signere første kontrakt på nybygget Wind mover som vil starte når fartøyet blir ferdig i Q425</t>
  </si>
  <si>
    <t>31.01.25: Wind Maker blir det sjette nybygget som blir levert til Cadeler</t>
  </si>
  <si>
    <t>24.01.25: Styrelder Sohmen-Pao kjøper 361 135 aksjer til 57,25</t>
  </si>
  <si>
    <t>14.01.25: Styreleder Sohmen-Pau kjøper 943 001 aksjer til 58,85</t>
  </si>
  <si>
    <t>20.12.24: CEO kjøper 18 250 aksjer til 63,59</t>
  </si>
  <si>
    <t>05.12.24: Trøgda flagger 5 prossa</t>
  </si>
  <si>
    <t>05.11.24: Cadeler signerer kontrakt med Scottishpower om å transportere og innstallere 64 * 15MW turbiner samtidig som fundament. EUR 360 - 382 mill. Skal starte i 2027 og skal bruke en av A-classene</t>
  </si>
  <si>
    <t>01.10.24: Kontrakt med Equinor og Polenergia JV for instalsjon av deres 1440 MW windpark i polsk-baltic hav. Skal starte i 27 EUR120 - 144mill</t>
  </si>
  <si>
    <t>30.09.24: Signerer en VRA i Asia-Stillehavsområde. EUR 200mill</t>
  </si>
  <si>
    <t>26.06.24: Kontrakt på installasjon av 72 15MW turbiner, skal bruke M-klasse. EUR 114- 130mill starter i 26</t>
  </si>
  <si>
    <t>EUR million</t>
  </si>
  <si>
    <t>23.05.24: Signerer gigakontrakt verdt inntil EUR 700mill. Kan varierer mellom 400 - 700mill. Kommer til å bruke flere fartøy og oppstart er 27</t>
  </si>
  <si>
    <t xml:space="preserve">22.05.24: Cadeler bestiller sitt tredje a-klasse nybygg. </t>
  </si>
  <si>
    <t>13.05.24: Signerner en VRA med Equinor og Polenergia. EUR 110 -130 vil starte i 27</t>
  </si>
  <si>
    <t xml:space="preserve">08.04.24: Ørsted og Cadeler signerer langtidskontrakt for leasing av en av A-klasse nybyggene. Avtalen vil betyr at Ørsted sikrer seg et fartøy fra Q127 til 2030. </t>
  </si>
  <si>
    <t>27.03.24: Wind Scylla signerner kontrakt verdt EUR 75 - 150mill</t>
  </si>
  <si>
    <t>Pr nå er 15MW turbiner de største i verden.</t>
  </si>
  <si>
    <t>Vessel name</t>
  </si>
  <si>
    <t>Q1</t>
  </si>
  <si>
    <t>Q2</t>
  </si>
  <si>
    <t>Q3</t>
  </si>
  <si>
    <t>Q4</t>
  </si>
  <si>
    <t>Wind Peak</t>
  </si>
  <si>
    <t>Wind pace</t>
  </si>
  <si>
    <t>Wind ally</t>
  </si>
  <si>
    <t>Wind ace</t>
  </si>
  <si>
    <t>Wind apex</t>
  </si>
  <si>
    <t>Wind scylla</t>
  </si>
  <si>
    <t>Wind maker</t>
  </si>
  <si>
    <t>Wind mover</t>
  </si>
  <si>
    <t>Firm contract</t>
  </si>
  <si>
    <t>Assumed options</t>
  </si>
  <si>
    <t>Mobilisation and pre-delivery availibility</t>
  </si>
  <si>
    <t>Under construction</t>
  </si>
  <si>
    <t>Moray West</t>
  </si>
  <si>
    <t>Gode W &amp; Borku</t>
  </si>
  <si>
    <t>Baltic power</t>
  </si>
  <si>
    <t>He Dreiht</t>
  </si>
  <si>
    <t>Sofia</t>
  </si>
  <si>
    <t>Baltyk 2 &amp; 3</t>
  </si>
  <si>
    <t>EA Hub 3</t>
  </si>
  <si>
    <t>EA Hub 2</t>
  </si>
  <si>
    <t>Baltyk</t>
  </si>
  <si>
    <t>Baltica 2</t>
  </si>
  <si>
    <t>Hornsea 3</t>
  </si>
  <si>
    <t>Undiclosed</t>
  </si>
  <si>
    <t>Revolution Wind</t>
  </si>
  <si>
    <t>Changhua</t>
  </si>
  <si>
    <t>APAC</t>
  </si>
  <si>
    <t>Inch cape</t>
  </si>
  <si>
    <t>Reservation agreement</t>
  </si>
  <si>
    <t>Undisclosed</t>
  </si>
  <si>
    <t>To 2031</t>
  </si>
  <si>
    <t>Ocean Winds</t>
  </si>
  <si>
    <t>CFFO</t>
  </si>
  <si>
    <t>CFFI</t>
  </si>
  <si>
    <t>Share premium</t>
  </si>
  <si>
    <t>Current income tax reveivables</t>
  </si>
  <si>
    <t>15.07.24: Signerer kontrakt som starter i 29</t>
  </si>
  <si>
    <t>O&amp;M</t>
  </si>
  <si>
    <t>Yunlin</t>
  </si>
  <si>
    <t>Current derivate assets</t>
  </si>
  <si>
    <t>Q1 2025</t>
  </si>
  <si>
    <r>
      <rPr>
        <sz val="14"/>
        <color theme="1"/>
        <rFont val="Calibri"/>
        <family val="2"/>
        <scheme val="minor"/>
      </rPr>
      <t>Built</t>
    </r>
    <r>
      <rPr>
        <b/>
        <sz val="14"/>
        <color theme="1"/>
        <rFont val="Calibri"/>
        <family val="2"/>
        <scheme val="minor"/>
      </rPr>
      <t>/expected deliv</t>
    </r>
  </si>
  <si>
    <t>26.03.25: Tar levering av Wind Pace</t>
  </si>
  <si>
    <t>28.03.25: Styremedlem Andrea Abt kjøper 6 000 aksjer for 300 000kr</t>
  </si>
  <si>
    <t>01.04.25: CEO og CFO kjøper aksjer</t>
  </si>
  <si>
    <t>01.04.25: Styrelder Sohmen-Pao kjøpe aksjer for 60 mill</t>
  </si>
  <si>
    <t>03.04.25: Styreleder Sohmen-Pao kjøper aksjer</t>
  </si>
  <si>
    <t>07.04.25: CEO kjøper aksjer</t>
  </si>
  <si>
    <t>09.04.25: Styreleder Sohmen-Pao kjøper aksjer</t>
  </si>
  <si>
    <t>Cash flow EURm</t>
  </si>
  <si>
    <t>Reported NI</t>
  </si>
  <si>
    <t>Model NI</t>
  </si>
  <si>
    <t>D/A</t>
  </si>
  <si>
    <t>Fair value of derivatives instruments</t>
  </si>
  <si>
    <t>Share-based comp</t>
  </si>
  <si>
    <t>WC</t>
  </si>
  <si>
    <t>Income tax</t>
  </si>
  <si>
    <t>Capex</t>
  </si>
  <si>
    <t>Purchase of intangibles</t>
  </si>
  <si>
    <t>Principal repayment of lease</t>
  </si>
  <si>
    <t>Interest paid</t>
  </si>
  <si>
    <t>Proceeds from issue of share cap</t>
  </si>
  <si>
    <t>Transaction costs on issues of shares</t>
  </si>
  <si>
    <t>Proceeds from borrowing</t>
  </si>
  <si>
    <t>CFFF</t>
  </si>
  <si>
    <t>FX</t>
  </si>
  <si>
    <t>CIC</t>
  </si>
  <si>
    <t>FCF</t>
  </si>
  <si>
    <t>Interest expense/income</t>
  </si>
  <si>
    <t>2025 guidance:</t>
  </si>
  <si>
    <t/>
  </si>
  <si>
    <t>22.05.25: Cadeler kjøper sitt 12 jack-up vessel som skal fokusere på O&amp;M segmentet</t>
  </si>
  <si>
    <t>Wind keeper</t>
  </si>
  <si>
    <t>K-class</t>
  </si>
  <si>
    <t>Q3 2025</t>
  </si>
  <si>
    <t>26.05.25: Styrelder Sohmen-Pao kjøper aksjer for 50 mill</t>
  </si>
  <si>
    <t>26.05.25: Cadeler kjøper tilbake aksjer for 22,5mill</t>
  </si>
  <si>
    <t>High-spec fartøy er mest relevant for installasjon av dette ti-årets vindparker</t>
  </si>
  <si>
    <t>Cadeler eier 1/3 av verdens flåte</t>
  </si>
  <si>
    <t>29.05.25: Styrelder Sohmen-Pao kjøper aksjer for 46,5 mill, kurs  49,02</t>
  </si>
  <si>
    <t>30.05.25: Fullfører tilbakekjøpsprogrammet, de kjøpte 395 200 aksjer til kurs 49,92</t>
  </si>
  <si>
    <t>04.06.25: Styreleder Sohmen-Pao kjøper aksjer for 14,5 millioner, kurs 49,93</t>
  </si>
  <si>
    <t xml:space="preserve">01.07.25: Ørsted kansllerer kontrakten med en av CADL sine A-class skip, grunnet ikke videre med Hornsea 4. </t>
  </si>
  <si>
    <r>
      <t>CADL har krav på kompensasjon og er nå fri til gjøre hva de vil med skipet. CADL oppjusterer også 25 guidance (</t>
    </r>
    <r>
      <rPr>
        <b/>
        <sz val="14"/>
        <color theme="1"/>
        <rFont val="Calibri"/>
        <family val="2"/>
        <scheme val="minor"/>
      </rPr>
      <t>Revenue: 588 - 628</t>
    </r>
    <r>
      <rPr>
        <sz val="14"/>
        <color theme="1"/>
        <rFont val="Calibri"/>
        <family val="2"/>
        <scheme val="minor"/>
      </rPr>
      <t xml:space="preserve"> (485 - 525) og</t>
    </r>
    <r>
      <rPr>
        <b/>
        <sz val="14"/>
        <color theme="1"/>
        <rFont val="Calibri"/>
        <family val="2"/>
        <scheme val="minor"/>
      </rPr>
      <t xml:space="preserve"> EBITDA: 381 - 421</t>
    </r>
    <r>
      <rPr>
        <sz val="14"/>
        <color theme="1"/>
        <rFont val="Calibri"/>
        <family val="2"/>
        <scheme val="minor"/>
      </rPr>
      <t xml:space="preserve"> (278 - 318))</t>
    </r>
  </si>
  <si>
    <t>588 - 628m</t>
  </si>
  <si>
    <t>381 - 421m</t>
  </si>
  <si>
    <t>18.07.25: CADL får levert wind Keeper Samtidig som at de får 3-årskontrakt på fartøyet med Vestas som skal starte tildig 26</t>
  </si>
  <si>
    <t>ROE</t>
  </si>
  <si>
    <t>FY 2019</t>
  </si>
  <si>
    <t>FY 2020</t>
  </si>
  <si>
    <t>FY 2017</t>
  </si>
  <si>
    <t>FY 2018</t>
  </si>
  <si>
    <t>22.08.25: CADL signerer kontrakt med Synera Renewable energy for 35 Simens gamesa 14MW turbiner til Formosa 4 i taiwan. M-klasse og vil starte i 28 og vare i 150 dager.</t>
  </si>
  <si>
    <t>Current debt to credit institutions</t>
  </si>
  <si>
    <t>Repayment of loan</t>
  </si>
  <si>
    <t>O&amp;M Changfang and Xidao</t>
  </si>
  <si>
    <t>USA O&amp;M GE vernova</t>
  </si>
  <si>
    <t>Vestas O&amp;M</t>
  </si>
  <si>
    <t>Ownership</t>
  </si>
  <si>
    <t>Type</t>
  </si>
  <si>
    <t>11.09.25: Styreleder Sohmen-Pao, kjøper aksjer for 200mill</t>
  </si>
  <si>
    <t>18.09.25: CADL signerer kontrakt med ocean winds for installasjon av turbiner på BC-wind offshore i Polen</t>
  </si>
  <si>
    <t>25.09.25: CADL tar leveranse av sin første A-klasse Wind Ally som skal starte på Hornsea 3 for Ørsted</t>
  </si>
  <si>
    <t>Built</t>
  </si>
  <si>
    <t>Equivalent newbuild delivery</t>
  </si>
  <si>
    <t>Equivalent newbuild cost</t>
  </si>
  <si>
    <t>NPV of equivalent newbuld capex</t>
  </si>
  <si>
    <t>NPV of cashflow advantage</t>
  </si>
  <si>
    <t>Total value</t>
  </si>
  <si>
    <t>01.10.25: Styrelder Sohmen-Pao kjøper aksjer for 67 mill</t>
  </si>
  <si>
    <t>17.10.25: CEO kjøper 1000 ADR</t>
  </si>
  <si>
    <t>y/y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</si>
</sst>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#,##0.0"/>
    <numFmt numFmtId="165" formatCode="0.0"/>
    <numFmt numFmtId="166" formatCode="0.0\ %"/>
  </numFmts>
  <fonts count="15" x14ac:knownFonts="1">
    <font>
      <sz val="12"/>
      <color theme="1"/>
      <name val="Calibri"/>
      <family val="2"/>
      <scheme val="minor"/>
    </font>
    <font>
      <b/>
      <i/>
      <sz val="14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i/>
      <sz val="14"/>
      <color theme="1"/>
      <name val="Calibri"/>
      <family val="2"/>
      <scheme val="minor"/>
    </font>
    <font>
      <sz val="72"/>
      <color theme="1"/>
      <name val="Calibri"/>
      <family val="2"/>
      <scheme val="minor"/>
    </font>
    <font>
      <b/>
      <sz val="72"/>
      <color theme="1"/>
      <name val="Calibri"/>
      <family val="2"/>
      <scheme val="minor"/>
    </font>
    <font>
      <sz val="14"/>
      <color rgb="FF000000"/>
      <name val="Calibri"/>
      <family val="2"/>
      <scheme val="minor"/>
    </font>
    <font>
      <u/>
      <sz val="14"/>
      <color theme="1"/>
      <name val="Calibri"/>
      <family val="2"/>
      <scheme val="minor"/>
    </font>
    <font>
      <sz val="14"/>
      <color theme="0"/>
      <name val="Calibri"/>
      <family val="2"/>
      <scheme val="minor"/>
    </font>
    <font>
      <b/>
      <sz val="18"/>
      <color theme="1"/>
      <name val="Calibri"/>
      <family val="2"/>
      <scheme val="minor"/>
    </font>
    <font>
      <sz val="18"/>
      <color theme="1"/>
      <name val="Calibri"/>
      <family val="2"/>
      <scheme val="minor"/>
    </font>
    <font>
      <sz val="8"/>
      <name val="Calibri"/>
      <family val="2"/>
      <scheme val="minor"/>
    </font>
    <font>
      <sz val="14"/>
      <color rgb="FFFFFFFF"/>
      <name val="Calibri"/>
      <family val="2"/>
      <scheme val="minor"/>
    </font>
    <font>
      <b/>
      <sz val="12"/>
      <color theme="1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theme="9" tint="0.59999389629810485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548235"/>
        <bgColor rgb="FF000000"/>
      </patternFill>
    </fill>
  </fills>
  <borders count="8">
    <border>
      <left/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</borders>
  <cellStyleXfs count="1">
    <xf numFmtId="0" fontId="0" fillId="0" borderId="0"/>
  </cellStyleXfs>
  <cellXfs count="85">
    <xf numFmtId="0" fontId="0" fillId="0" borderId="0" xfId="0"/>
    <xf numFmtId="0" fontId="1" fillId="0" borderId="0" xfId="0" applyFont="1"/>
    <xf numFmtId="0" fontId="2" fillId="0" borderId="0" xfId="0" applyFont="1"/>
    <xf numFmtId="0" fontId="2" fillId="0" borderId="1" xfId="0" applyFont="1" applyBorder="1"/>
    <xf numFmtId="0" fontId="3" fillId="0" borderId="0" xfId="0" applyFont="1"/>
    <xf numFmtId="2" fontId="2" fillId="0" borderId="1" xfId="0" applyNumberFormat="1" applyFont="1" applyBorder="1"/>
    <xf numFmtId="164" fontId="2" fillId="0" borderId="1" xfId="0" applyNumberFormat="1" applyFont="1" applyBorder="1"/>
    <xf numFmtId="164" fontId="1" fillId="0" borderId="1" xfId="0" applyNumberFormat="1" applyFont="1" applyBorder="1"/>
    <xf numFmtId="3" fontId="2" fillId="0" borderId="1" xfId="0" applyNumberFormat="1" applyFont="1" applyBorder="1"/>
    <xf numFmtId="3" fontId="2" fillId="0" borderId="0" xfId="0" applyNumberFormat="1" applyFont="1"/>
    <xf numFmtId="3" fontId="3" fillId="0" borderId="1" xfId="0" applyNumberFormat="1" applyFont="1" applyBorder="1"/>
    <xf numFmtId="0" fontId="4" fillId="0" borderId="0" xfId="0" applyFont="1"/>
    <xf numFmtId="2" fontId="2" fillId="0" borderId="0" xfId="0" applyNumberFormat="1" applyFont="1"/>
    <xf numFmtId="165" fontId="2" fillId="0" borderId="0" xfId="0" applyNumberFormat="1" applyFont="1"/>
    <xf numFmtId="0" fontId="2" fillId="0" borderId="0" xfId="0" applyFont="1" applyAlignment="1">
      <alignment horizontal="right"/>
    </xf>
    <xf numFmtId="0" fontId="2" fillId="0" borderId="1" xfId="0" applyFont="1" applyBorder="1" applyAlignment="1">
      <alignment horizontal="right"/>
    </xf>
    <xf numFmtId="165" fontId="2" fillId="0" borderId="1" xfId="0" applyNumberFormat="1" applyFont="1" applyBorder="1"/>
    <xf numFmtId="0" fontId="2" fillId="0" borderId="5" xfId="0" applyFont="1" applyBorder="1"/>
    <xf numFmtId="0" fontId="2" fillId="0" borderId="6" xfId="0" applyFont="1" applyBorder="1"/>
    <xf numFmtId="0" fontId="2" fillId="0" borderId="6" xfId="0" applyFont="1" applyBorder="1" applyAlignment="1">
      <alignment horizontal="center"/>
    </xf>
    <xf numFmtId="17" fontId="2" fillId="0" borderId="6" xfId="0" applyNumberFormat="1" applyFont="1" applyBorder="1" applyAlignment="1">
      <alignment horizontal="center"/>
    </xf>
    <xf numFmtId="1" fontId="2" fillId="0" borderId="0" xfId="0" applyNumberFormat="1" applyFont="1"/>
    <xf numFmtId="1" fontId="3" fillId="0" borderId="0" xfId="0" applyNumberFormat="1" applyFont="1"/>
    <xf numFmtId="1" fontId="2" fillId="0" borderId="1" xfId="0" applyNumberFormat="1" applyFont="1" applyBorder="1"/>
    <xf numFmtId="1" fontId="3" fillId="0" borderId="1" xfId="0" applyNumberFormat="1" applyFont="1" applyBorder="1"/>
    <xf numFmtId="166" fontId="2" fillId="0" borderId="0" xfId="0" applyNumberFormat="1" applyFont="1"/>
    <xf numFmtId="166" fontId="2" fillId="0" borderId="1" xfId="0" applyNumberFormat="1" applyFont="1" applyBorder="1"/>
    <xf numFmtId="3" fontId="3" fillId="0" borderId="0" xfId="0" applyNumberFormat="1" applyFont="1"/>
    <xf numFmtId="0" fontId="5" fillId="0" borderId="6" xfId="0" applyFont="1" applyBorder="1"/>
    <xf numFmtId="165" fontId="5" fillId="0" borderId="6" xfId="0" applyNumberFormat="1" applyFont="1" applyBorder="1"/>
    <xf numFmtId="0" fontId="6" fillId="0" borderId="6" xfId="0" applyFont="1" applyBorder="1"/>
    <xf numFmtId="3" fontId="2" fillId="0" borderId="5" xfId="0" applyNumberFormat="1" applyFont="1" applyBorder="1"/>
    <xf numFmtId="9" fontId="2" fillId="0" borderId="0" xfId="0" applyNumberFormat="1" applyFont="1"/>
    <xf numFmtId="9" fontId="3" fillId="0" borderId="0" xfId="0" applyNumberFormat="1" applyFont="1"/>
    <xf numFmtId="0" fontId="3" fillId="0" borderId="6" xfId="0" applyFont="1" applyBorder="1" applyAlignment="1">
      <alignment horizontal="center"/>
    </xf>
    <xf numFmtId="0" fontId="8" fillId="0" borderId="0" xfId="0" applyFont="1"/>
    <xf numFmtId="0" fontId="2" fillId="0" borderId="0" xfId="0" applyFont="1" applyAlignment="1">
      <alignment horizontal="center"/>
    </xf>
    <xf numFmtId="0" fontId="2" fillId="0" borderId="1" xfId="0" applyFont="1" applyBorder="1" applyAlignment="1">
      <alignment horizontal="center"/>
    </xf>
    <xf numFmtId="0" fontId="2" fillId="0" borderId="7" xfId="0" applyFont="1" applyBorder="1" applyAlignment="1">
      <alignment horizontal="center"/>
    </xf>
    <xf numFmtId="0" fontId="2" fillId="0" borderId="7" xfId="0" applyFont="1" applyBorder="1"/>
    <xf numFmtId="0" fontId="2" fillId="2" borderId="0" xfId="0" applyFont="1" applyFill="1"/>
    <xf numFmtId="0" fontId="2" fillId="3" borderId="0" xfId="0" applyFont="1" applyFill="1"/>
    <xf numFmtId="0" fontId="9" fillId="4" borderId="0" xfId="0" applyFont="1" applyFill="1"/>
    <xf numFmtId="0" fontId="2" fillId="5" borderId="7" xfId="0" applyFont="1" applyFill="1" applyBorder="1"/>
    <xf numFmtId="0" fontId="2" fillId="5" borderId="0" xfId="0" applyFont="1" applyFill="1"/>
    <xf numFmtId="0" fontId="2" fillId="5" borderId="1" xfId="0" applyFont="1" applyFill="1" applyBorder="1"/>
    <xf numFmtId="0" fontId="2" fillId="3" borderId="1" xfId="0" applyFont="1" applyFill="1" applyBorder="1"/>
    <xf numFmtId="0" fontId="2" fillId="4" borderId="0" xfId="0" applyFont="1" applyFill="1"/>
    <xf numFmtId="0" fontId="2" fillId="4" borderId="1" xfId="0" applyFont="1" applyFill="1" applyBorder="1"/>
    <xf numFmtId="0" fontId="2" fillId="4" borderId="7" xfId="0" applyFont="1" applyFill="1" applyBorder="1"/>
    <xf numFmtId="0" fontId="9" fillId="4" borderId="7" xfId="0" applyFont="1" applyFill="1" applyBorder="1"/>
    <xf numFmtId="0" fontId="9" fillId="4" borderId="1" xfId="0" applyFont="1" applyFill="1" applyBorder="1"/>
    <xf numFmtId="0" fontId="2" fillId="2" borderId="7" xfId="0" applyFont="1" applyFill="1" applyBorder="1"/>
    <xf numFmtId="0" fontId="2" fillId="2" borderId="1" xfId="0" applyFont="1" applyFill="1" applyBorder="1"/>
    <xf numFmtId="0" fontId="9" fillId="2" borderId="1" xfId="0" applyFont="1" applyFill="1" applyBorder="1"/>
    <xf numFmtId="3" fontId="4" fillId="0" borderId="0" xfId="0" applyNumberFormat="1" applyFont="1"/>
    <xf numFmtId="10" fontId="3" fillId="0" borderId="0" xfId="0" applyNumberFormat="1" applyFont="1"/>
    <xf numFmtId="166" fontId="3" fillId="0" borderId="0" xfId="0" applyNumberFormat="1" applyFont="1"/>
    <xf numFmtId="166" fontId="3" fillId="0" borderId="1" xfId="0" applyNumberFormat="1" applyFont="1" applyBorder="1"/>
    <xf numFmtId="0" fontId="3" fillId="0" borderId="0" xfId="0" applyFont="1" applyAlignment="1">
      <alignment horizontal="center"/>
    </xf>
    <xf numFmtId="0" fontId="10" fillId="0" borderId="0" xfId="0" applyFont="1"/>
    <xf numFmtId="0" fontId="11" fillId="0" borderId="0" xfId="0" applyFont="1"/>
    <xf numFmtId="0" fontId="9" fillId="6" borderId="7" xfId="0" applyFont="1" applyFill="1" applyBorder="1"/>
    <xf numFmtId="0" fontId="2" fillId="6" borderId="0" xfId="0" applyFont="1" applyFill="1"/>
    <xf numFmtId="0" fontId="2" fillId="6" borderId="1" xfId="0" applyFont="1" applyFill="1" applyBorder="1"/>
    <xf numFmtId="0" fontId="2" fillId="6" borderId="7" xfId="0" applyFont="1" applyFill="1" applyBorder="1"/>
    <xf numFmtId="0" fontId="9" fillId="6" borderId="1" xfId="0" applyFont="1" applyFill="1" applyBorder="1"/>
    <xf numFmtId="0" fontId="13" fillId="7" borderId="0" xfId="0" applyFont="1" applyFill="1"/>
    <xf numFmtId="0" fontId="14" fillId="0" borderId="0" xfId="0" applyFont="1"/>
    <xf numFmtId="0" fontId="14" fillId="0" borderId="0" xfId="0" applyFont="1" applyAlignment="1">
      <alignment wrapText="1"/>
    </xf>
    <xf numFmtId="0" fontId="2" fillId="0" borderId="2" xfId="0" applyFont="1" applyBorder="1" applyAlignment="1">
      <alignment horizontal="center" vertical="center" wrapText="1"/>
    </xf>
    <xf numFmtId="0" fontId="2" fillId="0" borderId="3" xfId="0" applyFont="1" applyBorder="1" applyAlignment="1">
      <alignment horizontal="center" vertical="center" wrapText="1"/>
    </xf>
    <xf numFmtId="0" fontId="2" fillId="0" borderId="4" xfId="0" applyFont="1" applyBorder="1" applyAlignment="1">
      <alignment horizontal="center" vertical="center" wrapText="1"/>
    </xf>
    <xf numFmtId="0" fontId="2" fillId="0" borderId="7" xfId="0" applyFont="1" applyBorder="1" applyAlignment="1">
      <alignment horizontal="center"/>
    </xf>
    <xf numFmtId="0" fontId="2" fillId="0" borderId="0" xfId="0" applyFont="1" applyAlignment="1">
      <alignment horizontal="center"/>
    </xf>
    <xf numFmtId="0" fontId="2" fillId="0" borderId="1" xfId="0" applyFont="1" applyBorder="1" applyAlignment="1">
      <alignment horizontal="center"/>
    </xf>
    <xf numFmtId="0" fontId="7" fillId="0" borderId="7" xfId="0" applyFont="1" applyBorder="1" applyAlignment="1">
      <alignment horizontal="center"/>
    </xf>
    <xf numFmtId="0" fontId="7" fillId="0" borderId="0" xfId="0" applyFont="1" applyAlignment="1">
      <alignment horizontal="center"/>
    </xf>
    <xf numFmtId="0" fontId="7" fillId="0" borderId="1" xfId="0" applyFont="1" applyBorder="1" applyAlignment="1">
      <alignment horizontal="center"/>
    </xf>
    <xf numFmtId="10" fontId="3" fillId="0" borderId="1" xfId="0" applyNumberFormat="1" applyFont="1" applyBorder="1"/>
    <xf numFmtId="3" fontId="4" fillId="0" borderId="1" xfId="0" applyNumberFormat="1" applyFont="1" applyBorder="1"/>
    <xf numFmtId="0" fontId="2" fillId="0" borderId="1" xfId="0" quotePrefix="1" applyFont="1" applyBorder="1"/>
    <xf numFmtId="10" fontId="2" fillId="0" borderId="1" xfId="0" applyNumberFormat="1" applyFont="1" applyBorder="1"/>
    <xf numFmtId="0" fontId="2" fillId="0" borderId="0" xfId="0" applyFont="1" applyBorder="1"/>
    <xf numFmtId="10" fontId="2" fillId="0" borderId="0" xfId="0" applyNumberFormat="1" applyFont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12</xdr:col>
      <xdr:colOff>787400</xdr:colOff>
      <xdr:row>1</xdr:row>
      <xdr:rowOff>12700</xdr:rowOff>
    </xdr:from>
    <xdr:to>
      <xdr:col>32</xdr:col>
      <xdr:colOff>243220</xdr:colOff>
      <xdr:row>20</xdr:row>
      <xdr:rowOff>192263</xdr:rowOff>
    </xdr:to>
    <xdr:pic>
      <xdr:nvPicPr>
        <xdr:cNvPr id="2" name="Bilde 1">
          <a:extLst>
            <a:ext uri="{FF2B5EF4-FFF2-40B4-BE49-F238E27FC236}">
              <a16:creationId xmlns:a16="http://schemas.microsoft.com/office/drawing/2014/main" id="{2C9D50AD-7F2D-3BC4-E8DE-43E9699F4A9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6329025" y="250825"/>
          <a:ext cx="12282820" cy="4908550"/>
        </a:xfrm>
        <a:prstGeom prst="rect">
          <a:avLst/>
        </a:prstGeom>
      </xdr:spPr>
    </xdr:pic>
    <xdr:clientData/>
  </xdr:twoCellAnchor>
  <xdr:twoCellAnchor editAs="oneCell">
    <xdr:from>
      <xdr:col>12</xdr:col>
      <xdr:colOff>650874</xdr:colOff>
      <xdr:row>48</xdr:row>
      <xdr:rowOff>190500</xdr:rowOff>
    </xdr:from>
    <xdr:to>
      <xdr:col>27</xdr:col>
      <xdr:colOff>131188</xdr:colOff>
      <xdr:row>63</xdr:row>
      <xdr:rowOff>158749</xdr:rowOff>
    </xdr:to>
    <xdr:pic>
      <xdr:nvPicPr>
        <xdr:cNvPr id="4" name="Bilde 3">
          <a:extLst>
            <a:ext uri="{FF2B5EF4-FFF2-40B4-BE49-F238E27FC236}">
              <a16:creationId xmlns:a16="http://schemas.microsoft.com/office/drawing/2014/main" id="{12A51C73-C591-FAAA-CF14-D648541CA9A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6192499" y="10191750"/>
          <a:ext cx="9306939" cy="3540125"/>
        </a:xfrm>
        <a:prstGeom prst="rect">
          <a:avLst/>
        </a:prstGeom>
      </xdr:spPr>
    </xdr:pic>
    <xdr:clientData/>
  </xdr:twoCellAnchor>
  <xdr:twoCellAnchor editAs="oneCell">
    <xdr:from>
      <xdr:col>0</xdr:col>
      <xdr:colOff>904874</xdr:colOff>
      <xdr:row>60</xdr:row>
      <xdr:rowOff>206375</xdr:rowOff>
    </xdr:from>
    <xdr:to>
      <xdr:col>9</xdr:col>
      <xdr:colOff>590334</xdr:colOff>
      <xdr:row>78</xdr:row>
      <xdr:rowOff>111125</xdr:rowOff>
    </xdr:to>
    <xdr:pic>
      <xdr:nvPicPr>
        <xdr:cNvPr id="3" name="Bilde 2">
          <a:extLst>
            <a:ext uri="{FF2B5EF4-FFF2-40B4-BE49-F238E27FC236}">
              <a16:creationId xmlns:a16="http://schemas.microsoft.com/office/drawing/2014/main" id="{ADB9DC6D-F5AE-922B-BFBE-CA99CA7CC0D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904874" y="12128500"/>
          <a:ext cx="12750585" cy="4191000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177800</xdr:colOff>
      <xdr:row>13</xdr:row>
      <xdr:rowOff>101599</xdr:rowOff>
    </xdr:from>
    <xdr:to>
      <xdr:col>12</xdr:col>
      <xdr:colOff>711200</xdr:colOff>
      <xdr:row>43</xdr:row>
      <xdr:rowOff>28196</xdr:rowOff>
    </xdr:to>
    <xdr:pic>
      <xdr:nvPicPr>
        <xdr:cNvPr id="2" name="Bilde 1">
          <a:extLst>
            <a:ext uri="{FF2B5EF4-FFF2-40B4-BE49-F238E27FC236}">
              <a16:creationId xmlns:a16="http://schemas.microsoft.com/office/drawing/2014/main" id="{38A12028-536F-92C3-4A6F-A8F5B1ACC08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828800" y="2743199"/>
          <a:ext cx="13030200" cy="6022597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2013 – 2022-tema">
  <a:themeElements>
    <a:clrScheme name="Office 2013–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–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–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0C1435-709C-3B43-BA1B-F2D0BCFE38FD}">
  <dimension ref="A1:AM67"/>
  <sheetViews>
    <sheetView showGridLines="0" zoomScale="80" zoomScaleNormal="80" workbookViewId="0">
      <selection activeCell="A20" sqref="A20"/>
    </sheetView>
  </sheetViews>
  <sheetFormatPr baseColWidth="10" defaultRowHeight="19" x14ac:dyDescent="0.25"/>
  <cols>
    <col min="1" max="1" width="17.83203125" style="2" customWidth="1"/>
    <col min="2" max="2" width="14" style="2" bestFit="1" customWidth="1"/>
    <col min="3" max="3" width="10.83203125" style="2"/>
    <col min="4" max="4" width="28.1640625" style="2" bestFit="1" customWidth="1"/>
    <col min="5" max="5" width="22.33203125" style="2" bestFit="1" customWidth="1"/>
    <col min="6" max="6" width="35.6640625" style="2" bestFit="1" customWidth="1"/>
    <col min="7" max="7" width="21" style="2" bestFit="1" customWidth="1"/>
    <col min="8" max="13" width="10.83203125" style="2"/>
    <col min="14" max="14" width="14.83203125" style="2" customWidth="1"/>
    <col min="15" max="15" width="10.83203125" style="2"/>
    <col min="16" max="17" width="7.83203125" style="2" customWidth="1"/>
    <col min="18" max="18" width="8.1640625" style="2" customWidth="1"/>
    <col min="19" max="19" width="7.83203125" style="2" customWidth="1"/>
    <col min="20" max="20" width="7.33203125" style="2" customWidth="1"/>
    <col min="21" max="21" width="7.5" style="2" customWidth="1"/>
    <col min="22" max="22" width="7.33203125" style="2" customWidth="1"/>
    <col min="23" max="24" width="7.5" style="2" customWidth="1"/>
    <col min="25" max="25" width="6.83203125" style="2" customWidth="1"/>
    <col min="26" max="26" width="8.5" style="2" customWidth="1"/>
    <col min="27" max="27" width="8.1640625" style="2" customWidth="1"/>
    <col min="28" max="28" width="7.5" style="2" customWidth="1"/>
    <col min="29" max="29" width="8.1640625" style="2" customWidth="1"/>
    <col min="30" max="30" width="7.33203125" style="2" customWidth="1"/>
    <col min="31" max="31" width="8.1640625" style="2" customWidth="1"/>
    <col min="32" max="32" width="8.33203125" style="2" customWidth="1"/>
    <col min="33" max="33" width="7.83203125" style="2" customWidth="1"/>
    <col min="34" max="34" width="8.5" style="2" customWidth="1"/>
    <col min="35" max="35" width="7.33203125" style="2" customWidth="1"/>
    <col min="36" max="36" width="6.83203125" style="2" customWidth="1"/>
    <col min="37" max="37" width="7.33203125" style="2" customWidth="1"/>
    <col min="38" max="38" width="7" style="2" customWidth="1"/>
    <col min="39" max="39" width="8.33203125" style="2" customWidth="1"/>
    <col min="40" max="16384" width="10.83203125" style="2"/>
  </cols>
  <sheetData>
    <row r="1" spans="1:14" x14ac:dyDescent="0.25">
      <c r="N1" s="4" t="s">
        <v>151</v>
      </c>
    </row>
    <row r="4" spans="1:14" x14ac:dyDescent="0.25">
      <c r="B4" s="4" t="s">
        <v>7</v>
      </c>
      <c r="C4" s="4" t="s">
        <v>19</v>
      </c>
      <c r="D4" s="4" t="s">
        <v>22</v>
      </c>
      <c r="E4" s="4" t="s">
        <v>31</v>
      </c>
      <c r="F4" s="4" t="s">
        <v>33</v>
      </c>
      <c r="G4" s="4" t="s">
        <v>198</v>
      </c>
    </row>
    <row r="5" spans="1:14" ht="19" customHeight="1" x14ac:dyDescent="0.25">
      <c r="A5" s="70" t="s">
        <v>20</v>
      </c>
      <c r="B5" s="18" t="s">
        <v>8</v>
      </c>
      <c r="C5" s="18" t="s">
        <v>25</v>
      </c>
      <c r="D5" s="19">
        <v>800</v>
      </c>
      <c r="E5" s="19">
        <v>92</v>
      </c>
      <c r="F5" s="19">
        <v>9.5</v>
      </c>
      <c r="G5" s="19">
        <v>2012</v>
      </c>
    </row>
    <row r="6" spans="1:14" x14ac:dyDescent="0.25">
      <c r="A6" s="71"/>
      <c r="B6" s="18" t="s">
        <v>9</v>
      </c>
      <c r="C6" s="18" t="s">
        <v>26</v>
      </c>
      <c r="D6" s="19">
        <v>1540</v>
      </c>
      <c r="E6" s="19">
        <v>105</v>
      </c>
      <c r="F6" s="20" t="s">
        <v>37</v>
      </c>
      <c r="G6" s="19">
        <v>2015</v>
      </c>
    </row>
    <row r="7" spans="1:14" x14ac:dyDescent="0.25">
      <c r="A7" s="71"/>
      <c r="B7" s="18" t="s">
        <v>10</v>
      </c>
      <c r="C7" s="18" t="s">
        <v>27</v>
      </c>
      <c r="D7" s="19">
        <v>1600</v>
      </c>
      <c r="E7" s="19">
        <v>160</v>
      </c>
      <c r="F7" s="19" t="s">
        <v>34</v>
      </c>
      <c r="G7" s="19">
        <v>2012</v>
      </c>
      <c r="H7" s="2" t="s">
        <v>42</v>
      </c>
    </row>
    <row r="8" spans="1:14" x14ac:dyDescent="0.25">
      <c r="A8" s="71"/>
      <c r="B8" s="18" t="s">
        <v>11</v>
      </c>
      <c r="C8" s="18" t="s">
        <v>27</v>
      </c>
      <c r="D8" s="19">
        <v>1600</v>
      </c>
      <c r="E8" s="19">
        <v>160</v>
      </c>
      <c r="F8" s="19" t="s">
        <v>34</v>
      </c>
      <c r="G8" s="19">
        <v>2013</v>
      </c>
      <c r="H8" s="2" t="s">
        <v>42</v>
      </c>
    </row>
    <row r="9" spans="1:14" x14ac:dyDescent="0.25">
      <c r="A9" s="71"/>
      <c r="B9" s="18" t="s">
        <v>229</v>
      </c>
      <c r="C9" s="18" t="s">
        <v>230</v>
      </c>
      <c r="D9" s="19">
        <v>2200</v>
      </c>
      <c r="E9" s="19"/>
      <c r="F9" s="19">
        <v>15</v>
      </c>
      <c r="G9" s="19" t="s">
        <v>231</v>
      </c>
    </row>
    <row r="10" spans="1:14" x14ac:dyDescent="0.25">
      <c r="A10" s="71"/>
      <c r="B10" s="18" t="s">
        <v>12</v>
      </c>
      <c r="C10" s="18" t="s">
        <v>28</v>
      </c>
      <c r="D10" s="19">
        <v>2600</v>
      </c>
      <c r="E10" s="19">
        <v>174</v>
      </c>
      <c r="F10" s="19" t="s">
        <v>35</v>
      </c>
      <c r="G10" s="19" t="s">
        <v>197</v>
      </c>
    </row>
    <row r="11" spans="1:14" x14ac:dyDescent="0.25">
      <c r="A11" s="71"/>
      <c r="B11" s="18" t="s">
        <v>13</v>
      </c>
      <c r="C11" s="18" t="s">
        <v>28</v>
      </c>
      <c r="D11" s="19">
        <v>2600</v>
      </c>
      <c r="E11" s="19">
        <v>174</v>
      </c>
      <c r="F11" s="19" t="s">
        <v>35</v>
      </c>
      <c r="G11" s="34" t="s">
        <v>38</v>
      </c>
    </row>
    <row r="12" spans="1:14" x14ac:dyDescent="0.25">
      <c r="A12" s="71"/>
      <c r="B12" s="18" t="s">
        <v>14</v>
      </c>
      <c r="C12" s="18" t="s">
        <v>29</v>
      </c>
      <c r="D12" s="19" t="s">
        <v>23</v>
      </c>
      <c r="E12" s="19" t="s">
        <v>32</v>
      </c>
      <c r="F12" s="19" t="s">
        <v>35</v>
      </c>
      <c r="G12" s="19">
        <v>2024</v>
      </c>
    </row>
    <row r="13" spans="1:14" ht="19" customHeight="1" x14ac:dyDescent="0.3">
      <c r="A13" s="72"/>
      <c r="B13" s="18" t="s">
        <v>15</v>
      </c>
      <c r="C13" s="18" t="s">
        <v>29</v>
      </c>
      <c r="D13" s="19" t="s">
        <v>23</v>
      </c>
      <c r="E13" s="19" t="s">
        <v>32</v>
      </c>
      <c r="F13" s="19" t="s">
        <v>35</v>
      </c>
      <c r="G13" s="19" t="s">
        <v>39</v>
      </c>
      <c r="J13" s="60" t="s">
        <v>226</v>
      </c>
    </row>
    <row r="14" spans="1:14" ht="24" x14ac:dyDescent="0.3">
      <c r="A14" s="70" t="s">
        <v>21</v>
      </c>
      <c r="B14" s="18" t="s">
        <v>16</v>
      </c>
      <c r="C14" s="18" t="s">
        <v>30</v>
      </c>
      <c r="D14" s="19" t="s">
        <v>24</v>
      </c>
      <c r="E14" s="19" t="s">
        <v>32</v>
      </c>
      <c r="F14" s="19" t="s">
        <v>36</v>
      </c>
      <c r="G14" s="19" t="s">
        <v>231</v>
      </c>
      <c r="J14" s="61" t="s">
        <v>56</v>
      </c>
      <c r="K14" s="61" t="s">
        <v>241</v>
      </c>
    </row>
    <row r="15" spans="1:14" ht="24" x14ac:dyDescent="0.3">
      <c r="A15" s="71"/>
      <c r="B15" s="18" t="s">
        <v>17</v>
      </c>
      <c r="C15" s="18" t="s">
        <v>30</v>
      </c>
      <c r="D15" s="19" t="s">
        <v>24</v>
      </c>
      <c r="E15" s="19" t="s">
        <v>32</v>
      </c>
      <c r="F15" s="19" t="s">
        <v>36</v>
      </c>
      <c r="G15" s="34" t="s">
        <v>40</v>
      </c>
      <c r="J15" s="61" t="s">
        <v>121</v>
      </c>
      <c r="K15" s="61" t="s">
        <v>242</v>
      </c>
    </row>
    <row r="16" spans="1:14" x14ac:dyDescent="0.25">
      <c r="A16" s="72"/>
      <c r="B16" s="18" t="s">
        <v>18</v>
      </c>
      <c r="C16" s="18" t="s">
        <v>30</v>
      </c>
      <c r="D16" s="19" t="s">
        <v>24</v>
      </c>
      <c r="E16" s="19" t="s">
        <v>32</v>
      </c>
      <c r="F16" s="19" t="s">
        <v>36</v>
      </c>
      <c r="G16" s="34" t="s">
        <v>41</v>
      </c>
    </row>
    <row r="18" spans="1:39" ht="24" x14ac:dyDescent="0.3">
      <c r="H18" s="61"/>
    </row>
    <row r="19" spans="1:39" x14ac:dyDescent="0.25">
      <c r="A19" s="4" t="s">
        <v>132</v>
      </c>
    </row>
    <row r="20" spans="1:39" ht="20" customHeight="1" x14ac:dyDescent="0.25">
      <c r="A20" s="2" t="s">
        <v>267</v>
      </c>
    </row>
    <row r="21" spans="1:39" ht="18" customHeight="1" x14ac:dyDescent="0.25">
      <c r="A21" s="2" t="s">
        <v>266</v>
      </c>
    </row>
    <row r="22" spans="1:39" x14ac:dyDescent="0.25">
      <c r="A22" s="2" t="s">
        <v>259</v>
      </c>
    </row>
    <row r="23" spans="1:39" x14ac:dyDescent="0.25">
      <c r="A23" s="2" t="s">
        <v>258</v>
      </c>
    </row>
    <row r="24" spans="1:39" x14ac:dyDescent="0.25">
      <c r="A24" s="2" t="s">
        <v>257</v>
      </c>
    </row>
    <row r="25" spans="1:39" x14ac:dyDescent="0.25">
      <c r="A25" s="2" t="s">
        <v>249</v>
      </c>
    </row>
    <row r="26" spans="1:39" x14ac:dyDescent="0.25">
      <c r="A26" s="2" t="s">
        <v>243</v>
      </c>
    </row>
    <row r="27" spans="1:39" x14ac:dyDescent="0.25">
      <c r="A27" s="2" t="s">
        <v>239</v>
      </c>
    </row>
    <row r="28" spans="1:39" x14ac:dyDescent="0.25">
      <c r="A28" s="2" t="s">
        <v>240</v>
      </c>
    </row>
    <row r="29" spans="1:39" x14ac:dyDescent="0.25">
      <c r="A29" s="2" t="s">
        <v>238</v>
      </c>
    </row>
    <row r="30" spans="1:39" x14ac:dyDescent="0.25">
      <c r="A30" s="2" t="s">
        <v>237</v>
      </c>
      <c r="P30" s="73">
        <v>2024</v>
      </c>
      <c r="Q30" s="74"/>
      <c r="R30" s="74"/>
      <c r="S30" s="75"/>
      <c r="T30" s="73">
        <v>2025</v>
      </c>
      <c r="U30" s="74"/>
      <c r="V30" s="74"/>
      <c r="W30" s="75"/>
      <c r="X30" s="73">
        <v>2026</v>
      </c>
      <c r="Y30" s="74"/>
      <c r="Z30" s="74"/>
      <c r="AA30" s="75"/>
      <c r="AB30" s="73">
        <v>2027</v>
      </c>
      <c r="AC30" s="74"/>
      <c r="AD30" s="74"/>
      <c r="AE30" s="75"/>
      <c r="AF30" s="76">
        <v>2028</v>
      </c>
      <c r="AG30" s="77"/>
      <c r="AH30" s="77"/>
      <c r="AI30" s="78"/>
      <c r="AJ30" s="76">
        <v>2029</v>
      </c>
      <c r="AK30" s="77"/>
      <c r="AL30" s="77"/>
      <c r="AM30" s="78"/>
    </row>
    <row r="31" spans="1:39" x14ac:dyDescent="0.25">
      <c r="A31" s="2" t="s">
        <v>236</v>
      </c>
      <c r="N31" s="35" t="s">
        <v>152</v>
      </c>
      <c r="O31" s="35" t="s">
        <v>19</v>
      </c>
      <c r="P31" s="38" t="s">
        <v>153</v>
      </c>
      <c r="Q31" s="36" t="s">
        <v>154</v>
      </c>
      <c r="R31" s="36" t="s">
        <v>155</v>
      </c>
      <c r="S31" s="37" t="s">
        <v>156</v>
      </c>
      <c r="T31" s="38" t="s">
        <v>153</v>
      </c>
      <c r="U31" s="36" t="s">
        <v>154</v>
      </c>
      <c r="V31" s="59" t="s">
        <v>155</v>
      </c>
      <c r="W31" s="37" t="s">
        <v>156</v>
      </c>
      <c r="X31" s="38" t="s">
        <v>153</v>
      </c>
      <c r="Y31" s="36" t="s">
        <v>154</v>
      </c>
      <c r="Z31" s="36" t="s">
        <v>155</v>
      </c>
      <c r="AA31" s="37" t="s">
        <v>156</v>
      </c>
      <c r="AB31" s="38" t="s">
        <v>153</v>
      </c>
      <c r="AC31" s="36" t="s">
        <v>154</v>
      </c>
      <c r="AD31" s="36" t="s">
        <v>155</v>
      </c>
      <c r="AE31" s="37" t="s">
        <v>156</v>
      </c>
      <c r="AF31" s="38" t="s">
        <v>153</v>
      </c>
      <c r="AG31" s="36" t="s">
        <v>154</v>
      </c>
      <c r="AH31" s="36" t="s">
        <v>155</v>
      </c>
      <c r="AI31" s="37" t="s">
        <v>156</v>
      </c>
      <c r="AJ31" s="38" t="s">
        <v>153</v>
      </c>
      <c r="AK31" s="36" t="s">
        <v>154</v>
      </c>
      <c r="AL31" s="36" t="s">
        <v>155</v>
      </c>
      <c r="AM31" s="37" t="s">
        <v>156</v>
      </c>
    </row>
    <row r="32" spans="1:39" x14ac:dyDescent="0.25">
      <c r="A32" s="2" t="s">
        <v>233</v>
      </c>
      <c r="P32" s="39"/>
      <c r="S32" s="3"/>
      <c r="T32" s="39"/>
      <c r="W32" s="3"/>
      <c r="X32" s="39"/>
      <c r="AA32" s="3"/>
      <c r="AB32" s="39"/>
      <c r="AE32" s="3"/>
      <c r="AF32" s="39"/>
      <c r="AI32" s="3"/>
      <c r="AJ32" s="39"/>
      <c r="AM32" s="3"/>
    </row>
    <row r="33" spans="1:39" x14ac:dyDescent="0.25">
      <c r="A33" s="2" t="s">
        <v>232</v>
      </c>
      <c r="N33" s="2" t="s">
        <v>10</v>
      </c>
      <c r="O33" s="2" t="s">
        <v>27</v>
      </c>
      <c r="P33" s="43"/>
      <c r="Q33" s="42" t="s">
        <v>169</v>
      </c>
      <c r="R33" s="42"/>
      <c r="S33" s="48"/>
      <c r="T33" s="50" t="s">
        <v>194</v>
      </c>
      <c r="U33" s="42" t="s">
        <v>172</v>
      </c>
      <c r="V33" s="47"/>
      <c r="W33" s="48"/>
      <c r="X33" s="52"/>
      <c r="AA33" s="3"/>
      <c r="AB33" s="50" t="s">
        <v>174</v>
      </c>
      <c r="AC33" s="47"/>
      <c r="AD33" s="47"/>
      <c r="AE33" s="53"/>
      <c r="AF33" s="50" t="s">
        <v>188</v>
      </c>
      <c r="AG33" s="47"/>
      <c r="AH33" s="47"/>
      <c r="AI33" s="48"/>
      <c r="AJ33" s="39"/>
      <c r="AM33" s="3"/>
    </row>
    <row r="34" spans="1:39" x14ac:dyDescent="0.25">
      <c r="A34" s="2" t="s">
        <v>228</v>
      </c>
      <c r="N34" s="2" t="s">
        <v>11</v>
      </c>
      <c r="O34" s="2" t="s">
        <v>27</v>
      </c>
      <c r="P34" s="43"/>
      <c r="Q34" s="42" t="s">
        <v>170</v>
      </c>
      <c r="R34" s="42"/>
      <c r="S34" s="48"/>
      <c r="T34" s="50" t="s">
        <v>194</v>
      </c>
      <c r="U34" s="42" t="s">
        <v>171</v>
      </c>
      <c r="V34" s="47"/>
      <c r="W34" s="48"/>
      <c r="X34" s="52"/>
      <c r="Y34" s="42" t="s">
        <v>175</v>
      </c>
      <c r="Z34" s="47"/>
      <c r="AA34" s="53"/>
      <c r="AB34" s="39"/>
      <c r="AD34" s="42" t="s">
        <v>176</v>
      </c>
      <c r="AE34" s="48"/>
      <c r="AF34" s="52"/>
      <c r="AG34" s="40"/>
      <c r="AI34" s="3"/>
      <c r="AJ34" s="39"/>
      <c r="AM34" s="3"/>
    </row>
    <row r="35" spans="1:39" x14ac:dyDescent="0.25">
      <c r="A35" s="2" t="s">
        <v>205</v>
      </c>
      <c r="N35" s="2" t="s">
        <v>157</v>
      </c>
      <c r="O35" s="2" t="s">
        <v>29</v>
      </c>
      <c r="P35" s="43" t="s">
        <v>168</v>
      </c>
      <c r="Q35" s="44"/>
      <c r="R35" s="44"/>
      <c r="S35" s="46"/>
      <c r="T35" s="50" t="s">
        <v>173</v>
      </c>
      <c r="U35" s="47"/>
      <c r="V35" s="47"/>
      <c r="W35" s="48"/>
      <c r="X35" s="49"/>
      <c r="Y35" s="42"/>
      <c r="Z35" s="40"/>
      <c r="AA35" s="51" t="s">
        <v>179</v>
      </c>
      <c r="AB35" s="49"/>
      <c r="AC35" s="47"/>
      <c r="AD35" s="47"/>
      <c r="AE35" s="53"/>
      <c r="AF35" s="50" t="s">
        <v>186</v>
      </c>
      <c r="AG35" s="47"/>
      <c r="AH35" s="47"/>
      <c r="AI35" s="53"/>
      <c r="AJ35" s="39"/>
      <c r="AM35" s="3"/>
    </row>
    <row r="36" spans="1:39" x14ac:dyDescent="0.25">
      <c r="A36" s="2" t="s">
        <v>204</v>
      </c>
      <c r="N36" s="2" t="s">
        <v>158</v>
      </c>
      <c r="O36" s="2" t="s">
        <v>29</v>
      </c>
      <c r="P36" s="43" t="s">
        <v>168</v>
      </c>
      <c r="Q36" s="44"/>
      <c r="R36" s="44"/>
      <c r="S36" s="45"/>
      <c r="T36" s="43"/>
      <c r="U36" s="42" t="s">
        <v>253</v>
      </c>
      <c r="V36" s="42"/>
      <c r="W36" s="48"/>
      <c r="X36" s="49"/>
      <c r="Y36" s="42" t="s">
        <v>175</v>
      </c>
      <c r="Z36" s="47"/>
      <c r="AA36" s="53"/>
      <c r="AB36" s="50" t="s">
        <v>177</v>
      </c>
      <c r="AC36" s="40"/>
      <c r="AD36" s="42" t="s">
        <v>178</v>
      </c>
      <c r="AE36" s="48"/>
      <c r="AF36" s="39"/>
      <c r="AI36" s="3"/>
      <c r="AJ36" s="39"/>
      <c r="AM36" s="3"/>
    </row>
    <row r="37" spans="1:39" x14ac:dyDescent="0.25">
      <c r="A37" s="2" t="s">
        <v>203</v>
      </c>
      <c r="N37" s="2" t="s">
        <v>159</v>
      </c>
      <c r="O37" s="2" t="s">
        <v>30</v>
      </c>
      <c r="P37" s="43" t="s">
        <v>168</v>
      </c>
      <c r="Q37" s="44"/>
      <c r="R37" s="44"/>
      <c r="S37" s="45"/>
      <c r="T37" s="43"/>
      <c r="U37" s="44"/>
      <c r="V37" s="44"/>
      <c r="W37" s="45"/>
      <c r="X37" s="50" t="s">
        <v>179</v>
      </c>
      <c r="Y37" s="47"/>
      <c r="Z37" s="47"/>
      <c r="AA37" s="48"/>
      <c r="AB37" s="62"/>
      <c r="AC37" s="63"/>
      <c r="AD37" s="63"/>
      <c r="AE37" s="64"/>
      <c r="AF37" s="65"/>
      <c r="AG37" s="63"/>
      <c r="AH37" s="63"/>
      <c r="AI37" s="64"/>
      <c r="AJ37" s="65"/>
      <c r="AK37" s="63"/>
      <c r="AL37" s="63"/>
      <c r="AM37" s="66"/>
    </row>
    <row r="38" spans="1:39" x14ac:dyDescent="0.25">
      <c r="A38" s="2" t="s">
        <v>202</v>
      </c>
      <c r="N38" s="2" t="s">
        <v>160</v>
      </c>
      <c r="O38" s="2" t="s">
        <v>30</v>
      </c>
      <c r="P38" s="43" t="s">
        <v>168</v>
      </c>
      <c r="Q38" s="44"/>
      <c r="R38" s="44"/>
      <c r="S38" s="45"/>
      <c r="T38" s="43"/>
      <c r="U38" s="44"/>
      <c r="V38" s="44"/>
      <c r="W38" s="45"/>
      <c r="X38" s="43"/>
      <c r="Y38" s="44"/>
      <c r="Z38" s="41"/>
      <c r="AA38" s="46"/>
      <c r="AB38" s="50" t="s">
        <v>176</v>
      </c>
      <c r="AC38" s="47"/>
      <c r="AD38" s="40"/>
      <c r="AE38" s="53"/>
      <c r="AF38" s="50" t="s">
        <v>180</v>
      </c>
      <c r="AG38" s="47"/>
      <c r="AH38" s="40"/>
      <c r="AI38" s="53"/>
      <c r="AJ38" s="52"/>
      <c r="AK38" s="40"/>
      <c r="AL38" s="40"/>
      <c r="AM38" s="54" t="s">
        <v>187</v>
      </c>
    </row>
    <row r="39" spans="1:39" x14ac:dyDescent="0.25">
      <c r="A39" s="2" t="s">
        <v>201</v>
      </c>
      <c r="N39" s="2" t="s">
        <v>161</v>
      </c>
      <c r="O39" s="2" t="s">
        <v>30</v>
      </c>
      <c r="P39" s="39"/>
      <c r="Q39" s="40"/>
      <c r="R39" s="44"/>
      <c r="S39" s="45"/>
      <c r="T39" s="43"/>
      <c r="U39" s="44"/>
      <c r="V39" s="44"/>
      <c r="W39" s="45"/>
      <c r="X39" s="43"/>
      <c r="Y39" s="44"/>
      <c r="Z39" s="44"/>
      <c r="AA39" s="45"/>
      <c r="AB39" s="43"/>
      <c r="AC39" s="41"/>
      <c r="AE39" s="3"/>
      <c r="AF39" s="39"/>
      <c r="AI39" s="3"/>
      <c r="AJ39" s="39"/>
      <c r="AM39" s="3"/>
    </row>
    <row r="40" spans="1:39" x14ac:dyDescent="0.25">
      <c r="A40" s="2" t="s">
        <v>200</v>
      </c>
      <c r="N40" s="2" t="s">
        <v>229</v>
      </c>
      <c r="O40" s="2" t="s">
        <v>230</v>
      </c>
      <c r="P40" s="39"/>
      <c r="S40" s="3"/>
      <c r="T40" s="39"/>
      <c r="V40" s="41"/>
      <c r="W40" s="46"/>
      <c r="X40" s="50" t="s">
        <v>254</v>
      </c>
      <c r="Y40" s="47"/>
      <c r="Z40" s="47"/>
      <c r="AA40" s="48"/>
      <c r="AB40" s="49"/>
      <c r="AC40" s="47"/>
      <c r="AD40" s="47"/>
      <c r="AE40" s="48"/>
      <c r="AF40" s="49"/>
      <c r="AG40" s="47"/>
      <c r="AH40" s="47"/>
      <c r="AI40" s="48"/>
      <c r="AJ40" s="49"/>
      <c r="AM40" s="3"/>
    </row>
    <row r="41" spans="1:39" x14ac:dyDescent="0.25">
      <c r="A41" s="2" t="s">
        <v>199</v>
      </c>
      <c r="N41" s="2" t="s">
        <v>8</v>
      </c>
      <c r="O41" s="2" t="s">
        <v>25</v>
      </c>
      <c r="P41" s="39"/>
      <c r="Q41" s="42" t="s">
        <v>195</v>
      </c>
      <c r="R41" s="47"/>
      <c r="S41" s="3"/>
      <c r="T41" s="50" t="s">
        <v>252</v>
      </c>
      <c r="U41" s="47"/>
      <c r="V41" s="47"/>
      <c r="W41" s="48"/>
      <c r="X41" s="39"/>
      <c r="AA41" s="3"/>
      <c r="AB41" s="39"/>
      <c r="AE41" s="3"/>
      <c r="AF41" s="39"/>
      <c r="AI41" s="3"/>
      <c r="AJ41" s="39"/>
      <c r="AM41" s="3"/>
    </row>
    <row r="42" spans="1:39" x14ac:dyDescent="0.25">
      <c r="A42" s="2" t="s">
        <v>133</v>
      </c>
      <c r="N42" s="2" t="s">
        <v>162</v>
      </c>
      <c r="O42" s="2" t="s">
        <v>26</v>
      </c>
      <c r="P42" s="49"/>
      <c r="Q42" s="42" t="s">
        <v>181</v>
      </c>
      <c r="R42" s="47"/>
      <c r="S42" s="48"/>
      <c r="T42" s="50"/>
      <c r="U42" s="67" t="s">
        <v>181</v>
      </c>
      <c r="V42" s="47"/>
      <c r="W42" s="48"/>
      <c r="X42" s="52"/>
      <c r="Y42" s="40"/>
      <c r="AA42" s="3"/>
      <c r="AB42" s="39"/>
      <c r="AE42" s="3"/>
      <c r="AF42" s="39"/>
      <c r="AI42" s="3"/>
      <c r="AJ42" s="39"/>
      <c r="AM42" s="3"/>
    </row>
    <row r="43" spans="1:39" x14ac:dyDescent="0.25">
      <c r="A43" s="2" t="s">
        <v>134</v>
      </c>
      <c r="N43" s="2" t="s">
        <v>163</v>
      </c>
      <c r="O43" s="2" t="s">
        <v>28</v>
      </c>
      <c r="P43" s="43" t="s">
        <v>168</v>
      </c>
      <c r="Q43" s="44"/>
      <c r="R43" s="44"/>
      <c r="S43" s="45"/>
      <c r="T43" s="43"/>
      <c r="U43" s="42" t="s">
        <v>182</v>
      </c>
      <c r="V43" s="47"/>
      <c r="W43" s="53"/>
      <c r="X43" s="39"/>
      <c r="AA43" s="3"/>
      <c r="AB43" s="39"/>
      <c r="AC43" s="42" t="s">
        <v>183</v>
      </c>
      <c r="AD43" s="47"/>
      <c r="AE43" s="53"/>
      <c r="AF43" s="39"/>
      <c r="AG43" s="42" t="s">
        <v>185</v>
      </c>
      <c r="AH43" s="47"/>
      <c r="AI43" s="48"/>
      <c r="AJ43" s="49"/>
      <c r="AK43" s="40"/>
      <c r="AL43" s="40"/>
      <c r="AM43" s="3"/>
    </row>
    <row r="44" spans="1:39" x14ac:dyDescent="0.25">
      <c r="A44" s="2" t="s">
        <v>135</v>
      </c>
      <c r="N44" s="2" t="s">
        <v>164</v>
      </c>
      <c r="O44" s="2" t="s">
        <v>28</v>
      </c>
      <c r="P44" s="43" t="s">
        <v>168</v>
      </c>
      <c r="Q44" s="44"/>
      <c r="R44" s="44"/>
      <c r="S44" s="45"/>
      <c r="T44" s="43"/>
      <c r="U44" s="44"/>
      <c r="V44" s="44"/>
      <c r="W44" s="51" t="s">
        <v>186</v>
      </c>
      <c r="X44" s="49"/>
      <c r="Y44" s="47"/>
      <c r="Z44" s="47"/>
      <c r="AA44" s="51" t="s">
        <v>184</v>
      </c>
      <c r="AB44" s="49"/>
      <c r="AC44" s="47"/>
      <c r="AE44" s="3"/>
      <c r="AF44" s="39"/>
      <c r="AI44" s="3"/>
      <c r="AJ44" s="39"/>
      <c r="AM44" s="3"/>
    </row>
    <row r="45" spans="1:39" x14ac:dyDescent="0.25">
      <c r="A45" s="2" t="s">
        <v>136</v>
      </c>
    </row>
    <row r="46" spans="1:39" x14ac:dyDescent="0.25">
      <c r="A46" s="2" t="s">
        <v>137</v>
      </c>
      <c r="N46" s="42" t="s">
        <v>165</v>
      </c>
    </row>
    <row r="47" spans="1:39" x14ac:dyDescent="0.25">
      <c r="A47" s="2" t="s">
        <v>138</v>
      </c>
      <c r="N47" s="40" t="s">
        <v>166</v>
      </c>
    </row>
    <row r="48" spans="1:39" x14ac:dyDescent="0.25">
      <c r="A48" s="2" t="s">
        <v>139</v>
      </c>
      <c r="N48" s="41" t="s">
        <v>167</v>
      </c>
    </row>
    <row r="49" spans="1:1" x14ac:dyDescent="0.25">
      <c r="A49" s="2" t="s">
        <v>140</v>
      </c>
    </row>
    <row r="50" spans="1:1" x14ac:dyDescent="0.25">
      <c r="A50" s="2" t="s">
        <v>141</v>
      </c>
    </row>
    <row r="51" spans="1:1" x14ac:dyDescent="0.25">
      <c r="A51" s="2" t="s">
        <v>142</v>
      </c>
    </row>
    <row r="52" spans="1:1" x14ac:dyDescent="0.25">
      <c r="A52" s="2" t="s">
        <v>143</v>
      </c>
    </row>
    <row r="53" spans="1:1" x14ac:dyDescent="0.25">
      <c r="A53" s="2" t="s">
        <v>193</v>
      </c>
    </row>
    <row r="54" spans="1:1" x14ac:dyDescent="0.25">
      <c r="A54" s="2" t="s">
        <v>144</v>
      </c>
    </row>
    <row r="55" spans="1:1" x14ac:dyDescent="0.25">
      <c r="A55" s="2" t="s">
        <v>146</v>
      </c>
    </row>
    <row r="56" spans="1:1" x14ac:dyDescent="0.25">
      <c r="A56" s="2" t="s">
        <v>147</v>
      </c>
    </row>
    <row r="57" spans="1:1" x14ac:dyDescent="0.25">
      <c r="A57" s="2" t="s">
        <v>148</v>
      </c>
    </row>
    <row r="58" spans="1:1" x14ac:dyDescent="0.25">
      <c r="A58" s="2" t="s">
        <v>149</v>
      </c>
    </row>
    <row r="59" spans="1:1" x14ac:dyDescent="0.25">
      <c r="A59" s="2" t="s">
        <v>150</v>
      </c>
    </row>
    <row r="66" spans="14:14" x14ac:dyDescent="0.25">
      <c r="N66" s="2" t="s">
        <v>234</v>
      </c>
    </row>
    <row r="67" spans="14:14" x14ac:dyDescent="0.25">
      <c r="N67" s="2" t="s">
        <v>235</v>
      </c>
    </row>
  </sheetData>
  <mergeCells count="8">
    <mergeCell ref="A5:A13"/>
    <mergeCell ref="AB30:AE30"/>
    <mergeCell ref="AF30:AI30"/>
    <mergeCell ref="AJ30:AM30"/>
    <mergeCell ref="A14:A16"/>
    <mergeCell ref="P30:S30"/>
    <mergeCell ref="T30:W30"/>
    <mergeCell ref="X30:AA30"/>
  </mergeCell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B8B2C7-14A3-8048-87F7-966AE076B37C}">
  <dimension ref="A3:EG215"/>
  <sheetViews>
    <sheetView showGridLines="0" tabSelected="1" workbookViewId="0">
      <pane xSplit="3" ySplit="3" topLeftCell="H4" activePane="bottomRight" state="frozen"/>
      <selection pane="topRight" activeCell="D1" sqref="D1"/>
      <selection pane="bottomLeft" activeCell="A4" sqref="A4"/>
      <selection pane="bottomRight" activeCell="S30" sqref="S30"/>
    </sheetView>
  </sheetViews>
  <sheetFormatPr baseColWidth="10" defaultRowHeight="19" x14ac:dyDescent="0.25"/>
  <cols>
    <col min="1" max="1" width="16.33203125" style="2" bestFit="1" customWidth="1"/>
    <col min="2" max="2" width="10.83203125" style="3"/>
    <col min="3" max="3" width="37" style="2" bestFit="1" customWidth="1"/>
    <col min="4" max="16" width="10.83203125" style="2"/>
    <col min="17" max="17" width="10.83203125" style="3"/>
    <col min="18" max="20" width="10.83203125" style="2"/>
    <col min="21" max="21" width="11.5" style="2" bestFit="1" customWidth="1"/>
    <col min="22" max="23" width="10.83203125" style="2"/>
    <col min="24" max="24" width="11.5" style="2" bestFit="1" customWidth="1"/>
    <col min="25" max="28" width="10.83203125" style="2"/>
    <col min="29" max="29" width="10.83203125" style="3"/>
    <col min="30" max="40" width="10.83203125" style="2"/>
    <col min="41" max="41" width="14.33203125" style="2" bestFit="1" customWidth="1"/>
    <col min="42" max="16384" width="10.83203125" style="2"/>
  </cols>
  <sheetData>
    <row r="3" spans="1:137" x14ac:dyDescent="0.25">
      <c r="A3" s="1" t="s">
        <v>0</v>
      </c>
      <c r="C3" s="2" t="s">
        <v>145</v>
      </c>
      <c r="D3" s="14" t="s">
        <v>43</v>
      </c>
      <c r="E3" s="14" t="s">
        <v>44</v>
      </c>
      <c r="F3" s="14" t="s">
        <v>45</v>
      </c>
      <c r="G3" s="14" t="s">
        <v>46</v>
      </c>
      <c r="H3" s="14" t="s">
        <v>47</v>
      </c>
      <c r="I3" s="14" t="s">
        <v>48</v>
      </c>
      <c r="J3" s="14" t="s">
        <v>49</v>
      </c>
      <c r="K3" s="14" t="s">
        <v>50</v>
      </c>
      <c r="L3" s="14" t="s">
        <v>51</v>
      </c>
      <c r="M3" s="14" t="s">
        <v>52</v>
      </c>
      <c r="N3" s="14" t="s">
        <v>53</v>
      </c>
      <c r="O3" s="14" t="s">
        <v>54</v>
      </c>
      <c r="P3" s="14" t="s">
        <v>115</v>
      </c>
      <c r="Q3" s="15" t="s">
        <v>116</v>
      </c>
      <c r="R3" s="14" t="s">
        <v>117</v>
      </c>
      <c r="S3" s="14" t="s">
        <v>118</v>
      </c>
      <c r="T3" s="14"/>
      <c r="U3" s="14" t="s">
        <v>247</v>
      </c>
      <c r="V3" s="14" t="s">
        <v>248</v>
      </c>
      <c r="W3" s="14" t="s">
        <v>245</v>
      </c>
      <c r="X3" s="14" t="s">
        <v>246</v>
      </c>
      <c r="Y3" s="14" t="s">
        <v>114</v>
      </c>
      <c r="Z3" s="14" t="s">
        <v>99</v>
      </c>
      <c r="AA3" s="14" t="s">
        <v>100</v>
      </c>
      <c r="AB3" s="14" t="s">
        <v>101</v>
      </c>
      <c r="AC3" s="15" t="s">
        <v>102</v>
      </c>
      <c r="AD3" s="14" t="s">
        <v>103</v>
      </c>
      <c r="AE3" s="14" t="s">
        <v>104</v>
      </c>
      <c r="AF3" s="14" t="s">
        <v>105</v>
      </c>
      <c r="AG3" s="14" t="s">
        <v>106</v>
      </c>
      <c r="AH3" s="14" t="s">
        <v>107</v>
      </c>
      <c r="AI3" s="14" t="s">
        <v>108</v>
      </c>
      <c r="AJ3" s="14" t="s">
        <v>109</v>
      </c>
      <c r="AK3" s="14" t="s">
        <v>110</v>
      </c>
      <c r="AL3" s="14" t="s">
        <v>111</v>
      </c>
      <c r="AM3" s="14" t="s">
        <v>112</v>
      </c>
    </row>
    <row r="4" spans="1:137" s="4" customFormat="1" x14ac:dyDescent="0.25">
      <c r="A4" s="2" t="s">
        <v>1</v>
      </c>
      <c r="B4" s="5">
        <v>47</v>
      </c>
      <c r="C4" s="4" t="s">
        <v>56</v>
      </c>
      <c r="D4" s="27"/>
      <c r="E4" s="27"/>
      <c r="F4" s="27"/>
      <c r="G4" s="27"/>
      <c r="H4" s="27">
        <v>18.899999999999999</v>
      </c>
      <c r="I4" s="27"/>
      <c r="J4" s="27"/>
      <c r="K4" s="27"/>
      <c r="L4" s="27">
        <v>19</v>
      </c>
      <c r="M4" s="27">
        <v>63</v>
      </c>
      <c r="N4" s="27">
        <v>81</v>
      </c>
      <c r="O4" s="27">
        <f>248.738-163</f>
        <v>85.738</v>
      </c>
      <c r="P4" s="27">
        <v>65.474000000000004</v>
      </c>
      <c r="Q4" s="10">
        <f>298.535-P4</f>
        <v>233.06100000000004</v>
      </c>
      <c r="R4" s="27"/>
      <c r="S4" s="27"/>
      <c r="T4" s="27"/>
      <c r="U4" s="27"/>
      <c r="V4" s="2"/>
      <c r="W4" s="2"/>
      <c r="X4" s="2"/>
      <c r="Y4" s="22">
        <v>60.938000000000002</v>
      </c>
      <c r="Z4" s="22">
        <v>106.42400000000001</v>
      </c>
      <c r="AA4" s="22">
        <v>108.622</v>
      </c>
      <c r="AB4" s="22">
        <f>SUM(L4:O4)</f>
        <v>248.738</v>
      </c>
      <c r="AC4" s="10">
        <v>605</v>
      </c>
      <c r="AD4" s="27">
        <v>1129</v>
      </c>
      <c r="AE4" s="27">
        <v>1472</v>
      </c>
      <c r="AF4" s="27">
        <f>AE4*1.075</f>
        <v>1582.3999999999999</v>
      </c>
      <c r="AG4" s="27">
        <f>AF4*1.05</f>
        <v>1661.52</v>
      </c>
      <c r="AH4" s="27">
        <f t="shared" ref="AH4:AM4" si="0">AG4*1.05</f>
        <v>1744.596</v>
      </c>
      <c r="AI4" s="27">
        <f t="shared" si="0"/>
        <v>1831.8258000000001</v>
      </c>
      <c r="AJ4" s="27">
        <f t="shared" si="0"/>
        <v>1923.4170900000001</v>
      </c>
      <c r="AK4" s="27">
        <f t="shared" si="0"/>
        <v>2019.5879445000003</v>
      </c>
      <c r="AL4" s="27">
        <f t="shared" si="0"/>
        <v>2120.5673417250005</v>
      </c>
      <c r="AM4" s="27">
        <f t="shared" si="0"/>
        <v>2226.5957088112505</v>
      </c>
    </row>
    <row r="5" spans="1:137" x14ac:dyDescent="0.25">
      <c r="A5" s="2" t="s">
        <v>2</v>
      </c>
      <c r="B5" s="5">
        <v>350.957583</v>
      </c>
      <c r="C5" s="2" t="s">
        <v>57</v>
      </c>
      <c r="D5" s="9"/>
      <c r="E5" s="9"/>
      <c r="F5" s="9"/>
      <c r="G5" s="9"/>
      <c r="H5" s="9">
        <v>-12.15</v>
      </c>
      <c r="I5" s="9"/>
      <c r="J5" s="9"/>
      <c r="K5" s="9"/>
      <c r="L5" s="9">
        <v>-26.978999999999999</v>
      </c>
      <c r="M5" s="9">
        <v>-30</v>
      </c>
      <c r="N5" s="9">
        <v>-33.299999999999997</v>
      </c>
      <c r="O5" s="9">
        <f>90-124.228</f>
        <v>-34.227999999999994</v>
      </c>
      <c r="P5" s="9">
        <v>-44.558</v>
      </c>
      <c r="Q5" s="8">
        <f>-100.234-P5</f>
        <v>-55.675999999999995</v>
      </c>
      <c r="R5" s="9"/>
      <c r="S5" s="9"/>
      <c r="T5" s="9"/>
      <c r="U5" s="9"/>
      <c r="Y5" s="21">
        <v>-38.878999999999998</v>
      </c>
      <c r="Z5" s="21">
        <v>-49.536999999999999</v>
      </c>
      <c r="AA5" s="21">
        <v>-59.857999999999997</v>
      </c>
      <c r="AB5" s="21">
        <f>SUM(L5:O5)</f>
        <v>-124.50699999999999</v>
      </c>
      <c r="AC5" s="8">
        <v>-193</v>
      </c>
      <c r="AD5" s="9">
        <v>-526</v>
      </c>
      <c r="AE5" s="9">
        <v>-600</v>
      </c>
      <c r="AF5" s="9">
        <f>AE5*1.075</f>
        <v>-645</v>
      </c>
      <c r="AG5" s="9">
        <f>AF5*1.05</f>
        <v>-677.25</v>
      </c>
      <c r="AH5" s="9">
        <f t="shared" ref="AH5:AM5" si="1">AG5*1.05</f>
        <v>-711.11250000000007</v>
      </c>
      <c r="AI5" s="9">
        <f t="shared" si="1"/>
        <v>-746.66812500000015</v>
      </c>
      <c r="AJ5" s="9">
        <f t="shared" si="1"/>
        <v>-784.0015312500002</v>
      </c>
      <c r="AK5" s="9">
        <f t="shared" si="1"/>
        <v>-823.20160781250024</v>
      </c>
      <c r="AL5" s="9">
        <f t="shared" si="1"/>
        <v>-864.36168820312525</v>
      </c>
      <c r="AM5" s="9">
        <f t="shared" si="1"/>
        <v>-907.57977261328153</v>
      </c>
    </row>
    <row r="6" spans="1:137" x14ac:dyDescent="0.25">
      <c r="A6" s="2" t="s">
        <v>3</v>
      </c>
      <c r="B6" s="6">
        <f>B4*B5</f>
        <v>16495.006400999999</v>
      </c>
      <c r="C6" s="2" t="s">
        <v>58</v>
      </c>
      <c r="D6" s="9"/>
      <c r="E6" s="9"/>
      <c r="F6" s="9"/>
      <c r="G6" s="9"/>
      <c r="H6" s="9">
        <v>0.62</v>
      </c>
      <c r="I6" s="9"/>
      <c r="J6" s="9"/>
      <c r="K6" s="9"/>
      <c r="L6" s="9">
        <v>0.62</v>
      </c>
      <c r="M6" s="9">
        <v>0.127</v>
      </c>
      <c r="N6" s="9">
        <v>0.65</v>
      </c>
      <c r="O6" s="9">
        <v>0</v>
      </c>
      <c r="P6" s="9">
        <v>0</v>
      </c>
      <c r="Q6" s="8">
        <v>0</v>
      </c>
      <c r="R6" s="9"/>
      <c r="S6" s="9"/>
      <c r="T6" s="9"/>
      <c r="U6" s="9"/>
      <c r="Y6" s="21">
        <v>0</v>
      </c>
      <c r="Z6" s="21">
        <v>0</v>
      </c>
      <c r="AA6" s="21">
        <v>0.13700000000000001</v>
      </c>
      <c r="AB6" s="21">
        <f>SUM(L6:O6)</f>
        <v>1.397</v>
      </c>
      <c r="AC6" s="8">
        <f t="shared" ref="AC6" si="2">SUM(P6:S6)</f>
        <v>0</v>
      </c>
      <c r="AD6" s="9">
        <v>-50</v>
      </c>
      <c r="AE6" s="9">
        <v>-100</v>
      </c>
      <c r="AF6" s="9">
        <f>AE6*1.075</f>
        <v>-107.5</v>
      </c>
      <c r="AG6" s="9">
        <f>AF6*1.05</f>
        <v>-112.875</v>
      </c>
      <c r="AH6" s="9">
        <f t="shared" ref="AH6:AM6" si="3">AG6*1.05</f>
        <v>-118.51875000000001</v>
      </c>
      <c r="AI6" s="9">
        <f t="shared" si="3"/>
        <v>-124.44468750000001</v>
      </c>
      <c r="AJ6" s="9">
        <f t="shared" si="3"/>
        <v>-130.66692187500001</v>
      </c>
      <c r="AK6" s="9">
        <f t="shared" si="3"/>
        <v>-137.20026796875001</v>
      </c>
      <c r="AL6" s="9">
        <f t="shared" si="3"/>
        <v>-144.06028136718751</v>
      </c>
      <c r="AM6" s="9">
        <f t="shared" si="3"/>
        <v>-151.26329543554689</v>
      </c>
    </row>
    <row r="7" spans="1:137" x14ac:dyDescent="0.25">
      <c r="A7" s="2" t="s">
        <v>4</v>
      </c>
      <c r="B7" s="6">
        <v>629.11</v>
      </c>
      <c r="C7" s="4" t="s">
        <v>121</v>
      </c>
      <c r="D7" s="27"/>
      <c r="E7" s="27"/>
      <c r="F7" s="27"/>
      <c r="G7" s="27"/>
      <c r="H7" s="27">
        <f t="shared" ref="H7" si="4">SUM(H4:H5)</f>
        <v>6.7499999999999982</v>
      </c>
      <c r="I7" s="27"/>
      <c r="J7" s="27"/>
      <c r="K7" s="27"/>
      <c r="L7" s="27">
        <f t="shared" ref="L7:N7" si="5">SUM(L4:L5)</f>
        <v>-7.9789999999999992</v>
      </c>
      <c r="M7" s="27">
        <f t="shared" si="5"/>
        <v>33</v>
      </c>
      <c r="N7" s="27">
        <f t="shared" si="5"/>
        <v>47.7</v>
      </c>
      <c r="O7" s="27">
        <f>SUM(O4:O5)</f>
        <v>51.510000000000005</v>
      </c>
      <c r="P7" s="27">
        <f t="shared" ref="P7:Q7" si="6">SUM(P4:P5)</f>
        <v>20.916000000000004</v>
      </c>
      <c r="Q7" s="10">
        <f t="shared" si="6"/>
        <v>177.38500000000005</v>
      </c>
      <c r="R7" s="27"/>
      <c r="S7" s="27"/>
      <c r="T7" s="27"/>
      <c r="U7" s="27"/>
      <c r="V7" s="4"/>
      <c r="W7" s="4"/>
      <c r="X7" s="4"/>
      <c r="Y7" s="22">
        <f t="shared" ref="Y7:AA7" si="7">SUM(Y4:Y6)</f>
        <v>22.059000000000005</v>
      </c>
      <c r="Z7" s="22">
        <f t="shared" si="7"/>
        <v>56.887000000000008</v>
      </c>
      <c r="AA7" s="22">
        <f t="shared" si="7"/>
        <v>48.901000000000003</v>
      </c>
      <c r="AB7" s="22">
        <f>SUM(AB4:AB6)</f>
        <v>125.62800000000001</v>
      </c>
      <c r="AC7" s="24">
        <f>SUM(AC4:AC6)</f>
        <v>412</v>
      </c>
      <c r="AD7" s="22">
        <f t="shared" ref="AD7:AM7" si="8">SUM(AD4:AD6)</f>
        <v>553</v>
      </c>
      <c r="AE7" s="22">
        <f t="shared" si="8"/>
        <v>772</v>
      </c>
      <c r="AF7" s="22">
        <f t="shared" si="8"/>
        <v>829.89999999999986</v>
      </c>
      <c r="AG7" s="22">
        <f t="shared" si="8"/>
        <v>871.39499999999998</v>
      </c>
      <c r="AH7" s="22">
        <f t="shared" si="8"/>
        <v>914.96474999999987</v>
      </c>
      <c r="AI7" s="22">
        <f t="shared" si="8"/>
        <v>960.71298749999994</v>
      </c>
      <c r="AJ7" s="22">
        <f t="shared" si="8"/>
        <v>1008.7486368749999</v>
      </c>
      <c r="AK7" s="22">
        <f t="shared" si="8"/>
        <v>1059.18606871875</v>
      </c>
      <c r="AL7" s="22">
        <f t="shared" si="8"/>
        <v>1112.1453721546877</v>
      </c>
      <c r="AM7" s="22">
        <f t="shared" si="8"/>
        <v>1167.7526407624221</v>
      </c>
    </row>
    <row r="8" spans="1:137" x14ac:dyDescent="0.25">
      <c r="A8" s="2" t="s">
        <v>5</v>
      </c>
      <c r="B8" s="6">
        <v>11794</v>
      </c>
      <c r="C8" s="2" t="s">
        <v>59</v>
      </c>
      <c r="D8" s="9"/>
      <c r="E8" s="9"/>
      <c r="F8" s="9"/>
      <c r="G8" s="9"/>
      <c r="H8" s="9">
        <v>-4.5999999999999996</v>
      </c>
      <c r="I8" s="9"/>
      <c r="J8" s="9"/>
      <c r="K8" s="9"/>
      <c r="L8" s="9">
        <v>-12.797000000000001</v>
      </c>
      <c r="M8" s="9">
        <v>-13.5</v>
      </c>
      <c r="N8" s="9">
        <v>-15</v>
      </c>
      <c r="O8" s="9">
        <f>-14</f>
        <v>-14</v>
      </c>
      <c r="P8" s="9">
        <v>-16.222000000000001</v>
      </c>
      <c r="Q8" s="8">
        <f>2.8-33.2-P8</f>
        <v>-14.178000000000001</v>
      </c>
      <c r="R8" s="9"/>
      <c r="S8" s="9"/>
      <c r="T8" s="9"/>
      <c r="U8" s="9"/>
      <c r="Y8" s="21">
        <v>-10.925000000000001</v>
      </c>
      <c r="Z8" s="21">
        <v>-15.696</v>
      </c>
      <c r="AA8" s="21">
        <v>-34.457999999999998</v>
      </c>
      <c r="AB8" s="21">
        <f>SUM(L8:O8)</f>
        <v>-55.296999999999997</v>
      </c>
      <c r="AC8" s="8">
        <v>-90</v>
      </c>
      <c r="AD8" s="9">
        <v>-240</v>
      </c>
      <c r="AE8" s="9">
        <v>-160</v>
      </c>
      <c r="AF8" s="9">
        <f>AE8*1.1</f>
        <v>-176</v>
      </c>
      <c r="AG8" s="9">
        <f t="shared" ref="AG8:AM8" si="9">AF8*1.1</f>
        <v>-193.60000000000002</v>
      </c>
      <c r="AH8" s="9">
        <f t="shared" si="9"/>
        <v>-212.96000000000004</v>
      </c>
      <c r="AI8" s="9">
        <f t="shared" si="9"/>
        <v>-234.25600000000006</v>
      </c>
      <c r="AJ8" s="9">
        <f t="shared" si="9"/>
        <v>-257.68160000000006</v>
      </c>
      <c r="AK8" s="9">
        <f t="shared" si="9"/>
        <v>-283.44976000000008</v>
      </c>
      <c r="AL8" s="9">
        <f t="shared" si="9"/>
        <v>-311.79473600000011</v>
      </c>
      <c r="AM8" s="9">
        <f t="shared" si="9"/>
        <v>-342.97420960000017</v>
      </c>
    </row>
    <row r="9" spans="1:137" x14ac:dyDescent="0.25">
      <c r="A9" s="1" t="s">
        <v>6</v>
      </c>
      <c r="B9" s="7">
        <f>B6-B7+B8</f>
        <v>27659.896400999998</v>
      </c>
      <c r="C9" s="4" t="s">
        <v>60</v>
      </c>
      <c r="D9" s="27"/>
      <c r="E9" s="27"/>
      <c r="F9" s="27"/>
      <c r="G9" s="27"/>
      <c r="H9" s="27">
        <f t="shared" ref="H9" si="10">SUM(H7:H8)</f>
        <v>2.1499999999999986</v>
      </c>
      <c r="I9" s="27"/>
      <c r="J9" s="27"/>
      <c r="K9" s="27"/>
      <c r="L9" s="27">
        <f t="shared" ref="L9:N9" si="11">SUM(L7:L8)</f>
        <v>-20.776</v>
      </c>
      <c r="M9" s="27">
        <f t="shared" si="11"/>
        <v>19.5</v>
      </c>
      <c r="N9" s="27">
        <f t="shared" si="11"/>
        <v>32.700000000000003</v>
      </c>
      <c r="O9" s="27">
        <f>SUM(O7:O8)</f>
        <v>37.510000000000005</v>
      </c>
      <c r="P9" s="27">
        <f t="shared" ref="P9:Q9" si="12">SUM(P7:P8)</f>
        <v>4.6940000000000026</v>
      </c>
      <c r="Q9" s="10">
        <f t="shared" si="12"/>
        <v>163.20700000000005</v>
      </c>
      <c r="R9" s="27"/>
      <c r="S9" s="27"/>
      <c r="T9" s="27"/>
      <c r="U9" s="27"/>
      <c r="V9" s="4"/>
      <c r="W9" s="4"/>
      <c r="X9" s="4"/>
      <c r="Y9" s="22">
        <f t="shared" ref="Y9:AA9" si="13">SUM(Y7:Y8)</f>
        <v>11.134000000000004</v>
      </c>
      <c r="Z9" s="22">
        <f t="shared" si="13"/>
        <v>41.19100000000001</v>
      </c>
      <c r="AA9" s="22">
        <f t="shared" si="13"/>
        <v>14.443000000000005</v>
      </c>
      <c r="AB9" s="22">
        <f>SUM(AB7:AB8)</f>
        <v>70.331000000000017</v>
      </c>
      <c r="AC9" s="24">
        <f t="shared" ref="AC9:AM9" si="14">SUM(AC7:AC8)</f>
        <v>322</v>
      </c>
      <c r="AD9" s="22">
        <f t="shared" si="14"/>
        <v>313</v>
      </c>
      <c r="AE9" s="22">
        <f t="shared" si="14"/>
        <v>612</v>
      </c>
      <c r="AF9" s="22">
        <f t="shared" si="14"/>
        <v>653.89999999999986</v>
      </c>
      <c r="AG9" s="22">
        <f t="shared" si="14"/>
        <v>677.79499999999996</v>
      </c>
      <c r="AH9" s="22">
        <f t="shared" si="14"/>
        <v>702.00474999999983</v>
      </c>
      <c r="AI9" s="22">
        <f t="shared" si="14"/>
        <v>726.45698749999985</v>
      </c>
      <c r="AJ9" s="22">
        <f t="shared" si="14"/>
        <v>751.06703687499976</v>
      </c>
      <c r="AK9" s="22">
        <f t="shared" si="14"/>
        <v>775.73630871874991</v>
      </c>
      <c r="AL9" s="22">
        <f t="shared" si="14"/>
        <v>800.35063615468766</v>
      </c>
      <c r="AM9" s="22">
        <f t="shared" si="14"/>
        <v>824.77843116242184</v>
      </c>
    </row>
    <row r="10" spans="1:137" x14ac:dyDescent="0.25">
      <c r="C10" s="2" t="s">
        <v>61</v>
      </c>
      <c r="D10" s="9"/>
      <c r="E10" s="9"/>
      <c r="F10" s="9"/>
      <c r="G10" s="9"/>
      <c r="H10" s="9">
        <v>1.4999999999999999E-2</v>
      </c>
      <c r="I10" s="9"/>
      <c r="J10" s="9"/>
      <c r="K10" s="9"/>
      <c r="L10" s="9">
        <v>0.40600000000000003</v>
      </c>
      <c r="M10" s="9">
        <v>4.5</v>
      </c>
      <c r="N10" s="9">
        <v>-1.5</v>
      </c>
      <c r="O10" s="9">
        <v>3.2</v>
      </c>
      <c r="P10" s="9">
        <v>0.27</v>
      </c>
      <c r="Q10" s="8">
        <v>5</v>
      </c>
      <c r="R10" s="9"/>
      <c r="S10" s="9"/>
      <c r="T10" s="9"/>
      <c r="U10" s="9"/>
      <c r="Y10" s="21">
        <v>1.7949999999999999</v>
      </c>
      <c r="Z10" s="21">
        <v>4.0309999999999997</v>
      </c>
      <c r="AA10" s="21">
        <v>1.5409999999999999</v>
      </c>
      <c r="AB10" s="21">
        <f>SUM(L10:O10)</f>
        <v>6.6059999999999999</v>
      </c>
      <c r="AC10" s="8">
        <v>15</v>
      </c>
      <c r="AD10" s="9">
        <v>20</v>
      </c>
      <c r="AE10" s="9">
        <v>50</v>
      </c>
      <c r="AF10" s="9">
        <v>50</v>
      </c>
      <c r="AG10" s="9">
        <v>50</v>
      </c>
      <c r="AH10" s="9">
        <v>50</v>
      </c>
      <c r="AI10" s="9">
        <v>50</v>
      </c>
      <c r="AJ10" s="9">
        <v>50</v>
      </c>
      <c r="AK10" s="9">
        <v>50</v>
      </c>
      <c r="AL10" s="9">
        <v>50</v>
      </c>
      <c r="AM10" s="9">
        <v>50</v>
      </c>
    </row>
    <row r="11" spans="1:137" x14ac:dyDescent="0.25">
      <c r="C11" s="2" t="s">
        <v>62</v>
      </c>
      <c r="D11" s="9"/>
      <c r="E11" s="9"/>
      <c r="F11" s="9"/>
      <c r="G11" s="9"/>
      <c r="H11" s="9">
        <v>-0.127</v>
      </c>
      <c r="I11" s="9"/>
      <c r="J11" s="9"/>
      <c r="K11" s="9"/>
      <c r="L11" s="9">
        <v>-1.087</v>
      </c>
      <c r="M11" s="9">
        <v>-1.1000000000000001</v>
      </c>
      <c r="N11" s="9">
        <v>-3.4</v>
      </c>
      <c r="O11" s="9">
        <v>-1</v>
      </c>
      <c r="P11" s="9">
        <v>-2</v>
      </c>
      <c r="Q11" s="8">
        <v>0</v>
      </c>
      <c r="R11" s="9"/>
      <c r="S11" s="9"/>
      <c r="T11" s="9"/>
      <c r="U11" s="9"/>
      <c r="Y11" s="21">
        <v>-5.4909999999999997</v>
      </c>
      <c r="Z11" s="21">
        <v>-9.6809999999999992</v>
      </c>
      <c r="AA11" s="21">
        <v>-4.4859999999999998</v>
      </c>
      <c r="AB11" s="21">
        <f>SUM(L11:O11)</f>
        <v>-6.5869999999999997</v>
      </c>
      <c r="AC11" s="8">
        <v>-71</v>
      </c>
      <c r="AD11" s="9">
        <v>-20</v>
      </c>
      <c r="AE11" s="9">
        <v>-150</v>
      </c>
      <c r="AF11" s="9">
        <v>-50</v>
      </c>
      <c r="AG11" s="9">
        <v>-70</v>
      </c>
      <c r="AH11" s="9">
        <v>-70</v>
      </c>
      <c r="AI11" s="9">
        <v>-70</v>
      </c>
      <c r="AJ11" s="9">
        <v>-70</v>
      </c>
      <c r="AK11" s="9">
        <v>-70</v>
      </c>
      <c r="AL11" s="9">
        <v>-70</v>
      </c>
      <c r="AM11" s="9">
        <v>-70</v>
      </c>
    </row>
    <row r="12" spans="1:137" x14ac:dyDescent="0.25">
      <c r="A12" s="2" t="s">
        <v>55</v>
      </c>
      <c r="B12" s="3">
        <v>11.87</v>
      </c>
      <c r="C12" s="2" t="s">
        <v>63</v>
      </c>
      <c r="D12" s="9"/>
      <c r="E12" s="9"/>
      <c r="F12" s="9"/>
      <c r="G12" s="9"/>
      <c r="H12" s="9">
        <f>SUM(H9:H11)</f>
        <v>2.0379999999999985</v>
      </c>
      <c r="I12" s="9"/>
      <c r="J12" s="9"/>
      <c r="K12" s="9"/>
      <c r="L12" s="9">
        <f>SUM(L9:L11)</f>
        <v>-21.457000000000001</v>
      </c>
      <c r="M12" s="9">
        <f t="shared" ref="M12:O12" si="15">SUM(M9:M11)</f>
        <v>22.9</v>
      </c>
      <c r="N12" s="9">
        <f t="shared" si="15"/>
        <v>27.800000000000004</v>
      </c>
      <c r="O12" s="9">
        <f t="shared" si="15"/>
        <v>39.710000000000008</v>
      </c>
      <c r="P12" s="9">
        <f t="shared" ref="P12" si="16">SUM(P9:P11)</f>
        <v>2.9640000000000022</v>
      </c>
      <c r="Q12" s="8">
        <f t="shared" ref="Q12" si="17">SUM(Q9:Q11)</f>
        <v>168.20700000000005</v>
      </c>
      <c r="R12" s="9"/>
      <c r="S12" s="9"/>
      <c r="T12" s="9"/>
      <c r="U12" s="9"/>
      <c r="V12" s="21"/>
      <c r="W12" s="21"/>
      <c r="X12" s="21"/>
      <c r="Y12" s="21">
        <f t="shared" ref="Y12:Z12" si="18">SUM(Y9:Y11)</f>
        <v>7.4380000000000042</v>
      </c>
      <c r="Z12" s="21">
        <f t="shared" si="18"/>
        <v>35.541000000000011</v>
      </c>
      <c r="AA12" s="21">
        <f t="shared" ref="AA12" si="19">SUM(AA9:AA11)</f>
        <v>11.498000000000005</v>
      </c>
      <c r="AB12" s="21">
        <f t="shared" ref="AB12" si="20">SUM(AB9:AB11)</f>
        <v>70.350000000000009</v>
      </c>
      <c r="AC12" s="23">
        <f t="shared" ref="AC12" si="21">SUM(AC9:AC11)</f>
        <v>266</v>
      </c>
      <c r="AD12" s="21">
        <f t="shared" ref="AD12" si="22">SUM(AD9:AD11)</f>
        <v>313</v>
      </c>
      <c r="AE12" s="21">
        <f t="shared" ref="AE12" si="23">SUM(AE9:AE11)</f>
        <v>512</v>
      </c>
      <c r="AF12" s="21">
        <f t="shared" ref="AF12" si="24">SUM(AF9:AF11)</f>
        <v>653.89999999999986</v>
      </c>
      <c r="AG12" s="21">
        <f t="shared" ref="AG12" si="25">SUM(AG9:AG11)</f>
        <v>657.79499999999996</v>
      </c>
      <c r="AH12" s="21">
        <f t="shared" ref="AH12" si="26">SUM(AH9:AH11)</f>
        <v>682.00474999999983</v>
      </c>
      <c r="AI12" s="21">
        <f t="shared" ref="AI12" si="27">SUM(AI9:AI11)</f>
        <v>706.45698749999985</v>
      </c>
      <c r="AJ12" s="21">
        <f t="shared" ref="AJ12" si="28">SUM(AJ9:AJ11)</f>
        <v>731.06703687499976</v>
      </c>
      <c r="AK12" s="21">
        <f t="shared" ref="AK12" si="29">SUM(AK9:AK11)</f>
        <v>755.73630871874991</v>
      </c>
      <c r="AL12" s="21">
        <f t="shared" ref="AL12" si="30">SUM(AL9:AL11)</f>
        <v>780.35063615468766</v>
      </c>
      <c r="AM12" s="21">
        <f t="shared" ref="AM12" si="31">SUM(AM9:AM11)</f>
        <v>804.77843116242184</v>
      </c>
    </row>
    <row r="13" spans="1:137" x14ac:dyDescent="0.25">
      <c r="C13" s="2" t="s">
        <v>64</v>
      </c>
      <c r="D13" s="9"/>
      <c r="E13" s="9"/>
      <c r="F13" s="9"/>
      <c r="G13" s="9"/>
      <c r="H13" s="9">
        <v>-1.9E-2</v>
      </c>
      <c r="I13" s="9"/>
      <c r="J13" s="9"/>
      <c r="K13" s="9"/>
      <c r="L13" s="9">
        <v>-1.9E-2</v>
      </c>
      <c r="M13" s="9">
        <v>-1.1000000000000001</v>
      </c>
      <c r="N13" s="9">
        <v>-0.5</v>
      </c>
      <c r="O13" s="9">
        <v>-1</v>
      </c>
      <c r="P13" s="9">
        <v>-1.2</v>
      </c>
      <c r="Q13" s="8">
        <v>-2</v>
      </c>
      <c r="R13" s="9"/>
      <c r="S13" s="9"/>
      <c r="T13" s="9"/>
      <c r="U13" s="9"/>
      <c r="Y13" s="21">
        <v>1.2999999999999999E-2</v>
      </c>
      <c r="Z13" s="21">
        <v>0</v>
      </c>
      <c r="AA13" s="21">
        <v>0</v>
      </c>
      <c r="AB13" s="21">
        <f>SUM(L13:O13)</f>
        <v>-2.6189999999999998</v>
      </c>
      <c r="AC13" s="8">
        <v>-2</v>
      </c>
      <c r="AD13" s="9">
        <v>-6</v>
      </c>
      <c r="AE13" s="9">
        <v>-10</v>
      </c>
      <c r="AF13" s="9">
        <f>AF12*-0.22</f>
        <v>-143.85799999999998</v>
      </c>
      <c r="AG13" s="9">
        <f t="shared" ref="AG13:AM13" si="32">AG12*-0.22</f>
        <v>-144.7149</v>
      </c>
      <c r="AH13" s="9">
        <f t="shared" si="32"/>
        <v>-150.04104499999997</v>
      </c>
      <c r="AI13" s="9">
        <f t="shared" si="32"/>
        <v>-155.42053724999997</v>
      </c>
      <c r="AJ13" s="9">
        <f t="shared" si="32"/>
        <v>-160.83474811249994</v>
      </c>
      <c r="AK13" s="9">
        <f t="shared" si="32"/>
        <v>-166.26198791812499</v>
      </c>
      <c r="AL13" s="9">
        <f t="shared" si="32"/>
        <v>-171.67713995403128</v>
      </c>
      <c r="AM13" s="9">
        <f t="shared" si="32"/>
        <v>-177.05125485573279</v>
      </c>
    </row>
    <row r="14" spans="1:137" x14ac:dyDescent="0.25">
      <c r="C14" s="4" t="s">
        <v>65</v>
      </c>
      <c r="D14" s="27"/>
      <c r="E14" s="27"/>
      <c r="F14" s="27"/>
      <c r="G14" s="27"/>
      <c r="H14" s="27">
        <f>SUM(H12:H13)</f>
        <v>2.0189999999999984</v>
      </c>
      <c r="I14" s="27"/>
      <c r="J14" s="27"/>
      <c r="K14" s="27"/>
      <c r="L14" s="27">
        <f>SUM(L12:L13)</f>
        <v>-21.475999999999999</v>
      </c>
      <c r="M14" s="27">
        <f t="shared" ref="M14:O14" si="33">SUM(M12:M13)</f>
        <v>21.799999999999997</v>
      </c>
      <c r="N14" s="27">
        <f t="shared" si="33"/>
        <v>27.300000000000004</v>
      </c>
      <c r="O14" s="27">
        <f t="shared" si="33"/>
        <v>38.710000000000008</v>
      </c>
      <c r="P14" s="27">
        <f t="shared" ref="P14" si="34">SUM(P12:P13)</f>
        <v>1.7640000000000022</v>
      </c>
      <c r="Q14" s="10">
        <f t="shared" ref="Q14" si="35">SUM(Q12:Q13)</f>
        <v>166.20700000000005</v>
      </c>
      <c r="R14" s="27"/>
      <c r="S14" s="27"/>
      <c r="T14" s="27"/>
      <c r="U14" s="27"/>
      <c r="V14" s="22"/>
      <c r="W14" s="22"/>
      <c r="X14" s="22"/>
      <c r="Y14" s="22">
        <f t="shared" ref="Y14:Z14" si="36">SUM(Y12:Y13)</f>
        <v>7.4510000000000041</v>
      </c>
      <c r="Z14" s="22">
        <f t="shared" si="36"/>
        <v>35.541000000000011</v>
      </c>
      <c r="AA14" s="22">
        <f t="shared" ref="AA14" si="37">SUM(AA12:AA13)</f>
        <v>11.498000000000005</v>
      </c>
      <c r="AB14" s="22">
        <f t="shared" ref="AB14" si="38">SUM(AB12:AB13)</f>
        <v>67.731000000000009</v>
      </c>
      <c r="AC14" s="24">
        <f t="shared" ref="AC14" si="39">SUM(AC12:AC13)</f>
        <v>264</v>
      </c>
      <c r="AD14" s="22">
        <f t="shared" ref="AD14" si="40">SUM(AD12:AD13)</f>
        <v>307</v>
      </c>
      <c r="AE14" s="22">
        <f t="shared" ref="AE14" si="41">SUM(AE12:AE13)</f>
        <v>502</v>
      </c>
      <c r="AF14" s="22">
        <f t="shared" ref="AF14" si="42">SUM(AF12:AF13)</f>
        <v>510.04199999999992</v>
      </c>
      <c r="AG14" s="22">
        <f t="shared" ref="AG14" si="43">SUM(AG12:AG13)</f>
        <v>513.0800999999999</v>
      </c>
      <c r="AH14" s="22">
        <f t="shared" ref="AH14" si="44">SUM(AH12:AH13)</f>
        <v>531.96370499999989</v>
      </c>
      <c r="AI14" s="22">
        <f t="shared" ref="AI14" si="45">SUM(AI12:AI13)</f>
        <v>551.03645024999992</v>
      </c>
      <c r="AJ14" s="22">
        <f t="shared" ref="AJ14" si="46">SUM(AJ12:AJ13)</f>
        <v>570.23228876249982</v>
      </c>
      <c r="AK14" s="22">
        <f t="shared" ref="AK14" si="47">SUM(AK12:AK13)</f>
        <v>589.47432080062492</v>
      </c>
      <c r="AL14" s="22">
        <f t="shared" ref="AL14" si="48">SUM(AL12:AL13)</f>
        <v>608.67349620065636</v>
      </c>
      <c r="AM14" s="22">
        <f t="shared" ref="AM14" si="49">SUM(AM12:AM13)</f>
        <v>627.72717630668899</v>
      </c>
      <c r="AN14" s="27">
        <f>AM14*(1+$AP$18)</f>
        <v>621.4499045436221</v>
      </c>
      <c r="AO14" s="27">
        <f t="shared" ref="AO14:CZ14" si="50">AN14*(1+$AP$18)</f>
        <v>615.23540549818586</v>
      </c>
      <c r="AP14" s="27">
        <f t="shared" si="50"/>
        <v>609.083051443204</v>
      </c>
      <c r="AQ14" s="27">
        <f t="shared" si="50"/>
        <v>602.99222092877199</v>
      </c>
      <c r="AR14" s="27">
        <f t="shared" si="50"/>
        <v>596.96229871948424</v>
      </c>
      <c r="AS14" s="27">
        <f t="shared" si="50"/>
        <v>590.9926757322894</v>
      </c>
      <c r="AT14" s="27">
        <f t="shared" si="50"/>
        <v>585.08274897496653</v>
      </c>
      <c r="AU14" s="27">
        <f t="shared" si="50"/>
        <v>579.23192148521684</v>
      </c>
      <c r="AV14" s="27">
        <f t="shared" si="50"/>
        <v>573.43960227036462</v>
      </c>
      <c r="AW14" s="27">
        <f t="shared" si="50"/>
        <v>567.70520624766095</v>
      </c>
      <c r="AX14" s="27">
        <f t="shared" si="50"/>
        <v>562.02815418518435</v>
      </c>
      <c r="AY14" s="27">
        <f t="shared" si="50"/>
        <v>556.40787264333255</v>
      </c>
      <c r="AZ14" s="27">
        <f t="shared" si="50"/>
        <v>550.84379391689924</v>
      </c>
      <c r="BA14" s="27">
        <f t="shared" si="50"/>
        <v>545.33535597773027</v>
      </c>
      <c r="BB14" s="27">
        <f t="shared" si="50"/>
        <v>539.882002417953</v>
      </c>
      <c r="BC14" s="27">
        <f t="shared" si="50"/>
        <v>534.48318239377352</v>
      </c>
      <c r="BD14" s="27">
        <f t="shared" si="50"/>
        <v>529.13835056983578</v>
      </c>
      <c r="BE14" s="27">
        <f t="shared" si="50"/>
        <v>523.8469670641374</v>
      </c>
      <c r="BF14" s="27">
        <f t="shared" si="50"/>
        <v>518.60849739349601</v>
      </c>
      <c r="BG14" s="27">
        <f t="shared" si="50"/>
        <v>513.42241241956106</v>
      </c>
      <c r="BH14" s="27">
        <f t="shared" si="50"/>
        <v>508.28818829536544</v>
      </c>
      <c r="BI14" s="27">
        <f t="shared" si="50"/>
        <v>503.2053064124118</v>
      </c>
      <c r="BJ14" s="27">
        <f t="shared" si="50"/>
        <v>498.17325334828769</v>
      </c>
      <c r="BK14" s="27">
        <f t="shared" si="50"/>
        <v>493.19152081480479</v>
      </c>
      <c r="BL14" s="27">
        <f t="shared" si="50"/>
        <v>488.25960560665675</v>
      </c>
      <c r="BM14" s="27">
        <f t="shared" si="50"/>
        <v>483.37700955059017</v>
      </c>
      <c r="BN14" s="27">
        <f t="shared" si="50"/>
        <v>478.54323945508429</v>
      </c>
      <c r="BO14" s="27">
        <f t="shared" si="50"/>
        <v>473.75780706053342</v>
      </c>
      <c r="BP14" s="27">
        <f t="shared" si="50"/>
        <v>469.02022898992806</v>
      </c>
      <c r="BQ14" s="27">
        <f t="shared" si="50"/>
        <v>464.33002670002878</v>
      </c>
      <c r="BR14" s="27">
        <f t="shared" si="50"/>
        <v>459.68672643302847</v>
      </c>
      <c r="BS14" s="27">
        <f t="shared" si="50"/>
        <v>455.08985916869818</v>
      </c>
      <c r="BT14" s="27">
        <f t="shared" si="50"/>
        <v>450.53896057701121</v>
      </c>
      <c r="BU14" s="27">
        <f t="shared" si="50"/>
        <v>446.03357097124109</v>
      </c>
      <c r="BV14" s="27">
        <f t="shared" si="50"/>
        <v>441.57323526152868</v>
      </c>
      <c r="BW14" s="27">
        <f t="shared" si="50"/>
        <v>437.15750290891339</v>
      </c>
      <c r="BX14" s="27">
        <f t="shared" si="50"/>
        <v>432.78592787982427</v>
      </c>
      <c r="BY14" s="27">
        <f t="shared" si="50"/>
        <v>428.45806860102601</v>
      </c>
      <c r="BZ14" s="27">
        <f t="shared" si="50"/>
        <v>424.17348791501576</v>
      </c>
      <c r="CA14" s="27">
        <f t="shared" si="50"/>
        <v>419.9317530358656</v>
      </c>
      <c r="CB14" s="27">
        <f t="shared" si="50"/>
        <v>415.73243550550694</v>
      </c>
      <c r="CC14" s="27">
        <f t="shared" si="50"/>
        <v>411.57511115045185</v>
      </c>
      <c r="CD14" s="27">
        <f t="shared" si="50"/>
        <v>407.45936003894735</v>
      </c>
      <c r="CE14" s="27">
        <f t="shared" si="50"/>
        <v>403.38476643855785</v>
      </c>
      <c r="CF14" s="27">
        <f t="shared" si="50"/>
        <v>399.35091877417227</v>
      </c>
      <c r="CG14" s="27">
        <f t="shared" si="50"/>
        <v>395.35740958643055</v>
      </c>
      <c r="CH14" s="27">
        <f t="shared" si="50"/>
        <v>391.40383549056622</v>
      </c>
      <c r="CI14" s="27">
        <f t="shared" si="50"/>
        <v>387.48979713566058</v>
      </c>
      <c r="CJ14" s="27">
        <f t="shared" si="50"/>
        <v>383.61489916430395</v>
      </c>
      <c r="CK14" s="27">
        <f t="shared" si="50"/>
        <v>379.77875017266092</v>
      </c>
      <c r="CL14" s="27">
        <f t="shared" si="50"/>
        <v>375.98096267093433</v>
      </c>
      <c r="CM14" s="27">
        <f t="shared" si="50"/>
        <v>372.22115304422499</v>
      </c>
      <c r="CN14" s="27">
        <f t="shared" si="50"/>
        <v>368.49894151378271</v>
      </c>
      <c r="CO14" s="27">
        <f t="shared" si="50"/>
        <v>364.8139520986449</v>
      </c>
      <c r="CP14" s="27">
        <f t="shared" si="50"/>
        <v>361.16581257765847</v>
      </c>
      <c r="CQ14" s="27">
        <f t="shared" si="50"/>
        <v>357.55415445188186</v>
      </c>
      <c r="CR14" s="27">
        <f t="shared" si="50"/>
        <v>353.97861290736301</v>
      </c>
      <c r="CS14" s="27">
        <f t="shared" si="50"/>
        <v>350.43882677828935</v>
      </c>
      <c r="CT14" s="27">
        <f t="shared" si="50"/>
        <v>346.93443851050648</v>
      </c>
      <c r="CU14" s="27">
        <f t="shared" si="50"/>
        <v>343.46509412540144</v>
      </c>
      <c r="CV14" s="27">
        <f t="shared" si="50"/>
        <v>340.03044318414743</v>
      </c>
      <c r="CW14" s="27">
        <f t="shared" si="50"/>
        <v>336.63013875230592</v>
      </c>
      <c r="CX14" s="27">
        <f t="shared" si="50"/>
        <v>333.26383736478289</v>
      </c>
      <c r="CY14" s="27">
        <f t="shared" si="50"/>
        <v>329.93119899113503</v>
      </c>
      <c r="CZ14" s="27">
        <f t="shared" si="50"/>
        <v>326.63188700122367</v>
      </c>
      <c r="DA14" s="27">
        <f t="shared" ref="DA14:EG14" si="51">CZ14*(1+$AP$18)</f>
        <v>323.36556813121143</v>
      </c>
      <c r="DB14" s="27">
        <f t="shared" si="51"/>
        <v>320.13191244989929</v>
      </c>
      <c r="DC14" s="27">
        <f t="shared" si="51"/>
        <v>316.93059332540031</v>
      </c>
      <c r="DD14" s="27">
        <f t="shared" si="51"/>
        <v>313.7612873921463</v>
      </c>
      <c r="DE14" s="27">
        <f t="shared" si="51"/>
        <v>310.62367451822485</v>
      </c>
      <c r="DF14" s="27">
        <f t="shared" si="51"/>
        <v>307.51743777304262</v>
      </c>
      <c r="DG14" s="27">
        <f t="shared" si="51"/>
        <v>304.44226339531218</v>
      </c>
      <c r="DH14" s="27">
        <f t="shared" si="51"/>
        <v>301.39784076135908</v>
      </c>
      <c r="DI14" s="27">
        <f t="shared" si="51"/>
        <v>298.38386235374549</v>
      </c>
      <c r="DJ14" s="27">
        <f t="shared" si="51"/>
        <v>295.40002373020803</v>
      </c>
      <c r="DK14" s="27">
        <f t="shared" si="51"/>
        <v>292.44602349290597</v>
      </c>
      <c r="DL14" s="27">
        <f t="shared" si="51"/>
        <v>289.52156325797688</v>
      </c>
      <c r="DM14" s="27">
        <f t="shared" si="51"/>
        <v>286.6263476253971</v>
      </c>
      <c r="DN14" s="27">
        <f t="shared" si="51"/>
        <v>283.76008414914315</v>
      </c>
      <c r="DO14" s="27">
        <f t="shared" si="51"/>
        <v>280.9224833076517</v>
      </c>
      <c r="DP14" s="27">
        <f t="shared" si="51"/>
        <v>278.11325847457516</v>
      </c>
      <c r="DQ14" s="27">
        <f t="shared" si="51"/>
        <v>275.3321258898294</v>
      </c>
      <c r="DR14" s="27">
        <f t="shared" si="51"/>
        <v>272.57880463093107</v>
      </c>
      <c r="DS14" s="27">
        <f t="shared" si="51"/>
        <v>269.85301658462174</v>
      </c>
      <c r="DT14" s="27">
        <f t="shared" si="51"/>
        <v>267.15448641877555</v>
      </c>
      <c r="DU14" s="27">
        <f t="shared" si="51"/>
        <v>264.4829415545878</v>
      </c>
      <c r="DV14" s="27">
        <f t="shared" si="51"/>
        <v>261.83811213904193</v>
      </c>
      <c r="DW14" s="27">
        <f t="shared" si="51"/>
        <v>259.2197310176515</v>
      </c>
      <c r="DX14" s="27">
        <f t="shared" si="51"/>
        <v>256.62753370747498</v>
      </c>
      <c r="DY14" s="27">
        <f t="shared" si="51"/>
        <v>254.06125837040022</v>
      </c>
      <c r="DZ14" s="27">
        <f t="shared" si="51"/>
        <v>251.52064578669621</v>
      </c>
      <c r="EA14" s="27">
        <f t="shared" si="51"/>
        <v>249.00543932882925</v>
      </c>
      <c r="EB14" s="27">
        <f t="shared" si="51"/>
        <v>246.51538493554096</v>
      </c>
      <c r="EC14" s="27">
        <f t="shared" si="51"/>
        <v>244.05023108618556</v>
      </c>
      <c r="ED14" s="27">
        <f t="shared" si="51"/>
        <v>241.6097287753237</v>
      </c>
      <c r="EE14" s="27">
        <f t="shared" si="51"/>
        <v>239.19363148757046</v>
      </c>
      <c r="EF14" s="27">
        <f t="shared" si="51"/>
        <v>236.80169517269476</v>
      </c>
      <c r="EG14" s="27">
        <f t="shared" si="51"/>
        <v>234.43367822096781</v>
      </c>
    </row>
    <row r="15" spans="1:137" x14ac:dyDescent="0.25">
      <c r="C15" s="2" t="s">
        <v>66</v>
      </c>
      <c r="H15" s="2">
        <v>342</v>
      </c>
      <c r="L15" s="13">
        <v>342</v>
      </c>
      <c r="M15" s="13">
        <v>342</v>
      </c>
      <c r="N15" s="13">
        <v>350.957583</v>
      </c>
      <c r="O15" s="13">
        <v>350.957583</v>
      </c>
      <c r="P15" s="13">
        <v>350.957583</v>
      </c>
      <c r="Q15" s="16">
        <v>350.957583</v>
      </c>
      <c r="R15" s="13">
        <v>350.957583</v>
      </c>
      <c r="S15" s="13">
        <v>350.957583</v>
      </c>
      <c r="T15" s="13"/>
      <c r="U15" s="13"/>
      <c r="Y15" s="2">
        <v>128</v>
      </c>
      <c r="Z15" s="13">
        <v>155</v>
      </c>
      <c r="AA15" s="13">
        <v>203.957583</v>
      </c>
      <c r="AB15" s="13">
        <v>350.957583</v>
      </c>
      <c r="AC15" s="16">
        <v>350.957583</v>
      </c>
      <c r="AD15" s="13">
        <v>350.957583</v>
      </c>
      <c r="AE15" s="13">
        <v>350.957583</v>
      </c>
      <c r="AF15" s="13">
        <v>350.957583</v>
      </c>
      <c r="AG15" s="13">
        <v>350.957583</v>
      </c>
      <c r="AH15" s="13">
        <v>350.957583</v>
      </c>
      <c r="AI15" s="13">
        <v>350.957583</v>
      </c>
      <c r="AJ15" s="13">
        <v>350.957583</v>
      </c>
      <c r="AK15" s="13">
        <v>350.957583</v>
      </c>
      <c r="AL15" s="13">
        <v>350.957583</v>
      </c>
      <c r="AM15" s="13">
        <v>350.957583</v>
      </c>
    </row>
    <row r="16" spans="1:137" x14ac:dyDescent="0.25">
      <c r="C16" s="2" t="s">
        <v>113</v>
      </c>
      <c r="H16" s="12">
        <f t="shared" ref="H16" si="52">(H14/H15)*$B$12</f>
        <v>7.0074649122806948E-2</v>
      </c>
      <c r="L16" s="12">
        <f t="shared" ref="L16:N16" si="53">(L14/L15)*$B$12</f>
        <v>-0.74538046783625733</v>
      </c>
      <c r="M16" s="12">
        <f>(M14/M15)*$B$12</f>
        <v>0.75662573099415187</v>
      </c>
      <c r="N16" s="12">
        <f t="shared" si="53"/>
        <v>0.92333380356109884</v>
      </c>
      <c r="O16" s="12">
        <f>(O14/O15)*$B$12</f>
        <v>1.3092399829981736</v>
      </c>
      <c r="P16" s="12">
        <f>(P14/P15)*$B$12</f>
        <v>5.966156884548645E-2</v>
      </c>
      <c r="Q16" s="5">
        <f t="shared" ref="Q16:S16" si="54">(Q14/Q15)*$B$12</f>
        <v>5.6214117761347824</v>
      </c>
      <c r="R16" s="12">
        <f t="shared" si="54"/>
        <v>0</v>
      </c>
      <c r="S16" s="12">
        <f t="shared" si="54"/>
        <v>0</v>
      </c>
      <c r="T16" s="12"/>
      <c r="U16" s="12"/>
      <c r="Y16" s="12">
        <f>(Y14/Y15)*$B$12</f>
        <v>0.69096382812500035</v>
      </c>
      <c r="Z16" s="12">
        <f t="shared" ref="Z16:AA16" si="55">(Z14/Z15)*$B$12</f>
        <v>2.7217527096774199</v>
      </c>
      <c r="AA16" s="12">
        <f t="shared" si="55"/>
        <v>0.6691649214140768</v>
      </c>
      <c r="AB16" s="12">
        <f>(AB14/AB15)*$B$12</f>
        <v>2.290781020109772</v>
      </c>
      <c r="AC16" s="5">
        <f>(AC14/AC15)*$B$12</f>
        <v>8.9289422761952402</v>
      </c>
      <c r="AD16" s="12">
        <f t="shared" ref="AD16:AM16" si="56">(AD14/AD15)*$B$12</f>
        <v>10.383277571181585</v>
      </c>
      <c r="AE16" s="12">
        <f t="shared" si="56"/>
        <v>16.978519025189431</v>
      </c>
      <c r="AF16" s="12">
        <f t="shared" si="56"/>
        <v>17.250513547102923</v>
      </c>
      <c r="AG16" s="12">
        <f t="shared" si="56"/>
        <v>17.353267408956366</v>
      </c>
      <c r="AH16" s="12">
        <f t="shared" si="56"/>
        <v>17.99194399612103</v>
      </c>
      <c r="AI16" s="12">
        <f t="shared" si="56"/>
        <v>18.637017637734012</v>
      </c>
      <c r="AJ16" s="12">
        <f t="shared" si="56"/>
        <v>19.28625450902673</v>
      </c>
      <c r="AK16" s="12">
        <f t="shared" si="56"/>
        <v>19.937053726243086</v>
      </c>
      <c r="AL16" s="12">
        <f t="shared" si="56"/>
        <v>20.586403456915164</v>
      </c>
      <c r="AM16" s="12">
        <f t="shared" si="56"/>
        <v>21.230832281975218</v>
      </c>
    </row>
    <row r="17" spans="3:42" x14ac:dyDescent="0.25">
      <c r="AO17" s="2" t="s">
        <v>124</v>
      </c>
      <c r="AP17" s="32">
        <v>0.1</v>
      </c>
    </row>
    <row r="18" spans="3:42" x14ac:dyDescent="0.25">
      <c r="C18" s="4" t="s">
        <v>67</v>
      </c>
      <c r="D18" s="4"/>
      <c r="E18" s="4"/>
      <c r="F18" s="4"/>
      <c r="G18" s="4"/>
      <c r="H18" s="4"/>
      <c r="I18" s="4"/>
      <c r="J18" s="4"/>
      <c r="K18" s="4"/>
      <c r="L18" s="4"/>
      <c r="M18" s="4"/>
      <c r="N18" s="4"/>
      <c r="O18" s="4"/>
      <c r="P18" s="56">
        <f>(P4-L4)/L4</f>
        <v>2.4460000000000002</v>
      </c>
      <c r="Q18" s="79">
        <f>(Q4-M4)/M4</f>
        <v>2.6993809523809529</v>
      </c>
      <c r="R18" s="56">
        <f>(R4-N4)/N4</f>
        <v>-1</v>
      </c>
      <c r="S18" s="56">
        <f>(S4-O4)/O4</f>
        <v>-1</v>
      </c>
      <c r="T18" s="56"/>
      <c r="U18" s="56"/>
      <c r="V18" s="4"/>
      <c r="W18" s="4"/>
      <c r="X18" s="4"/>
      <c r="Y18" s="4"/>
      <c r="Z18" s="57">
        <f t="shared" ref="Z18:AM18" si="57">(Z4-Y4)/Y4</f>
        <v>0.74643079851652505</v>
      </c>
      <c r="AA18" s="57">
        <f t="shared" si="57"/>
        <v>2.0653236112155089E-2</v>
      </c>
      <c r="AB18" s="57">
        <f t="shared" si="57"/>
        <v>1.2899412642006223</v>
      </c>
      <c r="AC18" s="58">
        <f t="shared" si="57"/>
        <v>1.4322781400509774</v>
      </c>
      <c r="AD18" s="57">
        <f t="shared" si="57"/>
        <v>0.86611570247933889</v>
      </c>
      <c r="AE18" s="57">
        <f t="shared" si="57"/>
        <v>0.30380868024800711</v>
      </c>
      <c r="AF18" s="57">
        <f t="shared" si="57"/>
        <v>7.4999999999999914E-2</v>
      </c>
      <c r="AG18" s="57">
        <f t="shared" si="57"/>
        <v>5.0000000000000079E-2</v>
      </c>
      <c r="AH18" s="57">
        <f t="shared" si="57"/>
        <v>5.0000000000000017E-2</v>
      </c>
      <c r="AI18" s="57">
        <f t="shared" si="57"/>
        <v>5.0000000000000037E-2</v>
      </c>
      <c r="AJ18" s="57">
        <f t="shared" si="57"/>
        <v>5.0000000000000037E-2</v>
      </c>
      <c r="AK18" s="57">
        <f t="shared" si="57"/>
        <v>5.0000000000000065E-2</v>
      </c>
      <c r="AL18" s="57">
        <f t="shared" si="57"/>
        <v>5.0000000000000086E-2</v>
      </c>
      <c r="AM18" s="57">
        <f t="shared" si="57"/>
        <v>4.9999999999999989E-2</v>
      </c>
      <c r="AO18" s="2" t="s">
        <v>125</v>
      </c>
      <c r="AP18" s="32">
        <v>-0.01</v>
      </c>
    </row>
    <row r="19" spans="3:42" x14ac:dyDescent="0.25">
      <c r="C19" s="2" t="s">
        <v>123</v>
      </c>
      <c r="L19" s="25">
        <f t="shared" ref="L19:N19" si="58">L7/L4</f>
        <v>-0.41994736842105257</v>
      </c>
      <c r="M19" s="25">
        <f t="shared" si="58"/>
        <v>0.52380952380952384</v>
      </c>
      <c r="N19" s="25">
        <f t="shared" si="58"/>
        <v>0.58888888888888891</v>
      </c>
      <c r="O19" s="25">
        <f>O7/O4</f>
        <v>0.60078378315332759</v>
      </c>
      <c r="P19" s="25">
        <f>P7/P4</f>
        <v>0.31945505085988335</v>
      </c>
      <c r="Q19" s="26">
        <f t="shared" ref="Q19:S19" si="59">Q7/Q4</f>
        <v>0.76110975238242362</v>
      </c>
      <c r="R19" s="25" t="e">
        <f t="shared" si="59"/>
        <v>#DIV/0!</v>
      </c>
      <c r="S19" s="25" t="e">
        <f t="shared" si="59"/>
        <v>#DIV/0!</v>
      </c>
      <c r="T19" s="25"/>
      <c r="U19" s="25"/>
      <c r="Y19" s="25">
        <f>Y7/Y4</f>
        <v>0.36199087597229979</v>
      </c>
      <c r="Z19" s="25">
        <f t="shared" ref="Z19:AL19" si="60">Z7/Z4</f>
        <v>0.53453168458242506</v>
      </c>
      <c r="AA19" s="25">
        <f t="shared" si="60"/>
        <v>0.45019425162490107</v>
      </c>
      <c r="AB19" s="25">
        <f>AB7/AB4</f>
        <v>0.50506155070797387</v>
      </c>
      <c r="AC19" s="26">
        <f t="shared" si="60"/>
        <v>0.68099173553719006</v>
      </c>
      <c r="AD19" s="25">
        <f t="shared" si="60"/>
        <v>0.48981399468556247</v>
      </c>
      <c r="AE19" s="25">
        <f t="shared" si="60"/>
        <v>0.52445652173913049</v>
      </c>
      <c r="AF19" s="25">
        <f t="shared" si="60"/>
        <v>0.52445652173913038</v>
      </c>
      <c r="AG19" s="25">
        <f t="shared" si="60"/>
        <v>0.52445652173913038</v>
      </c>
      <c r="AH19" s="25">
        <f t="shared" si="60"/>
        <v>0.52445652173913038</v>
      </c>
      <c r="AI19" s="25">
        <f t="shared" si="60"/>
        <v>0.52445652173913038</v>
      </c>
      <c r="AJ19" s="25">
        <f t="shared" si="60"/>
        <v>0.52445652173913038</v>
      </c>
      <c r="AK19" s="25">
        <f t="shared" si="60"/>
        <v>0.52445652173913038</v>
      </c>
      <c r="AL19" s="25">
        <f t="shared" si="60"/>
        <v>0.52445652173913038</v>
      </c>
      <c r="AM19" s="25">
        <f t="shared" ref="AM19" si="61">AM7/AM4</f>
        <v>0.52445652173913038</v>
      </c>
      <c r="AO19" s="2" t="s">
        <v>126</v>
      </c>
      <c r="AP19" s="9">
        <f>NPV(AP17,AC14:EG14)</f>
        <v>5071.6381675234143</v>
      </c>
    </row>
    <row r="20" spans="3:42" x14ac:dyDescent="0.25">
      <c r="L20" s="25"/>
      <c r="M20" s="25"/>
      <c r="N20" s="25"/>
      <c r="O20" s="25"/>
      <c r="P20" s="25"/>
      <c r="Q20" s="26"/>
      <c r="R20" s="25"/>
      <c r="S20" s="25"/>
      <c r="T20" s="25"/>
      <c r="U20" s="25"/>
      <c r="Y20" s="25"/>
      <c r="Z20" s="25"/>
      <c r="AA20" s="25"/>
      <c r="AB20" s="25"/>
      <c r="AC20" s="26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O20" s="17" t="s">
        <v>127</v>
      </c>
      <c r="AP20" s="31">
        <f>AP19*B12</f>
        <v>60200.345048502924</v>
      </c>
    </row>
    <row r="21" spans="3:42" x14ac:dyDescent="0.25">
      <c r="C21" s="2" t="s">
        <v>244</v>
      </c>
      <c r="D21" s="9"/>
      <c r="E21" s="9"/>
      <c r="F21" s="9"/>
      <c r="G21" s="9"/>
      <c r="H21" s="9"/>
      <c r="I21" s="9"/>
      <c r="J21" s="9"/>
      <c r="K21" s="9"/>
      <c r="L21" s="9"/>
      <c r="M21" s="9"/>
      <c r="N21" s="9"/>
      <c r="O21" s="9"/>
      <c r="U21" s="25">
        <v>0.246</v>
      </c>
      <c r="V21" s="25">
        <v>-4.7E-2</v>
      </c>
      <c r="W21" s="25">
        <v>0.214</v>
      </c>
      <c r="X21" s="25">
        <v>-0.23799999999999999</v>
      </c>
      <c r="Y21" s="25">
        <v>2.7E-2</v>
      </c>
      <c r="Z21" s="25">
        <v>8.3000000000000004E-2</v>
      </c>
      <c r="AA21" s="25">
        <v>1.6E-2</v>
      </c>
      <c r="AB21" s="25">
        <v>0.06</v>
      </c>
      <c r="AC21" s="26"/>
      <c r="AD21" s="25"/>
      <c r="AE21" s="25"/>
      <c r="AF21" s="25"/>
      <c r="AG21" s="25"/>
      <c r="AH21" s="25"/>
      <c r="AI21" s="25"/>
      <c r="AJ21" s="25"/>
      <c r="AK21" s="25"/>
      <c r="AO21" s="2" t="s">
        <v>2</v>
      </c>
      <c r="AP21" s="12">
        <v>350.957583</v>
      </c>
    </row>
    <row r="22" spans="3:42" x14ac:dyDescent="0.25">
      <c r="L22" s="25"/>
      <c r="M22" s="25"/>
      <c r="N22" s="25"/>
      <c r="O22" s="25"/>
      <c r="P22" s="25"/>
      <c r="Q22" s="26"/>
      <c r="R22" s="25"/>
      <c r="S22" s="25"/>
      <c r="T22" s="25"/>
      <c r="U22" s="25"/>
      <c r="Y22" s="25"/>
      <c r="Z22" s="25"/>
      <c r="AA22" s="25"/>
      <c r="AB22" s="25"/>
      <c r="AC22" s="26"/>
      <c r="AD22" s="25"/>
      <c r="AE22" s="25"/>
      <c r="AF22" s="25"/>
      <c r="AG22" s="25"/>
      <c r="AH22" s="25"/>
      <c r="AI22" s="25"/>
      <c r="AJ22" s="25"/>
      <c r="AO22" s="2" t="s">
        <v>128</v>
      </c>
      <c r="AP22" s="13">
        <f>AP20/AP21</f>
        <v>171.53168349835292</v>
      </c>
    </row>
    <row r="23" spans="3:42" x14ac:dyDescent="0.25">
      <c r="C23" s="2" t="s">
        <v>130</v>
      </c>
      <c r="D23" s="9"/>
      <c r="E23" s="9"/>
      <c r="F23" s="9"/>
      <c r="G23" s="9"/>
      <c r="H23" s="9"/>
      <c r="I23" s="9"/>
      <c r="J23" s="9"/>
      <c r="K23" s="9"/>
      <c r="L23" s="9">
        <v>1801</v>
      </c>
      <c r="M23" s="9">
        <v>1915</v>
      </c>
      <c r="N23" s="9">
        <v>2054</v>
      </c>
      <c r="O23" s="9">
        <v>2336</v>
      </c>
      <c r="P23" s="9">
        <v>2487</v>
      </c>
      <c r="Q23" s="8">
        <v>2492</v>
      </c>
      <c r="R23" s="9"/>
      <c r="S23" s="9"/>
      <c r="Y23" s="25"/>
      <c r="Z23" s="25"/>
      <c r="AA23" s="25"/>
      <c r="AB23" s="25"/>
      <c r="AC23" s="26"/>
      <c r="AD23" s="25"/>
      <c r="AE23" s="25"/>
      <c r="AF23" s="25"/>
      <c r="AG23" s="25"/>
      <c r="AH23" s="25"/>
      <c r="AI23" s="25"/>
      <c r="AJ23" s="25"/>
      <c r="AO23" s="4" t="s">
        <v>129</v>
      </c>
      <c r="AP23" s="33">
        <f>(AP22-B4)/B4</f>
        <v>2.6496102871989984</v>
      </c>
    </row>
    <row r="24" spans="3:42" x14ac:dyDescent="0.25">
      <c r="C24" s="2" t="s">
        <v>268</v>
      </c>
      <c r="L24" s="83"/>
      <c r="M24" s="83"/>
      <c r="N24" s="83"/>
      <c r="O24" s="83"/>
      <c r="P24" s="84">
        <f t="shared" ref="L24:P24" si="62">(P23-L23)/L23</f>
        <v>0.38089950027762354</v>
      </c>
      <c r="Q24" s="82">
        <f>(Q23-M23)/M23</f>
        <v>0.30130548302872062</v>
      </c>
      <c r="AC24" s="26"/>
      <c r="AD24" s="25"/>
      <c r="AE24" s="25"/>
    </row>
    <row r="26" spans="3:42" x14ac:dyDescent="0.25">
      <c r="C26" s="1" t="s">
        <v>131</v>
      </c>
      <c r="O26" s="21"/>
      <c r="P26" s="21"/>
      <c r="AA26" s="12"/>
    </row>
    <row r="27" spans="3:42" x14ac:dyDescent="0.25">
      <c r="C27" s="2" t="s">
        <v>68</v>
      </c>
      <c r="D27" s="9"/>
      <c r="E27" s="9"/>
      <c r="F27" s="9"/>
      <c r="G27" s="9"/>
      <c r="H27" s="9">
        <v>16.946999999999999</v>
      </c>
      <c r="I27" s="9">
        <v>16.946999999999999</v>
      </c>
      <c r="J27" s="9"/>
      <c r="K27" s="9"/>
      <c r="L27" s="9">
        <v>17.236000000000001</v>
      </c>
      <c r="M27" s="9">
        <v>17.440000000000001</v>
      </c>
      <c r="N27" s="9">
        <v>16.72</v>
      </c>
      <c r="O27" s="9">
        <v>18.190000000000001</v>
      </c>
      <c r="P27" s="9">
        <v>18.643999999999998</v>
      </c>
      <c r="Q27" s="8">
        <v>19</v>
      </c>
      <c r="R27" s="9"/>
      <c r="S27" s="9"/>
      <c r="AC27" s="8"/>
    </row>
    <row r="28" spans="3:42" x14ac:dyDescent="0.25">
      <c r="C28" s="2" t="s">
        <v>69</v>
      </c>
      <c r="D28" s="9"/>
      <c r="E28" s="9"/>
      <c r="F28" s="9"/>
      <c r="G28" s="9"/>
      <c r="H28" s="9">
        <v>1085.6320000000001</v>
      </c>
      <c r="I28" s="9">
        <v>1085.6320000000001</v>
      </c>
      <c r="J28" s="9"/>
      <c r="K28" s="9"/>
      <c r="L28" s="9">
        <v>1188.829</v>
      </c>
      <c r="M28" s="9">
        <v>1380.924</v>
      </c>
      <c r="N28" s="9">
        <v>1612.704</v>
      </c>
      <c r="O28" s="9">
        <v>1712.2660000000001</v>
      </c>
      <c r="P28" s="9">
        <v>2188.3490000000002</v>
      </c>
      <c r="Q28" s="8">
        <v>2384.5509999999999</v>
      </c>
      <c r="R28" s="9"/>
      <c r="S28" s="9"/>
    </row>
    <row r="29" spans="3:42" x14ac:dyDescent="0.25">
      <c r="C29" s="2" t="s">
        <v>77</v>
      </c>
      <c r="D29" s="9"/>
      <c r="E29" s="9"/>
      <c r="F29" s="9"/>
      <c r="G29" s="9"/>
      <c r="H29" s="9">
        <v>0.97299999999999998</v>
      </c>
      <c r="I29" s="9">
        <v>0.97299999999999998</v>
      </c>
      <c r="J29" s="9"/>
      <c r="K29" s="9"/>
      <c r="L29" s="9">
        <v>11</v>
      </c>
      <c r="M29" s="9">
        <v>11.118</v>
      </c>
      <c r="N29" s="9">
        <v>10.691000000000001</v>
      </c>
      <c r="O29" s="9">
        <v>10.337</v>
      </c>
      <c r="P29" s="9">
        <v>10.638999999999999</v>
      </c>
      <c r="Q29" s="8">
        <v>11.132999999999999</v>
      </c>
      <c r="R29" s="9"/>
      <c r="S29" s="9"/>
    </row>
    <row r="30" spans="3:42" x14ac:dyDescent="0.25">
      <c r="C30" s="2" t="s">
        <v>78</v>
      </c>
      <c r="D30" s="9"/>
      <c r="E30" s="9"/>
      <c r="F30" s="9"/>
      <c r="G30" s="9"/>
      <c r="H30" s="9">
        <v>1.22</v>
      </c>
      <c r="I30" s="9">
        <v>1.22</v>
      </c>
      <c r="J30" s="9"/>
      <c r="K30" s="9"/>
      <c r="L30" s="9">
        <v>1.226</v>
      </c>
      <c r="M30" s="9">
        <v>1.0469999999999999</v>
      </c>
      <c r="N30" s="9">
        <v>1.0469999999999999</v>
      </c>
      <c r="O30" s="9">
        <v>1.014</v>
      </c>
      <c r="P30" s="9">
        <v>1</v>
      </c>
      <c r="Q30" s="8">
        <v>1.0900000000000001</v>
      </c>
      <c r="R30" s="9"/>
      <c r="S30" s="9"/>
    </row>
    <row r="31" spans="3:42" x14ac:dyDescent="0.25">
      <c r="C31" s="2" t="s">
        <v>70</v>
      </c>
      <c r="D31" s="9"/>
      <c r="E31" s="9"/>
      <c r="F31" s="9"/>
      <c r="G31" s="9"/>
      <c r="H31" s="9">
        <v>0.33800000000000002</v>
      </c>
      <c r="I31" s="9">
        <v>0.33800000000000002</v>
      </c>
      <c r="J31" s="9"/>
      <c r="K31" s="9"/>
      <c r="L31" s="9">
        <v>1.248</v>
      </c>
      <c r="M31" s="9">
        <v>3.1920000000000002</v>
      </c>
      <c r="N31" s="9">
        <v>0.69499999999999995</v>
      </c>
      <c r="O31" s="9">
        <v>6.593</v>
      </c>
      <c r="P31" s="9">
        <v>2.9</v>
      </c>
      <c r="Q31" s="8">
        <v>0.91900000000000004</v>
      </c>
      <c r="R31" s="9"/>
      <c r="S31" s="9"/>
    </row>
    <row r="32" spans="3:42" x14ac:dyDescent="0.25">
      <c r="C32" s="2" t="s">
        <v>71</v>
      </c>
      <c r="D32" s="9"/>
      <c r="E32" s="9"/>
      <c r="F32" s="9"/>
      <c r="G32" s="9"/>
      <c r="H32" s="9">
        <v>1.8360000000000001</v>
      </c>
      <c r="I32" s="9">
        <v>1.8360000000000001</v>
      </c>
      <c r="J32" s="9"/>
      <c r="K32" s="9"/>
      <c r="L32" s="9">
        <v>1.86</v>
      </c>
      <c r="M32" s="9">
        <v>0.94699999999999995</v>
      </c>
      <c r="N32" s="9">
        <v>1.351</v>
      </c>
      <c r="O32" s="9">
        <v>1.0389999999999999</v>
      </c>
      <c r="P32" s="9">
        <v>3.5</v>
      </c>
      <c r="Q32" s="8">
        <v>2.2690000000000001</v>
      </c>
      <c r="R32" s="9"/>
      <c r="S32" s="9"/>
    </row>
    <row r="33" spans="3:19" x14ac:dyDescent="0.25">
      <c r="C33" s="2" t="s">
        <v>72</v>
      </c>
      <c r="D33" s="9"/>
      <c r="E33" s="9"/>
      <c r="F33" s="9"/>
      <c r="G33" s="9"/>
      <c r="H33" s="9">
        <v>30.552</v>
      </c>
      <c r="I33" s="9">
        <v>30.552</v>
      </c>
      <c r="J33" s="9"/>
      <c r="K33" s="9"/>
      <c r="L33" s="9">
        <v>36.527999999999999</v>
      </c>
      <c r="M33" s="9">
        <v>39.680999999999997</v>
      </c>
      <c r="N33" s="9">
        <v>46.317999999999998</v>
      </c>
      <c r="O33" s="9">
        <v>62.985999999999997</v>
      </c>
      <c r="P33" s="9">
        <v>105.81699999999999</v>
      </c>
      <c r="Q33" s="8">
        <v>111.5</v>
      </c>
      <c r="R33" s="9"/>
      <c r="S33" s="9"/>
    </row>
    <row r="34" spans="3:19" x14ac:dyDescent="0.25">
      <c r="C34" s="2" t="s">
        <v>73</v>
      </c>
      <c r="D34" s="9"/>
      <c r="E34" s="9"/>
      <c r="F34" s="9"/>
      <c r="G34" s="9"/>
      <c r="H34" s="9">
        <v>8.8800000000000008</v>
      </c>
      <c r="I34" s="9">
        <v>8.8800000000000008</v>
      </c>
      <c r="J34" s="9"/>
      <c r="K34" s="9"/>
      <c r="L34" s="9">
        <v>1.5489999999999999</v>
      </c>
      <c r="M34" s="9">
        <v>18.295999999999999</v>
      </c>
      <c r="N34" s="9">
        <v>30.564</v>
      </c>
      <c r="O34" s="9">
        <v>37.609000000000002</v>
      </c>
      <c r="P34" s="9">
        <v>24</v>
      </c>
      <c r="Q34" s="8">
        <v>154.30000000000001</v>
      </c>
      <c r="R34" s="9"/>
      <c r="S34" s="9"/>
    </row>
    <row r="35" spans="3:19" x14ac:dyDescent="0.25">
      <c r="C35" s="2" t="s">
        <v>74</v>
      </c>
      <c r="D35" s="9"/>
      <c r="E35" s="9"/>
      <c r="F35" s="9"/>
      <c r="G35" s="9"/>
      <c r="H35" s="9">
        <v>9.5619999999999994</v>
      </c>
      <c r="I35" s="9">
        <v>9.5619999999999994</v>
      </c>
      <c r="J35" s="9"/>
      <c r="K35" s="9"/>
      <c r="L35" s="9">
        <v>15.388999999999999</v>
      </c>
      <c r="M35" s="9">
        <v>21.555</v>
      </c>
      <c r="N35" s="9">
        <v>15.627000000000001</v>
      </c>
      <c r="O35" s="9">
        <v>16.643000000000001</v>
      </c>
      <c r="P35" s="9">
        <v>13.345000000000001</v>
      </c>
      <c r="Q35" s="8">
        <v>30.8</v>
      </c>
      <c r="R35" s="9"/>
      <c r="S35" s="9"/>
    </row>
    <row r="36" spans="3:19" x14ac:dyDescent="0.25">
      <c r="C36" s="2" t="s">
        <v>196</v>
      </c>
      <c r="D36" s="9"/>
      <c r="E36" s="9"/>
      <c r="F36" s="9"/>
      <c r="G36" s="9"/>
      <c r="H36" s="9"/>
      <c r="I36" s="9"/>
      <c r="J36" s="9"/>
      <c r="K36" s="9"/>
      <c r="L36" s="9"/>
      <c r="M36" s="9"/>
      <c r="N36" s="9"/>
      <c r="O36" s="9">
        <v>11.875</v>
      </c>
      <c r="P36" s="9">
        <v>1</v>
      </c>
      <c r="Q36" s="8">
        <v>0.72099999999999997</v>
      </c>
      <c r="R36" s="9"/>
      <c r="S36" s="9"/>
    </row>
    <row r="37" spans="3:19" x14ac:dyDescent="0.25">
      <c r="C37" s="2" t="s">
        <v>192</v>
      </c>
      <c r="D37" s="9"/>
      <c r="E37" s="9"/>
      <c r="F37" s="9"/>
      <c r="G37" s="9"/>
      <c r="H37" s="9">
        <v>1.2E-2</v>
      </c>
      <c r="I37" s="9">
        <v>0</v>
      </c>
      <c r="J37" s="9"/>
      <c r="K37" s="9"/>
      <c r="L37" s="9">
        <v>1.2E-2</v>
      </c>
      <c r="M37" s="9">
        <v>2.278</v>
      </c>
      <c r="N37" s="9">
        <v>0</v>
      </c>
      <c r="O37" s="9">
        <v>0</v>
      </c>
      <c r="P37" s="9">
        <v>1</v>
      </c>
      <c r="Q37" s="8">
        <v>0</v>
      </c>
      <c r="R37" s="9"/>
      <c r="S37" s="9"/>
    </row>
    <row r="38" spans="3:19" x14ac:dyDescent="0.25">
      <c r="C38" s="2" t="s">
        <v>75</v>
      </c>
      <c r="D38" s="9"/>
      <c r="E38" s="9"/>
      <c r="F38" s="9"/>
      <c r="G38" s="9"/>
      <c r="H38" s="9">
        <v>96.608000000000004</v>
      </c>
      <c r="I38" s="9">
        <v>96.6</v>
      </c>
      <c r="J38" s="9"/>
      <c r="K38" s="9"/>
      <c r="L38" s="9">
        <v>209.13</v>
      </c>
      <c r="M38" s="9">
        <v>93.05</v>
      </c>
      <c r="N38" s="9">
        <v>91.853999999999999</v>
      </c>
      <c r="O38" s="9">
        <v>58.463999999999999</v>
      </c>
      <c r="P38" s="9">
        <v>94.1</v>
      </c>
      <c r="Q38" s="8">
        <v>53</v>
      </c>
      <c r="R38" s="9"/>
      <c r="S38" s="9"/>
    </row>
    <row r="39" spans="3:19" x14ac:dyDescent="0.25">
      <c r="C39" s="4" t="s">
        <v>76</v>
      </c>
      <c r="D39" s="27">
        <f t="shared" ref="D39:M39" si="63">SUM(D27:D38)</f>
        <v>0</v>
      </c>
      <c r="E39" s="27">
        <f t="shared" si="63"/>
        <v>0</v>
      </c>
      <c r="F39" s="27">
        <f t="shared" si="63"/>
        <v>0</v>
      </c>
      <c r="G39" s="27">
        <f t="shared" si="63"/>
        <v>0</v>
      </c>
      <c r="H39" s="27">
        <f t="shared" si="63"/>
        <v>1252.5599999999997</v>
      </c>
      <c r="I39" s="27">
        <f t="shared" si="63"/>
        <v>1252.5399999999997</v>
      </c>
      <c r="J39" s="27">
        <f t="shared" si="63"/>
        <v>0</v>
      </c>
      <c r="K39" s="27">
        <f t="shared" si="63"/>
        <v>0</v>
      </c>
      <c r="L39" s="27">
        <f t="shared" si="63"/>
        <v>1484.0070000000001</v>
      </c>
      <c r="M39" s="27">
        <f t="shared" si="63"/>
        <v>1589.528</v>
      </c>
      <c r="N39" s="27">
        <f>SUM(N27:N38)</f>
        <v>1827.5710000000001</v>
      </c>
      <c r="O39" s="27">
        <f>SUM(O27:O38)</f>
        <v>1937.0160000000001</v>
      </c>
      <c r="P39" s="27">
        <f>SUM(P27:P38)</f>
        <v>2464.2939999999999</v>
      </c>
      <c r="Q39" s="10">
        <f>SUM(Q27:Q38)</f>
        <v>2769.2829999999999</v>
      </c>
      <c r="R39" s="27">
        <f t="shared" ref="R39:S39" si="64">SUM(R27:R38)</f>
        <v>0</v>
      </c>
      <c r="S39" s="27">
        <f t="shared" si="64"/>
        <v>0</v>
      </c>
    </row>
    <row r="40" spans="3:19" x14ac:dyDescent="0.25">
      <c r="C40" s="2" t="s">
        <v>79</v>
      </c>
      <c r="D40" s="9"/>
      <c r="E40" s="9"/>
      <c r="F40" s="9"/>
      <c r="G40" s="9"/>
      <c r="H40" s="9">
        <v>41.838999999999999</v>
      </c>
      <c r="I40" s="9">
        <v>41.838999999999999</v>
      </c>
      <c r="J40" s="9"/>
      <c r="K40" s="9"/>
      <c r="L40" s="9">
        <v>47.14</v>
      </c>
      <c r="M40" s="9">
        <v>47.143999999999998</v>
      </c>
      <c r="N40" s="9">
        <v>47.143999999999998</v>
      </c>
      <c r="O40" s="9">
        <v>47.143999999999998</v>
      </c>
      <c r="P40" s="9">
        <v>47.143999999999998</v>
      </c>
      <c r="Q40" s="8">
        <v>47.143999999999998</v>
      </c>
      <c r="R40" s="9"/>
      <c r="S40" s="9"/>
    </row>
    <row r="41" spans="3:19" x14ac:dyDescent="0.25">
      <c r="C41" s="2" t="s">
        <v>191</v>
      </c>
      <c r="D41" s="9"/>
      <c r="E41" s="9"/>
      <c r="F41" s="9"/>
      <c r="G41" s="9"/>
      <c r="H41" s="9">
        <v>952.85799999999995</v>
      </c>
      <c r="I41" s="9">
        <v>952.85799999999995</v>
      </c>
      <c r="J41" s="9"/>
      <c r="K41" s="9"/>
      <c r="L41" s="9">
        <v>1099.95</v>
      </c>
      <c r="M41" s="9">
        <v>1100.0029999999999</v>
      </c>
      <c r="N41" s="9">
        <v>1099.4949999999999</v>
      </c>
      <c r="O41" s="9">
        <v>1099.4949999999999</v>
      </c>
      <c r="P41" s="9">
        <v>1099.4949999999999</v>
      </c>
      <c r="Q41" s="8">
        <v>1099.4949999999999</v>
      </c>
      <c r="R41" s="9"/>
      <c r="S41" s="9"/>
    </row>
    <row r="42" spans="3:19" x14ac:dyDescent="0.25">
      <c r="C42" s="2" t="s">
        <v>80</v>
      </c>
      <c r="D42" s="9"/>
      <c r="E42" s="9"/>
      <c r="F42" s="9"/>
      <c r="G42" s="9"/>
      <c r="J42" s="9"/>
      <c r="K42" s="9"/>
      <c r="L42" s="9"/>
      <c r="N42" s="9">
        <v>-1.2829999999999999</v>
      </c>
      <c r="O42" s="9">
        <v>-1.2829999999999999</v>
      </c>
      <c r="P42" s="9">
        <v>-1.2</v>
      </c>
      <c r="Q42" s="8">
        <v>-3</v>
      </c>
      <c r="R42" s="9"/>
      <c r="S42" s="9"/>
    </row>
    <row r="43" spans="3:19" x14ac:dyDescent="0.25">
      <c r="C43" s="2" t="s">
        <v>81</v>
      </c>
      <c r="D43" s="9"/>
      <c r="E43" s="9"/>
      <c r="F43" s="9"/>
      <c r="G43" s="9"/>
      <c r="H43" s="9">
        <v>-28.283000000000001</v>
      </c>
      <c r="I43" s="9">
        <v>-28.283000000000001</v>
      </c>
      <c r="J43" s="9"/>
      <c r="K43" s="9"/>
      <c r="L43" s="9">
        <v>-4.0609999999999999</v>
      </c>
      <c r="M43" s="9">
        <v>10.696999999999999</v>
      </c>
      <c r="N43" s="9">
        <v>-34.57</v>
      </c>
      <c r="O43" s="9">
        <v>29.18</v>
      </c>
      <c r="P43" s="9">
        <v>18.399999999999999</v>
      </c>
      <c r="Q43" s="8">
        <v>-0.90600000000000003</v>
      </c>
      <c r="R43" s="9"/>
      <c r="S43" s="9"/>
    </row>
    <row r="44" spans="3:19" x14ac:dyDescent="0.25">
      <c r="C44" s="2" t="s">
        <v>82</v>
      </c>
      <c r="D44" s="9"/>
      <c r="E44" s="9"/>
      <c r="F44" s="9"/>
      <c r="G44" s="9"/>
      <c r="H44" s="9">
        <v>-7.3730000000000002</v>
      </c>
      <c r="I44" s="9">
        <v>-7.3730000000000002</v>
      </c>
      <c r="J44" s="9"/>
      <c r="K44" s="9"/>
      <c r="L44" s="9">
        <v>-27.893999999999998</v>
      </c>
      <c r="M44" s="9">
        <v>-6.5289999999999999</v>
      </c>
      <c r="N44" s="9">
        <v>21.614000000000001</v>
      </c>
      <c r="O44" s="9">
        <v>59.357999999999997</v>
      </c>
      <c r="P44" s="9">
        <v>61.774999999999999</v>
      </c>
      <c r="Q44" s="8">
        <v>228.19300000000001</v>
      </c>
      <c r="R44" s="9"/>
      <c r="S44" s="9"/>
    </row>
    <row r="45" spans="3:19" x14ac:dyDescent="0.25">
      <c r="C45" s="11" t="s">
        <v>83</v>
      </c>
      <c r="D45" s="55">
        <f t="shared" ref="D45:M45" si="65">SUM(D40:D44)</f>
        <v>0</v>
      </c>
      <c r="E45" s="55">
        <f t="shared" si="65"/>
        <v>0</v>
      </c>
      <c r="F45" s="55">
        <f t="shared" si="65"/>
        <v>0</v>
      </c>
      <c r="G45" s="55">
        <f t="shared" si="65"/>
        <v>0</v>
      </c>
      <c r="H45" s="55">
        <f>SUM(H40:H44)</f>
        <v>959.04099999999983</v>
      </c>
      <c r="I45" s="55">
        <f t="shared" si="65"/>
        <v>959.04099999999983</v>
      </c>
      <c r="J45" s="55">
        <f t="shared" si="65"/>
        <v>0</v>
      </c>
      <c r="K45" s="55">
        <f t="shared" si="65"/>
        <v>0</v>
      </c>
      <c r="L45" s="55">
        <f>SUM(L40:L44)</f>
        <v>1115.1350000000002</v>
      </c>
      <c r="M45" s="55">
        <f t="shared" si="65"/>
        <v>1151.3149999999998</v>
      </c>
      <c r="N45" s="55">
        <f>SUM(N40:N44)</f>
        <v>1132.4000000000001</v>
      </c>
      <c r="O45" s="55">
        <f>SUM(O40:O44)</f>
        <v>1233.894</v>
      </c>
      <c r="P45" s="55">
        <f>SUM(P40:P44)</f>
        <v>1225.614</v>
      </c>
      <c r="Q45" s="80">
        <f t="shared" ref="Q45:S45" si="66">SUM(Q40:Q44)</f>
        <v>1370.9259999999999</v>
      </c>
      <c r="R45" s="55">
        <f t="shared" si="66"/>
        <v>0</v>
      </c>
      <c r="S45" s="55">
        <f t="shared" si="66"/>
        <v>0</v>
      </c>
    </row>
    <row r="46" spans="3:19" x14ac:dyDescent="0.25">
      <c r="C46" s="2" t="s">
        <v>84</v>
      </c>
      <c r="D46" s="9"/>
      <c r="E46" s="9"/>
      <c r="F46" s="9"/>
      <c r="G46" s="9"/>
      <c r="H46" s="9">
        <v>4.8129999999999997</v>
      </c>
      <c r="I46" s="9">
        <v>4.8129999999999997</v>
      </c>
      <c r="J46" s="9"/>
      <c r="K46" s="9"/>
      <c r="L46" s="9">
        <v>4.8129999999999997</v>
      </c>
      <c r="M46" s="9">
        <v>0</v>
      </c>
      <c r="N46" s="9">
        <v>0</v>
      </c>
      <c r="O46" s="9">
        <v>0</v>
      </c>
      <c r="P46" s="9">
        <v>0</v>
      </c>
      <c r="Q46" s="8">
        <v>0</v>
      </c>
      <c r="R46" s="9"/>
      <c r="S46" s="9"/>
    </row>
    <row r="47" spans="3:19" x14ac:dyDescent="0.25">
      <c r="C47" s="2" t="s">
        <v>85</v>
      </c>
      <c r="D47" s="9"/>
      <c r="E47" s="9"/>
      <c r="F47" s="9"/>
      <c r="G47" s="9"/>
      <c r="H47" s="9">
        <v>0.39200000000000002</v>
      </c>
      <c r="I47" s="9">
        <v>0.39200000000000002</v>
      </c>
      <c r="J47" s="9"/>
      <c r="K47" s="9"/>
      <c r="L47" s="9">
        <v>9.8580000000000005</v>
      </c>
      <c r="M47" s="9">
        <v>9.859</v>
      </c>
      <c r="N47" s="9">
        <v>9.609</v>
      </c>
      <c r="O47" s="9">
        <v>9.6969999999999992</v>
      </c>
      <c r="P47" s="9">
        <v>10</v>
      </c>
      <c r="Q47" s="8">
        <v>10</v>
      </c>
      <c r="R47" s="9"/>
      <c r="S47" s="9"/>
    </row>
    <row r="48" spans="3:19" x14ac:dyDescent="0.25">
      <c r="C48" s="2" t="s">
        <v>86</v>
      </c>
      <c r="D48" s="9"/>
      <c r="E48" s="9"/>
      <c r="F48" s="9"/>
      <c r="G48" s="9"/>
      <c r="H48" s="9">
        <v>10.191000000000001</v>
      </c>
      <c r="I48" s="9">
        <v>10.191000000000001</v>
      </c>
      <c r="J48" s="9"/>
      <c r="K48" s="9"/>
      <c r="L48" s="9">
        <v>10.417</v>
      </c>
      <c r="M48" s="9">
        <v>11.236000000000001</v>
      </c>
      <c r="N48" s="9">
        <v>10.788</v>
      </c>
      <c r="O48" s="9">
        <v>11.972</v>
      </c>
      <c r="P48" s="9">
        <v>11.5</v>
      </c>
      <c r="Q48" s="8">
        <v>11.972</v>
      </c>
      <c r="R48" s="9"/>
      <c r="S48" s="9"/>
    </row>
    <row r="49" spans="3:28" x14ac:dyDescent="0.25">
      <c r="C49" s="2" t="s">
        <v>87</v>
      </c>
      <c r="D49" s="9"/>
      <c r="E49" s="9"/>
      <c r="F49" s="9"/>
      <c r="G49" s="9"/>
      <c r="H49" s="9">
        <v>1.778</v>
      </c>
      <c r="I49" s="9">
        <v>1.778</v>
      </c>
      <c r="J49" s="9"/>
      <c r="K49" s="9"/>
      <c r="L49" s="9">
        <v>6.327</v>
      </c>
      <c r="M49" s="9">
        <v>1.734</v>
      </c>
      <c r="N49" s="9">
        <v>7.4649999999999999</v>
      </c>
      <c r="O49" s="9">
        <v>1.7470000000000001</v>
      </c>
      <c r="P49" s="9">
        <v>4</v>
      </c>
      <c r="Q49" s="8">
        <v>8.3369999999999997</v>
      </c>
      <c r="R49" s="9"/>
      <c r="S49" s="9"/>
    </row>
    <row r="50" spans="3:28" x14ac:dyDescent="0.25">
      <c r="C50" s="2" t="s">
        <v>88</v>
      </c>
      <c r="D50" s="9"/>
      <c r="E50" s="9"/>
      <c r="F50" s="9"/>
      <c r="G50" s="9"/>
      <c r="H50" s="9">
        <v>204.773</v>
      </c>
      <c r="I50" s="9">
        <v>204.773</v>
      </c>
      <c r="J50" s="9"/>
      <c r="K50" s="9"/>
      <c r="L50" s="9">
        <v>254.59100000000001</v>
      </c>
      <c r="M50" s="9">
        <v>335.02800000000002</v>
      </c>
      <c r="N50" s="9">
        <v>546.75300000000004</v>
      </c>
      <c r="O50" s="9">
        <v>539.85400000000004</v>
      </c>
      <c r="P50" s="9">
        <v>995.471</v>
      </c>
      <c r="Q50" s="8">
        <v>993.6</v>
      </c>
      <c r="R50" s="9"/>
      <c r="S50" s="9"/>
    </row>
    <row r="51" spans="3:28" x14ac:dyDescent="0.25">
      <c r="C51" s="2" t="s">
        <v>89</v>
      </c>
      <c r="D51" s="9"/>
      <c r="E51" s="9"/>
      <c r="F51" s="9"/>
      <c r="G51" s="9"/>
      <c r="H51" s="9">
        <v>17.957000000000001</v>
      </c>
      <c r="I51" s="9">
        <v>17.957000000000001</v>
      </c>
      <c r="J51" s="9"/>
      <c r="K51" s="9"/>
      <c r="L51" s="9">
        <v>8.3170000000000002</v>
      </c>
      <c r="M51" s="9">
        <v>3.609</v>
      </c>
      <c r="N51" s="9">
        <v>18.594999999999999</v>
      </c>
      <c r="O51" s="9">
        <v>16.204999999999998</v>
      </c>
      <c r="P51" s="9">
        <v>14</v>
      </c>
      <c r="Q51" s="8">
        <v>16.663</v>
      </c>
      <c r="R51" s="9"/>
      <c r="S51" s="9"/>
    </row>
    <row r="52" spans="3:28" x14ac:dyDescent="0.25">
      <c r="C52" s="2" t="s">
        <v>90</v>
      </c>
      <c r="D52" s="9"/>
      <c r="E52" s="9"/>
      <c r="F52" s="9"/>
      <c r="G52" s="9"/>
      <c r="H52" s="9">
        <v>32.636000000000003</v>
      </c>
      <c r="I52" s="9">
        <v>32.636000000000003</v>
      </c>
      <c r="J52" s="9"/>
      <c r="K52" s="9"/>
      <c r="L52" s="9">
        <v>49.115000000000002</v>
      </c>
      <c r="M52" s="9">
        <v>42.279000000000003</v>
      </c>
      <c r="N52" s="9">
        <v>37.744999999999997</v>
      </c>
      <c r="O52" s="9">
        <v>43.594999999999999</v>
      </c>
      <c r="P52" s="9">
        <v>36.250999999999998</v>
      </c>
      <c r="Q52" s="8">
        <v>52.237000000000002</v>
      </c>
      <c r="R52" s="9"/>
      <c r="S52" s="9"/>
    </row>
    <row r="53" spans="3:28" x14ac:dyDescent="0.25">
      <c r="C53" s="2" t="s">
        <v>91</v>
      </c>
      <c r="D53" s="9"/>
      <c r="E53" s="9"/>
      <c r="F53" s="9"/>
      <c r="G53" s="9"/>
      <c r="H53" s="9">
        <v>2.0859999999999999</v>
      </c>
      <c r="I53" s="9">
        <v>2</v>
      </c>
      <c r="J53" s="9"/>
      <c r="K53" s="9"/>
      <c r="L53" s="9">
        <v>2.0859999999999999</v>
      </c>
      <c r="M53" s="9">
        <v>4.9939999999999998</v>
      </c>
      <c r="N53" s="9">
        <v>4.7990000000000004</v>
      </c>
      <c r="O53" s="9">
        <v>0.84099999999999997</v>
      </c>
      <c r="P53" s="9">
        <v>0.84099999999999997</v>
      </c>
      <c r="Q53" s="8">
        <v>0.84099999999999997</v>
      </c>
      <c r="R53" s="9"/>
      <c r="S53" s="9"/>
    </row>
    <row r="54" spans="3:28" x14ac:dyDescent="0.25">
      <c r="C54" s="2" t="s">
        <v>92</v>
      </c>
      <c r="D54" s="9"/>
      <c r="E54" s="9"/>
      <c r="F54" s="9"/>
      <c r="G54" s="9"/>
      <c r="H54" s="9">
        <v>0.16200000000000001</v>
      </c>
      <c r="I54" s="9">
        <v>0.16200000000000001</v>
      </c>
      <c r="J54" s="9"/>
      <c r="K54" s="9"/>
      <c r="L54" s="9">
        <v>0.155</v>
      </c>
      <c r="M54" s="9">
        <v>7.9000000000000001E-2</v>
      </c>
      <c r="N54" s="9">
        <v>0.15</v>
      </c>
      <c r="O54" s="9">
        <v>0.223</v>
      </c>
      <c r="P54" s="9">
        <v>0.33500000000000002</v>
      </c>
      <c r="Q54" s="8">
        <v>0.2</v>
      </c>
      <c r="R54" s="9"/>
      <c r="S54" s="9"/>
    </row>
    <row r="55" spans="3:28" x14ac:dyDescent="0.25">
      <c r="C55" s="2" t="s">
        <v>93</v>
      </c>
      <c r="D55" s="9"/>
      <c r="E55" s="9"/>
      <c r="F55" s="9"/>
      <c r="G55" s="9"/>
      <c r="H55" s="9">
        <v>12.103</v>
      </c>
      <c r="I55" s="9">
        <v>12.103</v>
      </c>
      <c r="J55" s="9"/>
      <c r="K55" s="9"/>
      <c r="L55" s="9">
        <v>16.821000000000002</v>
      </c>
      <c r="M55" s="9">
        <v>23.186</v>
      </c>
      <c r="N55" s="9">
        <v>22.76</v>
      </c>
      <c r="O55" s="9">
        <v>45.59</v>
      </c>
      <c r="P55" s="9">
        <v>98.441999999999993</v>
      </c>
      <c r="Q55" s="8">
        <v>79.983999999999995</v>
      </c>
      <c r="R55" s="9"/>
      <c r="S55" s="9"/>
    </row>
    <row r="56" spans="3:28" x14ac:dyDescent="0.25">
      <c r="C56" s="2" t="s">
        <v>94</v>
      </c>
      <c r="D56" s="9"/>
      <c r="E56" s="9"/>
      <c r="F56" s="9"/>
      <c r="G56" s="9"/>
      <c r="H56" s="9">
        <v>0.60099999999999998</v>
      </c>
      <c r="I56" s="9">
        <v>0.60099999999999998</v>
      </c>
      <c r="J56" s="9"/>
      <c r="K56" s="9"/>
      <c r="L56" s="9">
        <v>1.4179999999999999</v>
      </c>
      <c r="M56" s="9">
        <v>1.262</v>
      </c>
      <c r="N56" s="9">
        <v>1.155</v>
      </c>
      <c r="O56" s="9">
        <v>1.274</v>
      </c>
      <c r="P56" s="9">
        <v>0.83499999999999996</v>
      </c>
      <c r="Q56" s="8">
        <v>1.7</v>
      </c>
      <c r="R56" s="9"/>
      <c r="S56" s="9"/>
    </row>
    <row r="57" spans="3:28" x14ac:dyDescent="0.25">
      <c r="C57" s="2" t="s">
        <v>95</v>
      </c>
      <c r="D57" s="9"/>
      <c r="E57" s="9"/>
      <c r="F57" s="9"/>
      <c r="G57" s="9"/>
      <c r="H57" s="9">
        <v>1.224</v>
      </c>
      <c r="I57" s="9">
        <v>1.224</v>
      </c>
      <c r="J57" s="9"/>
      <c r="K57" s="9"/>
      <c r="L57" s="9">
        <v>1.266</v>
      </c>
      <c r="M57" s="9">
        <v>0.48299999999999998</v>
      </c>
      <c r="N57" s="9">
        <v>0.36899999999999999</v>
      </c>
      <c r="O57" s="9">
        <v>0.752</v>
      </c>
      <c r="P57" s="9">
        <v>2.2999999999999998</v>
      </c>
      <c r="Q57" s="8">
        <v>3.8</v>
      </c>
      <c r="R57" s="9"/>
      <c r="S57" s="9"/>
    </row>
    <row r="58" spans="3:28" x14ac:dyDescent="0.25">
      <c r="C58" s="2" t="s">
        <v>250</v>
      </c>
      <c r="D58" s="9"/>
      <c r="E58" s="9"/>
      <c r="F58" s="9"/>
      <c r="G58" s="9"/>
      <c r="H58" s="9">
        <v>0.79900000000000004</v>
      </c>
      <c r="I58" s="9">
        <v>0.79900000000000004</v>
      </c>
      <c r="J58" s="9"/>
      <c r="K58" s="9"/>
      <c r="L58" s="9">
        <v>3.2810000000000001</v>
      </c>
      <c r="M58" s="9">
        <v>4.3440000000000003</v>
      </c>
      <c r="N58" s="9">
        <v>32.567999999999998</v>
      </c>
      <c r="O58" s="9">
        <v>31.163</v>
      </c>
      <c r="P58" s="9">
        <v>63.735999999999997</v>
      </c>
      <c r="Q58" s="8">
        <v>204.785</v>
      </c>
      <c r="R58" s="9"/>
      <c r="S58" s="9"/>
    </row>
    <row r="59" spans="3:28" x14ac:dyDescent="0.25">
      <c r="C59" s="2" t="s">
        <v>96</v>
      </c>
      <c r="D59" s="9"/>
      <c r="E59" s="9"/>
      <c r="F59" s="9"/>
      <c r="G59" s="9"/>
      <c r="H59" s="9">
        <v>4.0039999999999996</v>
      </c>
      <c r="I59" s="9">
        <v>4.04</v>
      </c>
      <c r="J59" s="9"/>
      <c r="K59" s="9"/>
      <c r="L59" s="9">
        <v>0.69099999999999995</v>
      </c>
      <c r="M59" s="9">
        <v>0.12</v>
      </c>
      <c r="N59" s="9">
        <v>2.415</v>
      </c>
      <c r="O59" s="9">
        <v>0.20899999999999999</v>
      </c>
      <c r="P59" s="9">
        <v>0.17</v>
      </c>
      <c r="Q59" s="8">
        <v>14.2</v>
      </c>
      <c r="R59" s="9"/>
      <c r="S59" s="9"/>
    </row>
    <row r="60" spans="3:28" x14ac:dyDescent="0.25">
      <c r="C60" s="11" t="s">
        <v>97</v>
      </c>
      <c r="D60" s="55">
        <f t="shared" ref="D60:L60" si="67">SUM(D47:D59)</f>
        <v>0</v>
      </c>
      <c r="E60" s="55">
        <f t="shared" si="67"/>
        <v>0</v>
      </c>
      <c r="F60" s="55">
        <f t="shared" si="67"/>
        <v>0</v>
      </c>
      <c r="G60" s="55">
        <f t="shared" si="67"/>
        <v>0</v>
      </c>
      <c r="H60" s="55">
        <f t="shared" si="67"/>
        <v>288.70599999999996</v>
      </c>
      <c r="I60" s="55">
        <f t="shared" si="67"/>
        <v>288.65599999999995</v>
      </c>
      <c r="J60" s="55">
        <f t="shared" si="67"/>
        <v>0</v>
      </c>
      <c r="K60" s="55">
        <f t="shared" si="67"/>
        <v>0</v>
      </c>
      <c r="L60" s="55">
        <f t="shared" si="67"/>
        <v>364.34300000000002</v>
      </c>
      <c r="M60" s="55">
        <f>SUM(M47:M58)</f>
        <v>438.09300000000002</v>
      </c>
      <c r="N60" s="55">
        <f>SUM(N47:N59)</f>
        <v>695.17099999999994</v>
      </c>
      <c r="O60" s="55">
        <f>SUM(O47:O59)</f>
        <v>703.12199999999996</v>
      </c>
      <c r="P60" s="55">
        <f>SUM(P47:P59)</f>
        <v>1237.8810000000001</v>
      </c>
      <c r="Q60" s="80">
        <f t="shared" ref="Q60:S60" si="68">SUM(Q47:Q59)</f>
        <v>1398.319</v>
      </c>
      <c r="R60" s="55">
        <f t="shared" si="68"/>
        <v>0</v>
      </c>
      <c r="S60" s="55">
        <f t="shared" si="68"/>
        <v>0</v>
      </c>
    </row>
    <row r="61" spans="3:28" x14ac:dyDescent="0.25">
      <c r="C61" s="4" t="s">
        <v>98</v>
      </c>
      <c r="D61" s="27">
        <f t="shared" ref="D61:M61" si="69">D45+D60</f>
        <v>0</v>
      </c>
      <c r="E61" s="27">
        <f t="shared" si="69"/>
        <v>0</v>
      </c>
      <c r="F61" s="27">
        <f t="shared" si="69"/>
        <v>0</v>
      </c>
      <c r="G61" s="27">
        <f t="shared" si="69"/>
        <v>0</v>
      </c>
      <c r="H61" s="27">
        <f t="shared" si="69"/>
        <v>1247.7469999999998</v>
      </c>
      <c r="I61" s="27">
        <f>I45+I60</f>
        <v>1247.6969999999997</v>
      </c>
      <c r="J61" s="27">
        <f t="shared" si="69"/>
        <v>0</v>
      </c>
      <c r="K61" s="27">
        <f t="shared" si="69"/>
        <v>0</v>
      </c>
      <c r="L61" s="27">
        <f t="shared" si="69"/>
        <v>1479.4780000000003</v>
      </c>
      <c r="M61" s="27">
        <f t="shared" si="69"/>
        <v>1589.4079999999999</v>
      </c>
      <c r="N61" s="27">
        <f>N45+N60</f>
        <v>1827.5709999999999</v>
      </c>
      <c r="O61" s="27">
        <f>O45+O60</f>
        <v>1937.0160000000001</v>
      </c>
      <c r="P61" s="27">
        <f>P45+P60</f>
        <v>2463.4949999999999</v>
      </c>
      <c r="Q61" s="10">
        <f t="shared" ref="Q61:S61" si="70">Q45+Q60</f>
        <v>2769.2449999999999</v>
      </c>
      <c r="R61" s="27">
        <f t="shared" si="70"/>
        <v>0</v>
      </c>
      <c r="S61" s="27">
        <f t="shared" si="70"/>
        <v>0</v>
      </c>
    </row>
    <row r="62" spans="3:28" x14ac:dyDescent="0.25">
      <c r="N62" s="9"/>
    </row>
    <row r="63" spans="3:28" x14ac:dyDescent="0.25">
      <c r="C63" s="1" t="s">
        <v>206</v>
      </c>
      <c r="N63" s="9"/>
    </row>
    <row r="64" spans="3:28" x14ac:dyDescent="0.25">
      <c r="C64" s="2" t="s">
        <v>208</v>
      </c>
      <c r="D64" s="9">
        <f>D14</f>
        <v>0</v>
      </c>
      <c r="E64" s="9">
        <f>E14</f>
        <v>0</v>
      </c>
      <c r="F64" s="9">
        <f>F14</f>
        <v>0</v>
      </c>
      <c r="G64" s="9">
        <f>G14</f>
        <v>0</v>
      </c>
      <c r="H64" s="9">
        <f>H14</f>
        <v>2.0189999999999984</v>
      </c>
      <c r="I64" s="9">
        <f>I14</f>
        <v>0</v>
      </c>
      <c r="J64" s="9">
        <f>J14</f>
        <v>0</v>
      </c>
      <c r="K64" s="9">
        <f>K14</f>
        <v>0</v>
      </c>
      <c r="L64" s="9">
        <f>L14</f>
        <v>-21.475999999999999</v>
      </c>
      <c r="M64" s="9">
        <f>M14</f>
        <v>21.799999999999997</v>
      </c>
      <c r="N64" s="9">
        <f>N14</f>
        <v>27.300000000000004</v>
      </c>
      <c r="O64" s="9">
        <f>O14</f>
        <v>38.710000000000008</v>
      </c>
      <c r="P64" s="9">
        <f>P14</f>
        <v>1.7640000000000022</v>
      </c>
      <c r="Q64" s="8">
        <f>Q14</f>
        <v>166.20700000000005</v>
      </c>
      <c r="R64" s="9">
        <f>R14</f>
        <v>0</v>
      </c>
      <c r="S64" s="9">
        <f>S14</f>
        <v>0</v>
      </c>
      <c r="W64" s="9"/>
      <c r="X64" s="9"/>
      <c r="Y64" s="9">
        <f>Y14</f>
        <v>7.4510000000000041</v>
      </c>
      <c r="Z64" s="9">
        <f>Z14</f>
        <v>35.541000000000011</v>
      </c>
      <c r="AA64" s="9">
        <f>AA14</f>
        <v>11.498000000000005</v>
      </c>
      <c r="AB64" s="9">
        <f>AB14</f>
        <v>67.731000000000009</v>
      </c>
    </row>
    <row r="65" spans="3:28" x14ac:dyDescent="0.25">
      <c r="C65" s="2" t="s">
        <v>207</v>
      </c>
      <c r="D65" s="9"/>
      <c r="E65" s="9"/>
      <c r="F65" s="9"/>
      <c r="G65" s="9"/>
      <c r="H65" s="9">
        <v>2</v>
      </c>
      <c r="I65" s="9"/>
      <c r="J65" s="9"/>
      <c r="K65" s="9"/>
      <c r="L65" s="9">
        <v>-21</v>
      </c>
      <c r="M65" s="9"/>
      <c r="N65" s="9"/>
      <c r="O65" s="9"/>
      <c r="P65" s="9">
        <v>2</v>
      </c>
      <c r="Q65" s="3">
        <v>166</v>
      </c>
      <c r="W65" s="9"/>
      <c r="X65" s="9"/>
      <c r="Y65" s="9">
        <v>7.4</v>
      </c>
      <c r="Z65" s="9">
        <v>36</v>
      </c>
      <c r="AA65" s="9">
        <v>11</v>
      </c>
      <c r="AB65" s="9">
        <f>65</f>
        <v>65</v>
      </c>
    </row>
    <row r="66" spans="3:28" x14ac:dyDescent="0.25">
      <c r="C66" s="2" t="s">
        <v>209</v>
      </c>
      <c r="D66" s="9"/>
      <c r="E66" s="9"/>
      <c r="F66" s="9"/>
      <c r="G66" s="9"/>
      <c r="H66" s="9">
        <v>5.9</v>
      </c>
      <c r="I66" s="9"/>
      <c r="J66" s="9"/>
      <c r="K66" s="9"/>
      <c r="L66" s="9">
        <v>10</v>
      </c>
      <c r="M66" s="9"/>
      <c r="N66" s="9"/>
      <c r="O66" s="9"/>
      <c r="P66" s="9">
        <v>18.824000000000002</v>
      </c>
      <c r="Q66" s="8">
        <f>49.961-P66</f>
        <v>31.136999999999997</v>
      </c>
      <c r="W66" s="9"/>
      <c r="X66" s="9"/>
      <c r="Y66" s="9">
        <v>16.399999999999999</v>
      </c>
      <c r="Z66" s="9">
        <v>23.9</v>
      </c>
      <c r="AA66" s="9">
        <v>31.7</v>
      </c>
      <c r="AB66" s="9">
        <v>59</v>
      </c>
    </row>
    <row r="67" spans="3:28" x14ac:dyDescent="0.25">
      <c r="C67" s="2" t="s">
        <v>225</v>
      </c>
      <c r="D67" s="9"/>
      <c r="E67" s="9"/>
      <c r="F67" s="9"/>
      <c r="G67" s="9"/>
      <c r="H67" s="9">
        <v>0.121</v>
      </c>
      <c r="I67" s="9"/>
      <c r="J67" s="9"/>
      <c r="K67" s="9"/>
      <c r="L67" s="9">
        <v>2.2999999999999998</v>
      </c>
      <c r="M67" s="9"/>
      <c r="N67" s="9"/>
      <c r="O67" s="9"/>
      <c r="P67" s="9">
        <f>-0.266+0.107+0.705</f>
        <v>0.54599999999999993</v>
      </c>
      <c r="Q67" s="3">
        <v>0</v>
      </c>
      <c r="W67" s="9"/>
      <c r="X67" s="9"/>
      <c r="Y67" s="9">
        <v>4.5</v>
      </c>
      <c r="Z67" s="9">
        <v>0</v>
      </c>
      <c r="AA67" s="9">
        <v>0</v>
      </c>
      <c r="AB67" s="9">
        <v>3.2</v>
      </c>
    </row>
    <row r="68" spans="3:28" x14ac:dyDescent="0.25">
      <c r="C68" s="2" t="s">
        <v>210</v>
      </c>
      <c r="D68" s="9"/>
      <c r="E68" s="9"/>
      <c r="F68" s="9"/>
      <c r="G68" s="9"/>
      <c r="H68" s="9">
        <v>0.02</v>
      </c>
      <c r="I68" s="9"/>
      <c r="J68" s="9"/>
      <c r="K68" s="9"/>
      <c r="L68" s="9">
        <v>-0.4</v>
      </c>
      <c r="M68" s="9"/>
      <c r="N68" s="9"/>
      <c r="O68" s="9"/>
      <c r="P68" s="9">
        <v>0.19600000000000001</v>
      </c>
      <c r="Q68" s="3">
        <v>0</v>
      </c>
      <c r="W68" s="9"/>
      <c r="X68" s="9"/>
      <c r="Y68" s="9">
        <v>0</v>
      </c>
      <c r="Z68" s="9">
        <v>0</v>
      </c>
      <c r="AA68" s="9">
        <v>0</v>
      </c>
      <c r="AB68" s="9">
        <v>0</v>
      </c>
    </row>
    <row r="69" spans="3:28" x14ac:dyDescent="0.25">
      <c r="C69" s="2" t="s">
        <v>211</v>
      </c>
      <c r="D69" s="27"/>
      <c r="E69" s="27"/>
      <c r="F69" s="27"/>
      <c r="G69" s="27"/>
      <c r="H69" s="27">
        <v>7.8E-2</v>
      </c>
      <c r="I69" s="27"/>
      <c r="J69" s="27"/>
      <c r="K69" s="27"/>
      <c r="L69" s="27">
        <v>0.27200000000000002</v>
      </c>
      <c r="M69" s="27"/>
      <c r="N69" s="27"/>
      <c r="O69" s="27"/>
      <c r="P69" s="9">
        <v>0.61899999999999999</v>
      </c>
      <c r="Q69" s="3">
        <v>0</v>
      </c>
      <c r="W69" s="9"/>
      <c r="X69" s="9"/>
      <c r="Y69" s="9">
        <v>-0.32100000000000001</v>
      </c>
      <c r="Z69" s="9">
        <v>0</v>
      </c>
      <c r="AA69" s="9">
        <v>0</v>
      </c>
      <c r="AB69" s="9">
        <v>0</v>
      </c>
    </row>
    <row r="70" spans="3:28" x14ac:dyDescent="0.25">
      <c r="C70" s="2" t="s">
        <v>212</v>
      </c>
      <c r="D70" s="9"/>
      <c r="E70" s="9"/>
      <c r="F70" s="9"/>
      <c r="G70" s="9"/>
      <c r="H70" s="9">
        <v>-3.38</v>
      </c>
      <c r="I70" s="9"/>
      <c r="J70" s="9"/>
      <c r="K70" s="9"/>
      <c r="L70" s="9">
        <v>21.6</v>
      </c>
      <c r="M70" s="9"/>
      <c r="N70" s="9"/>
      <c r="O70" s="9"/>
      <c r="P70" s="9">
        <v>-4.444</v>
      </c>
      <c r="Q70" s="3">
        <v>-140</v>
      </c>
      <c r="R70" s="9"/>
      <c r="W70" s="9"/>
      <c r="X70" s="9"/>
      <c r="Y70" s="9">
        <f>1.9</f>
        <v>1.9</v>
      </c>
      <c r="Z70" s="9">
        <v>-30.4</v>
      </c>
      <c r="AA70" s="9">
        <v>20.100000000000001</v>
      </c>
      <c r="AB70" s="9">
        <v>-32.512999999999998</v>
      </c>
    </row>
    <row r="71" spans="3:28" x14ac:dyDescent="0.25">
      <c r="C71" s="2" t="s">
        <v>213</v>
      </c>
      <c r="D71" s="9"/>
      <c r="E71" s="9"/>
      <c r="F71" s="9"/>
      <c r="G71" s="9"/>
      <c r="H71" s="9">
        <v>0</v>
      </c>
      <c r="I71" s="9"/>
      <c r="J71" s="9"/>
      <c r="K71" s="9"/>
      <c r="L71" s="9">
        <v>1.4999999999999999E-2</v>
      </c>
      <c r="M71" s="9"/>
      <c r="N71" s="9"/>
      <c r="O71" s="9"/>
      <c r="P71" s="9">
        <v>1.6</v>
      </c>
      <c r="Q71" s="3">
        <v>-4</v>
      </c>
      <c r="W71" s="9"/>
      <c r="X71" s="9"/>
      <c r="Y71" s="9">
        <v>0.158</v>
      </c>
      <c r="Z71" s="9">
        <v>-1.2999999999999999E-2</v>
      </c>
      <c r="AA71" s="9">
        <v>2E-3</v>
      </c>
      <c r="AB71" s="9">
        <v>-1.7</v>
      </c>
    </row>
    <row r="72" spans="3:28" x14ac:dyDescent="0.25">
      <c r="C72" s="4" t="s">
        <v>189</v>
      </c>
      <c r="D72" s="27">
        <f t="shared" ref="D72:S72" si="71">SUM(D65:D71)</f>
        <v>0</v>
      </c>
      <c r="E72" s="27">
        <f t="shared" si="71"/>
        <v>0</v>
      </c>
      <c r="F72" s="27">
        <f t="shared" si="71"/>
        <v>0</v>
      </c>
      <c r="G72" s="27">
        <f t="shared" si="71"/>
        <v>0</v>
      </c>
      <c r="H72" s="27">
        <f t="shared" si="71"/>
        <v>4.7389999999999999</v>
      </c>
      <c r="I72" s="27">
        <f t="shared" si="71"/>
        <v>0</v>
      </c>
      <c r="J72" s="27">
        <f t="shared" si="71"/>
        <v>0</v>
      </c>
      <c r="K72" s="27">
        <f t="shared" si="71"/>
        <v>0</v>
      </c>
      <c r="L72" s="27">
        <f t="shared" si="71"/>
        <v>12.787000000000003</v>
      </c>
      <c r="M72" s="27">
        <f t="shared" si="71"/>
        <v>0</v>
      </c>
      <c r="N72" s="27">
        <f t="shared" si="71"/>
        <v>0</v>
      </c>
      <c r="O72" s="27">
        <f t="shared" si="71"/>
        <v>0</v>
      </c>
      <c r="P72" s="27">
        <f t="shared" si="71"/>
        <v>19.341000000000005</v>
      </c>
      <c r="Q72" s="10">
        <f t="shared" si="71"/>
        <v>53.137</v>
      </c>
      <c r="R72" s="27">
        <f t="shared" si="71"/>
        <v>0</v>
      </c>
      <c r="S72" s="27">
        <f t="shared" si="71"/>
        <v>0</v>
      </c>
      <c r="W72" s="9"/>
      <c r="X72" s="9"/>
      <c r="Y72" s="27">
        <f>SUM(Y65:Y71)</f>
        <v>30.036999999999995</v>
      </c>
      <c r="Z72" s="27">
        <f>SUM(Z65:Z71)</f>
        <v>29.486999999999998</v>
      </c>
      <c r="AA72" s="27">
        <f>SUM(AA65:AA71)</f>
        <v>62.802000000000007</v>
      </c>
      <c r="AB72" s="27">
        <f>SUM(AB65:AB71)</f>
        <v>92.987000000000009</v>
      </c>
    </row>
    <row r="73" spans="3:28" x14ac:dyDescent="0.25">
      <c r="D73" s="9"/>
      <c r="E73" s="9"/>
      <c r="F73" s="9"/>
      <c r="G73" s="9"/>
      <c r="H73" s="9"/>
      <c r="I73" s="9"/>
      <c r="J73" s="9"/>
      <c r="K73" s="9"/>
      <c r="L73" s="9"/>
      <c r="M73" s="9"/>
      <c r="N73" s="9"/>
      <c r="O73" s="9"/>
      <c r="P73" s="9"/>
      <c r="W73" s="9"/>
      <c r="X73" s="9"/>
      <c r="Y73" s="9"/>
      <c r="Z73" s="9"/>
      <c r="AA73" s="9"/>
      <c r="AB73" s="9"/>
    </row>
    <row r="74" spans="3:28" x14ac:dyDescent="0.25">
      <c r="C74" s="2" t="s">
        <v>214</v>
      </c>
      <c r="D74" s="9"/>
      <c r="E74" s="9"/>
      <c r="F74" s="9"/>
      <c r="G74" s="9"/>
      <c r="H74" s="9">
        <v>-7.9</v>
      </c>
      <c r="I74" s="9"/>
      <c r="J74" s="9"/>
      <c r="K74" s="9"/>
      <c r="L74" s="9">
        <v>-101.867</v>
      </c>
      <c r="M74" s="9"/>
      <c r="N74" s="9"/>
      <c r="O74" s="9"/>
      <c r="P74" s="9">
        <v>-466.21699999999998</v>
      </c>
      <c r="Q74" s="8">
        <f>-672.217-P74</f>
        <v>-206</v>
      </c>
      <c r="W74" s="9"/>
      <c r="X74" s="9"/>
      <c r="Y74" s="9">
        <v>-162.941</v>
      </c>
      <c r="Z74" s="9">
        <v>-224.60599999999999</v>
      </c>
      <c r="AA74" s="9">
        <v>-66.899000000000001</v>
      </c>
      <c r="AB74" s="9">
        <v>-615.54200000000003</v>
      </c>
    </row>
    <row r="75" spans="3:28" x14ac:dyDescent="0.25">
      <c r="C75" s="2" t="s">
        <v>215</v>
      </c>
      <c r="D75" s="9"/>
      <c r="E75" s="9"/>
      <c r="F75" s="9"/>
      <c r="G75" s="9"/>
      <c r="H75" s="9">
        <v>-3.9E-2</v>
      </c>
      <c r="I75" s="9"/>
      <c r="J75" s="9"/>
      <c r="K75" s="9"/>
      <c r="L75" s="9">
        <v>0</v>
      </c>
      <c r="M75" s="9"/>
      <c r="N75" s="9"/>
      <c r="O75" s="9"/>
      <c r="P75" s="9">
        <f>-0.492-0.077</f>
        <v>-0.56899999999999995</v>
      </c>
      <c r="Q75" s="3">
        <v>0</v>
      </c>
      <c r="W75" s="9"/>
      <c r="X75" s="9"/>
      <c r="Y75" s="9">
        <v>-0.434</v>
      </c>
      <c r="Z75" s="9">
        <f>-0.228-0.574</f>
        <v>-0.80199999999999994</v>
      </c>
      <c r="AA75" s="9">
        <f>10.403+1.8-0.031</f>
        <v>12.172000000000001</v>
      </c>
      <c r="AB75" s="9">
        <f>-0.41+0.206</f>
        <v>-0.20399999999999999</v>
      </c>
    </row>
    <row r="76" spans="3:28" x14ac:dyDescent="0.25">
      <c r="C76" s="4" t="s">
        <v>190</v>
      </c>
      <c r="D76" s="27">
        <f t="shared" ref="D76:K76" si="72">SUM(D74:D75)</f>
        <v>0</v>
      </c>
      <c r="E76" s="27">
        <f t="shared" si="72"/>
        <v>0</v>
      </c>
      <c r="F76" s="27">
        <f t="shared" si="72"/>
        <v>0</v>
      </c>
      <c r="G76" s="27">
        <f t="shared" si="72"/>
        <v>0</v>
      </c>
      <c r="H76" s="27">
        <f t="shared" si="72"/>
        <v>-7.9390000000000001</v>
      </c>
      <c r="I76" s="27">
        <f t="shared" si="72"/>
        <v>0</v>
      </c>
      <c r="J76" s="27">
        <f t="shared" si="72"/>
        <v>0</v>
      </c>
      <c r="K76" s="27">
        <f t="shared" si="72"/>
        <v>0</v>
      </c>
      <c r="L76" s="27">
        <f>SUM(L74:L75)</f>
        <v>-101.867</v>
      </c>
      <c r="M76" s="27">
        <f t="shared" ref="M76:S76" si="73">SUM(M74:M75)</f>
        <v>0</v>
      </c>
      <c r="N76" s="27">
        <f t="shared" si="73"/>
        <v>0</v>
      </c>
      <c r="O76" s="27">
        <f t="shared" si="73"/>
        <v>0</v>
      </c>
      <c r="P76" s="27">
        <f t="shared" si="73"/>
        <v>-466.786</v>
      </c>
      <c r="Q76" s="10">
        <f t="shared" si="73"/>
        <v>-206</v>
      </c>
      <c r="R76" s="27">
        <f t="shared" si="73"/>
        <v>0</v>
      </c>
      <c r="S76" s="27">
        <f t="shared" si="73"/>
        <v>0</v>
      </c>
      <c r="T76" s="27"/>
      <c r="W76" s="9"/>
      <c r="X76" s="9"/>
      <c r="Y76" s="27">
        <f t="shared" ref="Y76" si="74">SUM(Y74:Y75)</f>
        <v>-163.375</v>
      </c>
      <c r="Z76" s="27">
        <f t="shared" ref="Z76" si="75">SUM(Z74:Z75)</f>
        <v>-225.40799999999999</v>
      </c>
      <c r="AA76" s="27">
        <f t="shared" ref="AA76" si="76">SUM(AA74:AA75)</f>
        <v>-54.727000000000004</v>
      </c>
      <c r="AB76" s="27">
        <f t="shared" ref="AB76" si="77">SUM(AB74:AB75)</f>
        <v>-615.74599999999998</v>
      </c>
    </row>
    <row r="77" spans="3:28" x14ac:dyDescent="0.25">
      <c r="D77" s="9"/>
      <c r="E77" s="9"/>
      <c r="F77" s="9"/>
      <c r="G77" s="9"/>
      <c r="H77" s="9"/>
      <c r="I77" s="9"/>
      <c r="J77" s="9"/>
      <c r="K77" s="9"/>
      <c r="L77" s="9"/>
      <c r="M77" s="9"/>
      <c r="N77" s="9"/>
      <c r="O77" s="9"/>
      <c r="P77" s="9"/>
      <c r="W77" s="9"/>
      <c r="X77" s="9"/>
      <c r="Y77" s="9"/>
      <c r="Z77" s="9"/>
      <c r="AA77" s="9"/>
      <c r="AB77" s="9"/>
    </row>
    <row r="78" spans="3:28" x14ac:dyDescent="0.25">
      <c r="C78" s="2" t="s">
        <v>216</v>
      </c>
      <c r="D78" s="9"/>
      <c r="E78" s="9"/>
      <c r="F78" s="9"/>
      <c r="G78" s="9"/>
      <c r="H78" s="9">
        <v>-0.10299999999999999</v>
      </c>
      <c r="I78" s="9"/>
      <c r="J78" s="9"/>
      <c r="K78" s="9"/>
      <c r="L78" s="9">
        <v>-0.34399999999999997</v>
      </c>
      <c r="M78" s="9"/>
      <c r="N78" s="9"/>
      <c r="O78" s="9"/>
      <c r="P78" s="9">
        <v>-0.79</v>
      </c>
      <c r="Q78" s="3">
        <v>0</v>
      </c>
      <c r="W78" s="9"/>
      <c r="X78" s="9"/>
      <c r="Y78" s="9">
        <v>-0.28499999999999998</v>
      </c>
      <c r="Z78" s="9">
        <v>-0.22800000000000001</v>
      </c>
      <c r="AA78" s="9">
        <v>-0.56000000000000005</v>
      </c>
      <c r="AB78" s="9">
        <v>-1.9</v>
      </c>
    </row>
    <row r="79" spans="3:28" x14ac:dyDescent="0.25">
      <c r="C79" s="2" t="s">
        <v>217</v>
      </c>
      <c r="D79" s="9"/>
      <c r="E79" s="9"/>
      <c r="F79" s="9"/>
      <c r="G79" s="9"/>
      <c r="H79" s="9">
        <v>-1.38</v>
      </c>
      <c r="I79" s="9"/>
      <c r="J79" s="9"/>
      <c r="K79" s="9"/>
      <c r="L79" s="9">
        <v>-1.34</v>
      </c>
      <c r="M79" s="9"/>
      <c r="N79" s="9"/>
      <c r="O79" s="9"/>
      <c r="P79" s="9">
        <v>-3.7</v>
      </c>
      <c r="Q79" s="3">
        <v>-17</v>
      </c>
      <c r="W79" s="9"/>
      <c r="X79" s="9"/>
      <c r="Y79" s="9">
        <v>-3.9</v>
      </c>
      <c r="Z79" s="9">
        <v>-4.2</v>
      </c>
      <c r="AA79" s="9">
        <v>-7.1</v>
      </c>
      <c r="AB79" s="9">
        <v>-19.689</v>
      </c>
    </row>
    <row r="80" spans="3:28" x14ac:dyDescent="0.25">
      <c r="C80" s="2" t="s">
        <v>218</v>
      </c>
      <c r="D80" s="9"/>
      <c r="E80" s="9"/>
      <c r="F80" s="9"/>
      <c r="G80" s="9"/>
      <c r="H80" s="9">
        <v>0</v>
      </c>
      <c r="I80" s="9"/>
      <c r="J80" s="9"/>
      <c r="K80" s="9"/>
      <c r="L80" s="9">
        <v>154.86799999999999</v>
      </c>
      <c r="M80" s="9"/>
      <c r="N80" s="9"/>
      <c r="O80" s="9"/>
      <c r="P80" s="9">
        <v>0</v>
      </c>
      <c r="W80" s="9"/>
      <c r="X80" s="9"/>
      <c r="Y80" s="9">
        <v>79.218000000000004</v>
      </c>
      <c r="Z80" s="9">
        <v>183.25</v>
      </c>
      <c r="AA80" s="9">
        <v>0</v>
      </c>
      <c r="AB80" s="9">
        <v>154.95400000000001</v>
      </c>
    </row>
    <row r="81" spans="3:28" x14ac:dyDescent="0.25">
      <c r="C81" s="2" t="s">
        <v>219</v>
      </c>
      <c r="D81" s="9"/>
      <c r="E81" s="9"/>
      <c r="F81" s="9"/>
      <c r="G81" s="9"/>
      <c r="H81" s="9">
        <v>0</v>
      </c>
      <c r="I81" s="9"/>
      <c r="J81" s="9"/>
      <c r="K81" s="9"/>
      <c r="L81" s="9">
        <v>-2.4</v>
      </c>
      <c r="M81" s="9"/>
      <c r="N81" s="9"/>
      <c r="O81" s="9"/>
      <c r="P81" s="9">
        <v>0</v>
      </c>
      <c r="Q81" s="3">
        <v>-2</v>
      </c>
      <c r="W81" s="9"/>
      <c r="X81" s="9"/>
      <c r="Y81" s="9">
        <v>-2.1</v>
      </c>
      <c r="Z81" s="9">
        <v>-5.0999999999999996</v>
      </c>
      <c r="AA81" s="9">
        <v>-6.9</v>
      </c>
      <c r="AB81" s="9">
        <v>-3</v>
      </c>
    </row>
    <row r="82" spans="3:28" x14ac:dyDescent="0.25">
      <c r="C82" s="2" t="s">
        <v>220</v>
      </c>
      <c r="D82" s="9"/>
      <c r="E82" s="9"/>
      <c r="F82" s="9"/>
      <c r="G82" s="9"/>
      <c r="H82" s="9">
        <v>0</v>
      </c>
      <c r="I82" s="9"/>
      <c r="J82" s="9"/>
      <c r="K82" s="9"/>
      <c r="L82" s="9">
        <v>50</v>
      </c>
      <c r="M82" s="9"/>
      <c r="N82" s="9"/>
      <c r="O82" s="9"/>
      <c r="P82" s="9">
        <f>-0.705+494.749-7.5</f>
        <v>486.54400000000004</v>
      </c>
      <c r="Q82" s="8">
        <f>644-P82</f>
        <v>157.45599999999996</v>
      </c>
      <c r="W82" s="9"/>
      <c r="X82" s="9"/>
      <c r="Y82" s="9">
        <f>8.9-10</f>
        <v>-1.0999999999999996</v>
      </c>
      <c r="Z82" s="9">
        <f>113.459+16-65-25</f>
        <v>39.459000000000003</v>
      </c>
      <c r="AA82" s="9">
        <f>199.935-115</f>
        <v>84.935000000000002</v>
      </c>
      <c r="AB82" s="9">
        <f>-1.2-2.3+365.975-10.6</f>
        <v>351.875</v>
      </c>
    </row>
    <row r="83" spans="3:28" x14ac:dyDescent="0.25">
      <c r="C83" s="2" t="s">
        <v>251</v>
      </c>
      <c r="D83" s="9"/>
      <c r="E83" s="9"/>
      <c r="F83" s="9"/>
      <c r="G83" s="9"/>
      <c r="H83" s="9"/>
      <c r="I83" s="9"/>
      <c r="J83" s="9"/>
      <c r="K83" s="9"/>
      <c r="L83" s="9">
        <v>0</v>
      </c>
      <c r="M83" s="9"/>
      <c r="N83" s="9"/>
      <c r="O83" s="9"/>
      <c r="P83" s="9">
        <v>0</v>
      </c>
      <c r="Q83" s="8">
        <v>-23</v>
      </c>
      <c r="W83" s="9"/>
      <c r="X83" s="9"/>
      <c r="Y83" s="9"/>
      <c r="Z83" s="9"/>
      <c r="AA83" s="9"/>
      <c r="AB83" s="9"/>
    </row>
    <row r="84" spans="3:28" x14ac:dyDescent="0.25">
      <c r="C84" s="4" t="s">
        <v>221</v>
      </c>
      <c r="D84" s="27">
        <f t="shared" ref="D84:K84" si="78">SUM(D78:D82)</f>
        <v>0</v>
      </c>
      <c r="E84" s="27">
        <f t="shared" si="78"/>
        <v>0</v>
      </c>
      <c r="F84" s="27">
        <f t="shared" si="78"/>
        <v>0</v>
      </c>
      <c r="G84" s="27">
        <f t="shared" si="78"/>
        <v>0</v>
      </c>
      <c r="H84" s="27">
        <f t="shared" si="78"/>
        <v>-1.4829999999999999</v>
      </c>
      <c r="I84" s="27">
        <f t="shared" si="78"/>
        <v>0</v>
      </c>
      <c r="J84" s="27">
        <f t="shared" si="78"/>
        <v>0</v>
      </c>
      <c r="K84" s="27">
        <f t="shared" si="78"/>
        <v>0</v>
      </c>
      <c r="L84" s="27">
        <f>SUM(L78:L83)</f>
        <v>200.78399999999999</v>
      </c>
      <c r="M84" s="27">
        <f>SUM(M78:M82)</f>
        <v>0</v>
      </c>
      <c r="N84" s="27">
        <f>SUM(N78:N82)</f>
        <v>0</v>
      </c>
      <c r="O84" s="27">
        <f>SUM(O78:O82)</f>
        <v>0</v>
      </c>
      <c r="P84" s="27">
        <f>SUM(P78:P83)</f>
        <v>482.05400000000003</v>
      </c>
      <c r="Q84" s="10">
        <f>SUM(Q78:Q83)</f>
        <v>115.45599999999996</v>
      </c>
      <c r="R84" s="27">
        <f>SUM(R78:R82)</f>
        <v>0</v>
      </c>
      <c r="S84" s="27">
        <f>SUM(S78:S82)</f>
        <v>0</v>
      </c>
      <c r="W84" s="9"/>
      <c r="X84" s="9"/>
      <c r="Y84" s="27">
        <f>SUM(Y78:Y82)</f>
        <v>71.833000000000013</v>
      </c>
      <c r="Z84" s="27">
        <f>SUM(Z78:Z82)</f>
        <v>213.18100000000001</v>
      </c>
      <c r="AA84" s="27">
        <f>SUM(AA78:AA82)</f>
        <v>70.375</v>
      </c>
      <c r="AB84" s="27">
        <f>SUM(AB78:AB82)</f>
        <v>482.24</v>
      </c>
    </row>
    <row r="85" spans="3:28" x14ac:dyDescent="0.25">
      <c r="D85" s="9"/>
      <c r="E85" s="9"/>
      <c r="F85" s="9"/>
      <c r="G85" s="9"/>
      <c r="H85" s="9"/>
      <c r="I85" s="9"/>
      <c r="J85" s="9"/>
      <c r="K85" s="9"/>
      <c r="L85" s="9"/>
      <c r="M85" s="9"/>
      <c r="N85" s="9"/>
      <c r="O85" s="9"/>
      <c r="P85" s="9"/>
      <c r="V85" s="9"/>
      <c r="W85" s="9"/>
      <c r="X85" s="9"/>
      <c r="Y85" s="9"/>
      <c r="Z85" s="9"/>
      <c r="AA85" s="9"/>
      <c r="AB85" s="9"/>
    </row>
    <row r="86" spans="3:28" x14ac:dyDescent="0.25">
      <c r="C86" s="2" t="s">
        <v>222</v>
      </c>
      <c r="D86" s="9"/>
      <c r="E86" s="9"/>
      <c r="F86" s="9"/>
      <c r="G86" s="9"/>
      <c r="H86" s="9">
        <v>0</v>
      </c>
      <c r="I86" s="9"/>
      <c r="J86" s="9"/>
      <c r="K86" s="9"/>
      <c r="L86" s="9">
        <v>0.56100000000000005</v>
      </c>
      <c r="M86" s="9"/>
      <c r="N86" s="9"/>
      <c r="O86" s="9"/>
      <c r="P86" s="9">
        <v>0</v>
      </c>
      <c r="Q86" s="3">
        <v>0</v>
      </c>
      <c r="W86" s="9"/>
      <c r="X86" s="9"/>
      <c r="Y86" s="9"/>
      <c r="Z86" s="9">
        <v>0</v>
      </c>
      <c r="AA86" s="9">
        <v>-1.3</v>
      </c>
      <c r="AB86" s="9">
        <v>2</v>
      </c>
    </row>
    <row r="87" spans="3:28" x14ac:dyDescent="0.25">
      <c r="D87" s="9"/>
      <c r="E87" s="9"/>
      <c r="F87" s="9"/>
      <c r="G87" s="9"/>
      <c r="H87" s="9"/>
      <c r="I87" s="9"/>
      <c r="J87" s="9"/>
      <c r="K87" s="9"/>
      <c r="L87" s="9"/>
      <c r="M87" s="9"/>
      <c r="N87" s="9"/>
      <c r="O87" s="9"/>
      <c r="P87" s="9"/>
      <c r="Q87" s="81" t="s">
        <v>227</v>
      </c>
      <c r="W87" s="9"/>
      <c r="X87" s="9"/>
      <c r="Y87" s="9"/>
      <c r="Z87" s="9"/>
      <c r="AA87" s="9"/>
      <c r="AB87" s="9"/>
    </row>
    <row r="88" spans="3:28" x14ac:dyDescent="0.25">
      <c r="C88" s="2" t="s">
        <v>223</v>
      </c>
      <c r="D88" s="9">
        <f t="shared" ref="D88:S88" si="79">D72+D76+D84+D86</f>
        <v>0</v>
      </c>
      <c r="E88" s="9">
        <f t="shared" si="79"/>
        <v>0</v>
      </c>
      <c r="F88" s="9">
        <f t="shared" si="79"/>
        <v>0</v>
      </c>
      <c r="G88" s="9">
        <f t="shared" si="79"/>
        <v>0</v>
      </c>
      <c r="H88" s="9">
        <f t="shared" si="79"/>
        <v>-4.6829999999999998</v>
      </c>
      <c r="I88" s="9">
        <f t="shared" si="79"/>
        <v>0</v>
      </c>
      <c r="J88" s="9">
        <f t="shared" si="79"/>
        <v>0</v>
      </c>
      <c r="K88" s="9">
        <f t="shared" si="79"/>
        <v>0</v>
      </c>
      <c r="L88" s="9">
        <f t="shared" si="79"/>
        <v>112.265</v>
      </c>
      <c r="M88" s="9">
        <f t="shared" si="79"/>
        <v>0</v>
      </c>
      <c r="N88" s="9">
        <f t="shared" si="79"/>
        <v>0</v>
      </c>
      <c r="O88" s="9">
        <f t="shared" si="79"/>
        <v>0</v>
      </c>
      <c r="P88" s="9">
        <f t="shared" si="79"/>
        <v>34.609000000000037</v>
      </c>
      <c r="Q88" s="8">
        <f t="shared" si="79"/>
        <v>-37.407000000000039</v>
      </c>
      <c r="R88" s="9">
        <f t="shared" si="79"/>
        <v>0</v>
      </c>
      <c r="S88" s="9">
        <f t="shared" si="79"/>
        <v>0</v>
      </c>
      <c r="W88" s="9"/>
      <c r="X88" s="9"/>
      <c r="Y88" s="9">
        <f>Y72+Y76+Y84+Y86</f>
        <v>-61.504999999999981</v>
      </c>
      <c r="Z88" s="9">
        <f>Z72+Z76+Z84+Z86</f>
        <v>17.260000000000019</v>
      </c>
      <c r="AA88" s="9">
        <f>AA72+AA76+AA84+AA86</f>
        <v>77.150000000000006</v>
      </c>
      <c r="AB88" s="9">
        <f>AB72+AB76+AB84+AB86</f>
        <v>-38.519000000000005</v>
      </c>
    </row>
    <row r="89" spans="3:28" x14ac:dyDescent="0.25">
      <c r="D89" s="9"/>
      <c r="E89" s="9"/>
      <c r="F89" s="9"/>
      <c r="G89" s="9"/>
      <c r="H89" s="9"/>
      <c r="I89" s="9"/>
      <c r="J89" s="9"/>
      <c r="K89" s="9"/>
      <c r="L89" s="9"/>
      <c r="M89" s="9"/>
      <c r="N89" s="9"/>
      <c r="O89" s="9"/>
      <c r="P89" s="9"/>
      <c r="Q89" s="8"/>
      <c r="R89" s="9"/>
      <c r="S89" s="9"/>
      <c r="W89" s="9"/>
      <c r="X89" s="9"/>
      <c r="Y89" s="9"/>
      <c r="Z89" s="9"/>
      <c r="AA89" s="9"/>
      <c r="AB89" s="9"/>
    </row>
    <row r="90" spans="3:28" x14ac:dyDescent="0.25">
      <c r="C90" s="2" t="s">
        <v>224</v>
      </c>
      <c r="D90" s="9">
        <f t="shared" ref="D90:K90" si="80">D72+D74</f>
        <v>0</v>
      </c>
      <c r="E90" s="9">
        <f t="shared" si="80"/>
        <v>0</v>
      </c>
      <c r="F90" s="9">
        <f t="shared" si="80"/>
        <v>0</v>
      </c>
      <c r="G90" s="9">
        <f t="shared" si="80"/>
        <v>0</v>
      </c>
      <c r="H90" s="9">
        <f t="shared" si="80"/>
        <v>-3.1610000000000005</v>
      </c>
      <c r="I90" s="9">
        <f t="shared" si="80"/>
        <v>0</v>
      </c>
      <c r="J90" s="9">
        <f t="shared" si="80"/>
        <v>0</v>
      </c>
      <c r="K90" s="9">
        <f t="shared" si="80"/>
        <v>0</v>
      </c>
      <c r="L90" s="9">
        <f>L72+L74</f>
        <v>-89.08</v>
      </c>
      <c r="M90" s="9">
        <f t="shared" ref="M90:O90" si="81">M72+M74</f>
        <v>0</v>
      </c>
      <c r="N90" s="9">
        <f t="shared" si="81"/>
        <v>0</v>
      </c>
      <c r="O90" s="9">
        <f t="shared" si="81"/>
        <v>0</v>
      </c>
      <c r="P90" s="9">
        <f t="shared" ref="P90:S90" si="82">P72+P74</f>
        <v>-446.87599999999998</v>
      </c>
      <c r="Q90" s="8">
        <f t="shared" si="82"/>
        <v>-152.863</v>
      </c>
      <c r="R90" s="9">
        <f t="shared" si="82"/>
        <v>0</v>
      </c>
      <c r="S90" s="9">
        <f t="shared" si="82"/>
        <v>0</v>
      </c>
      <c r="W90" s="9"/>
      <c r="X90" s="9"/>
      <c r="Y90" s="9">
        <f t="shared" ref="Y90:AA90" si="83">Y72+Y74</f>
        <v>-132.904</v>
      </c>
      <c r="Z90" s="9">
        <f t="shared" si="83"/>
        <v>-195.119</v>
      </c>
      <c r="AA90" s="9">
        <f t="shared" si="83"/>
        <v>-4.0969999999999942</v>
      </c>
      <c r="AB90" s="9">
        <f>AB72+AB74</f>
        <v>-522.55500000000006</v>
      </c>
    </row>
    <row r="91" spans="3:28" x14ac:dyDescent="0.25">
      <c r="D91" s="9"/>
      <c r="E91" s="9"/>
      <c r="F91" s="9"/>
      <c r="G91" s="9"/>
      <c r="H91" s="9"/>
      <c r="I91" s="9"/>
      <c r="J91" s="9"/>
      <c r="K91" s="9"/>
      <c r="L91" s="9"/>
      <c r="M91" s="9"/>
      <c r="N91" s="9"/>
      <c r="O91" s="9"/>
      <c r="W91" s="9"/>
      <c r="X91" s="9"/>
      <c r="Y91" s="9"/>
      <c r="Z91" s="9"/>
      <c r="AA91" s="9"/>
      <c r="AB91" s="9"/>
    </row>
    <row r="92" spans="3:28" x14ac:dyDescent="0.25">
      <c r="N92" s="9"/>
      <c r="W92" s="9"/>
      <c r="X92" s="9"/>
      <c r="Y92" s="9"/>
      <c r="Z92" s="9"/>
      <c r="AA92" s="9"/>
      <c r="AB92" s="9"/>
    </row>
    <row r="93" spans="3:28" x14ac:dyDescent="0.25">
      <c r="N93" s="9"/>
      <c r="W93" s="9"/>
      <c r="X93" s="9"/>
      <c r="Y93" s="9"/>
      <c r="Z93" s="9"/>
      <c r="AA93" s="9"/>
      <c r="AB93" s="9"/>
    </row>
    <row r="94" spans="3:28" x14ac:dyDescent="0.25">
      <c r="N94" s="9"/>
      <c r="W94" s="9"/>
      <c r="X94" s="9"/>
      <c r="Y94" s="9"/>
      <c r="Z94" s="9"/>
      <c r="AA94" s="9"/>
      <c r="AB94" s="9"/>
    </row>
    <row r="95" spans="3:28" x14ac:dyDescent="0.25">
      <c r="N95" s="9"/>
      <c r="W95" s="9"/>
      <c r="X95" s="9"/>
      <c r="Y95" s="9"/>
      <c r="Z95" s="9"/>
      <c r="AA95" s="9"/>
      <c r="AB95" s="9"/>
    </row>
    <row r="96" spans="3:28" x14ac:dyDescent="0.25">
      <c r="N96" s="9"/>
      <c r="W96" s="9"/>
      <c r="X96" s="9"/>
      <c r="Y96" s="9"/>
      <c r="Z96" s="9"/>
      <c r="AA96" s="9"/>
      <c r="AB96" s="9"/>
    </row>
    <row r="97" spans="14:14" x14ac:dyDescent="0.25">
      <c r="N97" s="9"/>
    </row>
    <row r="98" spans="14:14" x14ac:dyDescent="0.25">
      <c r="N98" s="9"/>
    </row>
    <row r="99" spans="14:14" x14ac:dyDescent="0.25">
      <c r="N99" s="9"/>
    </row>
    <row r="100" spans="14:14" x14ac:dyDescent="0.25">
      <c r="N100" s="9"/>
    </row>
    <row r="101" spans="14:14" x14ac:dyDescent="0.25">
      <c r="N101" s="9"/>
    </row>
    <row r="102" spans="14:14" x14ac:dyDescent="0.25">
      <c r="N102" s="9"/>
    </row>
    <row r="103" spans="14:14" x14ac:dyDescent="0.25">
      <c r="N103" s="9"/>
    </row>
    <row r="104" spans="14:14" x14ac:dyDescent="0.25">
      <c r="N104" s="9"/>
    </row>
    <row r="105" spans="14:14" x14ac:dyDescent="0.25">
      <c r="N105" s="9"/>
    </row>
    <row r="106" spans="14:14" x14ac:dyDescent="0.25">
      <c r="N106" s="9"/>
    </row>
    <row r="107" spans="14:14" x14ac:dyDescent="0.25">
      <c r="N107" s="9"/>
    </row>
    <row r="108" spans="14:14" x14ac:dyDescent="0.25">
      <c r="N108" s="9"/>
    </row>
    <row r="109" spans="14:14" x14ac:dyDescent="0.25">
      <c r="N109" s="9"/>
    </row>
    <row r="110" spans="14:14" x14ac:dyDescent="0.25">
      <c r="N110" s="9"/>
    </row>
    <row r="111" spans="14:14" x14ac:dyDescent="0.25">
      <c r="N111" s="9"/>
    </row>
    <row r="112" spans="14:14" x14ac:dyDescent="0.25">
      <c r="N112" s="9"/>
    </row>
    <row r="113" spans="14:14" x14ac:dyDescent="0.25">
      <c r="N113" s="9"/>
    </row>
    <row r="114" spans="14:14" x14ac:dyDescent="0.25">
      <c r="N114" s="9"/>
    </row>
    <row r="115" spans="14:14" x14ac:dyDescent="0.25">
      <c r="N115" s="9"/>
    </row>
    <row r="116" spans="14:14" x14ac:dyDescent="0.25">
      <c r="N116" s="9"/>
    </row>
    <row r="117" spans="14:14" x14ac:dyDescent="0.25">
      <c r="N117" s="9"/>
    </row>
    <row r="118" spans="14:14" x14ac:dyDescent="0.25">
      <c r="N118" s="9"/>
    </row>
    <row r="119" spans="14:14" x14ac:dyDescent="0.25">
      <c r="N119" s="9"/>
    </row>
    <row r="120" spans="14:14" x14ac:dyDescent="0.25">
      <c r="N120" s="9"/>
    </row>
    <row r="121" spans="14:14" x14ac:dyDescent="0.25">
      <c r="N121" s="9"/>
    </row>
    <row r="122" spans="14:14" x14ac:dyDescent="0.25">
      <c r="N122" s="9"/>
    </row>
    <row r="123" spans="14:14" x14ac:dyDescent="0.25">
      <c r="N123" s="9"/>
    </row>
    <row r="124" spans="14:14" x14ac:dyDescent="0.25">
      <c r="N124" s="9"/>
    </row>
    <row r="125" spans="14:14" x14ac:dyDescent="0.25">
      <c r="N125" s="9"/>
    </row>
    <row r="126" spans="14:14" x14ac:dyDescent="0.25">
      <c r="N126" s="9"/>
    </row>
    <row r="127" spans="14:14" x14ac:dyDescent="0.25">
      <c r="N127" s="9"/>
    </row>
    <row r="128" spans="14:14" x14ac:dyDescent="0.25">
      <c r="N128" s="9"/>
    </row>
    <row r="129" spans="14:14" x14ac:dyDescent="0.25">
      <c r="N129" s="9"/>
    </row>
    <row r="130" spans="14:14" x14ac:dyDescent="0.25">
      <c r="N130" s="9"/>
    </row>
    <row r="131" spans="14:14" x14ac:dyDescent="0.25">
      <c r="N131" s="9"/>
    </row>
    <row r="132" spans="14:14" x14ac:dyDescent="0.25">
      <c r="N132" s="9"/>
    </row>
    <row r="133" spans="14:14" x14ac:dyDescent="0.25">
      <c r="N133" s="9"/>
    </row>
    <row r="134" spans="14:14" x14ac:dyDescent="0.25">
      <c r="N134" s="9"/>
    </row>
    <row r="135" spans="14:14" x14ac:dyDescent="0.25">
      <c r="N135" s="9"/>
    </row>
    <row r="136" spans="14:14" x14ac:dyDescent="0.25">
      <c r="N136" s="9"/>
    </row>
    <row r="137" spans="14:14" x14ac:dyDescent="0.25">
      <c r="N137" s="9"/>
    </row>
    <row r="138" spans="14:14" x14ac:dyDescent="0.25">
      <c r="N138" s="9"/>
    </row>
    <row r="139" spans="14:14" x14ac:dyDescent="0.25">
      <c r="N139" s="9"/>
    </row>
    <row r="140" spans="14:14" x14ac:dyDescent="0.25">
      <c r="N140" s="9"/>
    </row>
    <row r="141" spans="14:14" x14ac:dyDescent="0.25">
      <c r="N141" s="9"/>
    </row>
    <row r="142" spans="14:14" x14ac:dyDescent="0.25">
      <c r="N142" s="9"/>
    </row>
    <row r="143" spans="14:14" x14ac:dyDescent="0.25">
      <c r="N143" s="9"/>
    </row>
    <row r="144" spans="14:14" x14ac:dyDescent="0.25">
      <c r="N144" s="9"/>
    </row>
    <row r="145" spans="14:14" x14ac:dyDescent="0.25">
      <c r="N145" s="9"/>
    </row>
    <row r="146" spans="14:14" x14ac:dyDescent="0.25">
      <c r="N146" s="9"/>
    </row>
    <row r="147" spans="14:14" x14ac:dyDescent="0.25">
      <c r="N147" s="9"/>
    </row>
    <row r="148" spans="14:14" x14ac:dyDescent="0.25">
      <c r="N148" s="9"/>
    </row>
    <row r="149" spans="14:14" x14ac:dyDescent="0.25">
      <c r="N149" s="9"/>
    </row>
    <row r="150" spans="14:14" x14ac:dyDescent="0.25">
      <c r="N150" s="9"/>
    </row>
    <row r="151" spans="14:14" x14ac:dyDescent="0.25">
      <c r="N151" s="9"/>
    </row>
    <row r="152" spans="14:14" x14ac:dyDescent="0.25">
      <c r="N152" s="9"/>
    </row>
    <row r="153" spans="14:14" x14ac:dyDescent="0.25">
      <c r="N153" s="9"/>
    </row>
    <row r="154" spans="14:14" x14ac:dyDescent="0.25">
      <c r="N154" s="9"/>
    </row>
    <row r="155" spans="14:14" x14ac:dyDescent="0.25">
      <c r="N155" s="9"/>
    </row>
    <row r="156" spans="14:14" x14ac:dyDescent="0.25">
      <c r="N156" s="9"/>
    </row>
    <row r="157" spans="14:14" x14ac:dyDescent="0.25">
      <c r="N157" s="9"/>
    </row>
    <row r="158" spans="14:14" x14ac:dyDescent="0.25">
      <c r="N158" s="9"/>
    </row>
    <row r="159" spans="14:14" x14ac:dyDescent="0.25">
      <c r="N159" s="9"/>
    </row>
    <row r="160" spans="14:14" x14ac:dyDescent="0.25">
      <c r="N160" s="9"/>
    </row>
    <row r="161" spans="14:14" x14ac:dyDescent="0.25">
      <c r="N161" s="9"/>
    </row>
    <row r="162" spans="14:14" x14ac:dyDescent="0.25">
      <c r="N162" s="9"/>
    </row>
    <row r="163" spans="14:14" x14ac:dyDescent="0.25">
      <c r="N163" s="9"/>
    </row>
    <row r="164" spans="14:14" x14ac:dyDescent="0.25">
      <c r="N164" s="9"/>
    </row>
    <row r="165" spans="14:14" x14ac:dyDescent="0.25">
      <c r="N165" s="9"/>
    </row>
    <row r="166" spans="14:14" x14ac:dyDescent="0.25">
      <c r="N166" s="9"/>
    </row>
    <row r="167" spans="14:14" x14ac:dyDescent="0.25">
      <c r="N167" s="9"/>
    </row>
    <row r="168" spans="14:14" x14ac:dyDescent="0.25">
      <c r="N168" s="9"/>
    </row>
    <row r="169" spans="14:14" x14ac:dyDescent="0.25">
      <c r="N169" s="9"/>
    </row>
    <row r="170" spans="14:14" x14ac:dyDescent="0.25">
      <c r="N170" s="9"/>
    </row>
    <row r="171" spans="14:14" x14ac:dyDescent="0.25">
      <c r="N171" s="9"/>
    </row>
    <row r="172" spans="14:14" x14ac:dyDescent="0.25">
      <c r="N172" s="9"/>
    </row>
    <row r="173" spans="14:14" x14ac:dyDescent="0.25">
      <c r="N173" s="9"/>
    </row>
    <row r="174" spans="14:14" x14ac:dyDescent="0.25">
      <c r="N174" s="9"/>
    </row>
    <row r="175" spans="14:14" x14ac:dyDescent="0.25">
      <c r="N175" s="9"/>
    </row>
    <row r="176" spans="14:14" x14ac:dyDescent="0.25">
      <c r="N176" s="9"/>
    </row>
    <row r="177" spans="14:14" x14ac:dyDescent="0.25">
      <c r="N177" s="9"/>
    </row>
    <row r="178" spans="14:14" x14ac:dyDescent="0.25">
      <c r="N178" s="9"/>
    </row>
    <row r="179" spans="14:14" x14ac:dyDescent="0.25">
      <c r="N179" s="9"/>
    </row>
    <row r="180" spans="14:14" x14ac:dyDescent="0.25">
      <c r="N180" s="9"/>
    </row>
    <row r="181" spans="14:14" x14ac:dyDescent="0.25">
      <c r="N181" s="9"/>
    </row>
    <row r="182" spans="14:14" x14ac:dyDescent="0.25">
      <c r="N182" s="9"/>
    </row>
    <row r="183" spans="14:14" x14ac:dyDescent="0.25">
      <c r="N183" s="9"/>
    </row>
    <row r="184" spans="14:14" x14ac:dyDescent="0.25">
      <c r="N184" s="9"/>
    </row>
    <row r="185" spans="14:14" x14ac:dyDescent="0.25">
      <c r="N185" s="9"/>
    </row>
    <row r="186" spans="14:14" x14ac:dyDescent="0.25">
      <c r="N186" s="9"/>
    </row>
    <row r="187" spans="14:14" x14ac:dyDescent="0.25">
      <c r="N187" s="9"/>
    </row>
    <row r="188" spans="14:14" x14ac:dyDescent="0.25">
      <c r="N188" s="9"/>
    </row>
    <row r="189" spans="14:14" x14ac:dyDescent="0.25">
      <c r="N189" s="9"/>
    </row>
    <row r="190" spans="14:14" x14ac:dyDescent="0.25">
      <c r="N190" s="9"/>
    </row>
    <row r="191" spans="14:14" x14ac:dyDescent="0.25">
      <c r="N191" s="9"/>
    </row>
    <row r="192" spans="14:14" x14ac:dyDescent="0.25">
      <c r="N192" s="9"/>
    </row>
    <row r="193" spans="14:14" x14ac:dyDescent="0.25">
      <c r="N193" s="9"/>
    </row>
    <row r="194" spans="14:14" x14ac:dyDescent="0.25">
      <c r="N194" s="9"/>
    </row>
    <row r="195" spans="14:14" x14ac:dyDescent="0.25">
      <c r="N195" s="9"/>
    </row>
    <row r="196" spans="14:14" x14ac:dyDescent="0.25">
      <c r="N196" s="9"/>
    </row>
    <row r="197" spans="14:14" x14ac:dyDescent="0.25">
      <c r="N197" s="9"/>
    </row>
    <row r="198" spans="14:14" x14ac:dyDescent="0.25">
      <c r="N198" s="9"/>
    </row>
    <row r="199" spans="14:14" x14ac:dyDescent="0.25">
      <c r="N199" s="9"/>
    </row>
    <row r="200" spans="14:14" x14ac:dyDescent="0.25">
      <c r="N200" s="9"/>
    </row>
    <row r="201" spans="14:14" x14ac:dyDescent="0.25">
      <c r="N201" s="9"/>
    </row>
    <row r="202" spans="14:14" x14ac:dyDescent="0.25">
      <c r="N202" s="9"/>
    </row>
    <row r="203" spans="14:14" x14ac:dyDescent="0.25">
      <c r="N203" s="9"/>
    </row>
    <row r="204" spans="14:14" x14ac:dyDescent="0.25">
      <c r="N204" s="9"/>
    </row>
    <row r="205" spans="14:14" x14ac:dyDescent="0.25">
      <c r="N205" s="9"/>
    </row>
    <row r="206" spans="14:14" x14ac:dyDescent="0.25">
      <c r="N206" s="9"/>
    </row>
    <row r="207" spans="14:14" x14ac:dyDescent="0.25">
      <c r="N207" s="9"/>
    </row>
    <row r="208" spans="14:14" x14ac:dyDescent="0.25">
      <c r="N208" s="9"/>
    </row>
    <row r="209" spans="14:14" x14ac:dyDescent="0.25">
      <c r="N209" s="9"/>
    </row>
    <row r="210" spans="14:14" x14ac:dyDescent="0.25">
      <c r="N210" s="9"/>
    </row>
    <row r="211" spans="14:14" x14ac:dyDescent="0.25">
      <c r="N211" s="9"/>
    </row>
    <row r="212" spans="14:14" x14ac:dyDescent="0.25">
      <c r="N212" s="9"/>
    </row>
    <row r="213" spans="14:14" x14ac:dyDescent="0.25">
      <c r="N213" s="9"/>
    </row>
    <row r="214" spans="14:14" x14ac:dyDescent="0.25">
      <c r="N214" s="9"/>
    </row>
    <row r="215" spans="14:14" x14ac:dyDescent="0.25">
      <c r="N215" s="9"/>
    </row>
  </sheetData>
  <phoneticPr fontId="12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78A3A6-3437-C44D-8681-BBAC0A234C8E}">
  <dimension ref="E7:H10"/>
  <sheetViews>
    <sheetView showGridLines="0" workbookViewId="0">
      <selection activeCell="J11" sqref="J11"/>
    </sheetView>
  </sheetViews>
  <sheetFormatPr baseColWidth="10" defaultRowHeight="16" x14ac:dyDescent="0.2"/>
  <cols>
    <col min="5" max="5" width="57.6640625" bestFit="1" customWidth="1"/>
    <col min="6" max="8" width="27.83203125" bestFit="1" customWidth="1"/>
  </cols>
  <sheetData>
    <row r="7" spans="5:8" ht="92" x14ac:dyDescent="1">
      <c r="E7" s="28"/>
      <c r="F7" s="30">
        <v>2025</v>
      </c>
      <c r="G7" s="30">
        <v>2026</v>
      </c>
      <c r="H7" s="30">
        <v>2027</v>
      </c>
    </row>
    <row r="8" spans="5:8" ht="92" x14ac:dyDescent="1">
      <c r="E8" s="30" t="s">
        <v>122</v>
      </c>
      <c r="F8" s="29">
        <f>Modell!$B$9/(Modell!AC7*Modell!$B$12)</f>
        <v>5.6559116155192584</v>
      </c>
      <c r="G8" s="29">
        <f>Modell!$B$9/(Modell!AD7*Modell!$B$12)</f>
        <v>4.2138075688859571</v>
      </c>
      <c r="H8" s="29">
        <f>Modell!$B$9/(Modell!AE7*Modell!$B$12)</f>
        <v>3.0184398777123502</v>
      </c>
    </row>
    <row r="9" spans="5:8" ht="92" x14ac:dyDescent="1">
      <c r="E9" s="30" t="s">
        <v>119</v>
      </c>
      <c r="F9" s="29">
        <f>Modell!$B$9/(Modell!AC9*Modell!$B$12)</f>
        <v>7.2367564769997959</v>
      </c>
      <c r="G9" s="29">
        <f>Modell!$B$9/(Modell!AD9*Modell!$B$12)</f>
        <v>7.4448421264981919</v>
      </c>
      <c r="H9" s="29">
        <f>Modell!$B$9/(Modell!AE9*Modell!$B$12)</f>
        <v>3.8075744862645986</v>
      </c>
    </row>
    <row r="10" spans="5:8" ht="92" x14ac:dyDescent="1">
      <c r="E10" s="30" t="s">
        <v>120</v>
      </c>
      <c r="F10" s="29">
        <f>Modell!$B$4/Modell!AC16</f>
        <v>5.2637813691889406</v>
      </c>
      <c r="G10" s="29">
        <f>Modell!$B$4/Modell!AD16</f>
        <v>4.526509060149448</v>
      </c>
      <c r="H10" s="29">
        <f>Modell!$B$4/Modell!AE16</f>
        <v>2.7682037479400012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B30DAC-43E0-5044-95D3-312A56BDA480}">
  <dimension ref="B6:J6"/>
  <sheetViews>
    <sheetView showGridLines="0" workbookViewId="0">
      <selection activeCell="B7" sqref="B7"/>
    </sheetView>
  </sheetViews>
  <sheetFormatPr baseColWidth="10" defaultRowHeight="16" x14ac:dyDescent="0.2"/>
  <cols>
    <col min="2" max="2" width="11.6640625" bestFit="1" customWidth="1"/>
    <col min="6" max="6" width="24.83203125" customWidth="1"/>
    <col min="7" max="7" width="21.83203125" bestFit="1" customWidth="1"/>
    <col min="8" max="8" width="29" bestFit="1" customWidth="1"/>
    <col min="9" max="9" width="24" bestFit="1" customWidth="1"/>
    <col min="10" max="10" width="10.1640625" bestFit="1" customWidth="1"/>
  </cols>
  <sheetData>
    <row r="6" spans="2:10" ht="34" x14ac:dyDescent="0.2">
      <c r="B6" s="68" t="s">
        <v>152</v>
      </c>
      <c r="C6" s="68" t="s">
        <v>255</v>
      </c>
      <c r="D6" s="68" t="s">
        <v>256</v>
      </c>
      <c r="E6" s="68" t="s">
        <v>260</v>
      </c>
      <c r="F6" s="69" t="s">
        <v>261</v>
      </c>
      <c r="G6" s="68" t="s">
        <v>262</v>
      </c>
      <c r="H6" s="68" t="s">
        <v>263</v>
      </c>
      <c r="I6" s="68" t="s">
        <v>264</v>
      </c>
      <c r="J6" s="68" t="s">
        <v>265</v>
      </c>
    </row>
  </sheetData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33C8C4-18B3-F545-8A0C-805EA7D6E26B}">
  <dimension ref="A1"/>
  <sheetViews>
    <sheetView showGridLines="0" workbookViewId="0"/>
  </sheetViews>
  <sheetFormatPr baseColWidth="10" defaultRowHeight="16" x14ac:dyDescent="0.2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Regneark</vt:lpstr>
      </vt:variant>
      <vt:variant>
        <vt:i4>5</vt:i4>
      </vt:variant>
    </vt:vector>
  </HeadingPairs>
  <TitlesOfParts>
    <vt:vector size="5" baseType="lpstr">
      <vt:lpstr>Info</vt:lpstr>
      <vt:lpstr>Modell</vt:lpstr>
      <vt:lpstr>Nøkkeltall</vt:lpstr>
      <vt:lpstr>SOTP</vt:lpstr>
      <vt:lpstr>Nedsidebergning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august hodt</dc:creator>
  <cp:lastModifiedBy>August Hodt</cp:lastModifiedBy>
  <dcterms:created xsi:type="dcterms:W3CDTF">2025-01-11T15:35:20Z</dcterms:created>
  <dcterms:modified xsi:type="dcterms:W3CDTF">2025-10-30T16:53:16Z</dcterms:modified>
</cp:coreProperties>
</file>