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gusthodt/Desktop/Aksjemodellering/"/>
    </mc:Choice>
  </mc:AlternateContent>
  <xr:revisionPtr revIDLastSave="0" documentId="13_ncr:1_{42473D6B-2350-E448-B0A3-28C7D81B9123}" xr6:coauthVersionLast="47" xr6:coauthVersionMax="47" xr10:uidLastSave="{00000000-0000-0000-0000-000000000000}"/>
  <bookViews>
    <workbookView xWindow="22000" yWindow="500" windowWidth="29200" windowHeight="26740" activeTab="1" xr2:uid="{880FDD81-14BC-AE47-8673-E11DDB2293DC}"/>
  </bookViews>
  <sheets>
    <sheet name="Info" sheetId="1" r:id="rId1"/>
    <sheet name="Modell" sheetId="2" r:id="rId2"/>
    <sheet name="Nøkkelta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3" i="2" l="1"/>
  <c r="F73" i="2"/>
  <c r="E73" i="2"/>
  <c r="G73" i="2"/>
  <c r="H73" i="2"/>
  <c r="H70" i="2"/>
  <c r="I73" i="2"/>
  <c r="M73" i="2"/>
  <c r="J73" i="2"/>
  <c r="N73" i="2"/>
  <c r="D56" i="2"/>
  <c r="E56" i="2"/>
  <c r="F56" i="2"/>
  <c r="G56" i="2"/>
  <c r="H56" i="2"/>
  <c r="I56" i="2"/>
  <c r="I57" i="2" s="1"/>
  <c r="J56" i="2"/>
  <c r="J57" i="2" s="1"/>
  <c r="K56" i="2"/>
  <c r="L56" i="2"/>
  <c r="M56" i="2"/>
  <c r="D47" i="2"/>
  <c r="E47" i="2"/>
  <c r="E57" i="2" s="1"/>
  <c r="F47" i="2"/>
  <c r="G47" i="2"/>
  <c r="G57" i="2" s="1"/>
  <c r="H47" i="2"/>
  <c r="I47" i="2"/>
  <c r="J47" i="2"/>
  <c r="K47" i="2"/>
  <c r="L47" i="2"/>
  <c r="M47" i="2"/>
  <c r="D40" i="2"/>
  <c r="E40" i="2"/>
  <c r="F40" i="2"/>
  <c r="G40" i="2"/>
  <c r="H40" i="2"/>
  <c r="I40" i="2"/>
  <c r="J40" i="2"/>
  <c r="K40" i="2"/>
  <c r="L40" i="2"/>
  <c r="M40" i="2"/>
  <c r="D35" i="2"/>
  <c r="E35" i="2"/>
  <c r="F35" i="2"/>
  <c r="F41" i="2" s="1"/>
  <c r="G35" i="2"/>
  <c r="G41" i="2" s="1"/>
  <c r="H35" i="2"/>
  <c r="I35" i="2"/>
  <c r="J35" i="2"/>
  <c r="K35" i="2"/>
  <c r="L35" i="2"/>
  <c r="M35" i="2"/>
  <c r="K73" i="2"/>
  <c r="O73" i="2"/>
  <c r="AC6" i="2"/>
  <c r="AD6" i="2"/>
  <c r="AE6" i="2" s="1"/>
  <c r="AF6" i="2" s="1"/>
  <c r="AG6" i="2" s="1"/>
  <c r="AH6" i="2" s="1"/>
  <c r="AI6" i="2" s="1"/>
  <c r="AB6" i="2"/>
  <c r="AA6" i="2"/>
  <c r="Z6" i="2"/>
  <c r="AA18" i="2"/>
  <c r="AA4" i="2"/>
  <c r="AB4" i="2"/>
  <c r="AC4" i="2" s="1"/>
  <c r="AD4" i="2" s="1"/>
  <c r="AE4" i="2" s="1"/>
  <c r="AF4" i="2" s="1"/>
  <c r="AG4" i="2" s="1"/>
  <c r="AH4" i="2" s="1"/>
  <c r="AI4" i="2" s="1"/>
  <c r="Z4" i="2"/>
  <c r="Y20" i="2"/>
  <c r="Y6" i="2"/>
  <c r="Y4" i="2"/>
  <c r="D85" i="2"/>
  <c r="E85" i="2"/>
  <c r="F85" i="2"/>
  <c r="G85" i="2"/>
  <c r="H85" i="2"/>
  <c r="I85" i="2"/>
  <c r="J85" i="2"/>
  <c r="K85" i="2"/>
  <c r="L85" i="2"/>
  <c r="M85" i="2"/>
  <c r="N85" i="2"/>
  <c r="O85" i="2"/>
  <c r="I89" i="2"/>
  <c r="K89" i="2"/>
  <c r="N89" i="2"/>
  <c r="D76" i="2"/>
  <c r="E76" i="2"/>
  <c r="F76" i="2"/>
  <c r="G76" i="2"/>
  <c r="H76" i="2"/>
  <c r="I76" i="2"/>
  <c r="J76" i="2"/>
  <c r="K76" i="2"/>
  <c r="L76" i="2"/>
  <c r="M76" i="2"/>
  <c r="N76" i="2"/>
  <c r="O76" i="2"/>
  <c r="D70" i="2"/>
  <c r="E70" i="2"/>
  <c r="E87" i="2" s="1"/>
  <c r="F70" i="2"/>
  <c r="F87" i="2" s="1"/>
  <c r="G70" i="2"/>
  <c r="G89" i="2" s="1"/>
  <c r="H89" i="2"/>
  <c r="I70" i="2"/>
  <c r="J70" i="2"/>
  <c r="J89" i="2" s="1"/>
  <c r="K70" i="2"/>
  <c r="L70" i="2"/>
  <c r="L89" i="2" s="1"/>
  <c r="M70" i="2"/>
  <c r="N70" i="2"/>
  <c r="O70" i="2"/>
  <c r="O89" i="2" s="1"/>
  <c r="P89" i="2"/>
  <c r="P87" i="2"/>
  <c r="P85" i="2"/>
  <c r="P76" i="2"/>
  <c r="P7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P56" i="2"/>
  <c r="P47" i="2"/>
  <c r="P40" i="2"/>
  <c r="P35" i="2"/>
  <c r="X4" i="2"/>
  <c r="P23" i="2"/>
  <c r="P10" i="2"/>
  <c r="P19" i="2" s="1"/>
  <c r="P20" i="2"/>
  <c r="P18" i="2"/>
  <c r="Z9" i="2"/>
  <c r="AA9" i="2"/>
  <c r="AB9" i="2" s="1"/>
  <c r="AC9" i="2" s="1"/>
  <c r="AD9" i="2" s="1"/>
  <c r="AE9" i="2" s="1"/>
  <c r="AF9" i="2" s="1"/>
  <c r="AG9" i="2" s="1"/>
  <c r="AH9" i="2" s="1"/>
  <c r="AI9" i="2" s="1"/>
  <c r="Y9" i="2"/>
  <c r="O20" i="2"/>
  <c r="O56" i="2"/>
  <c r="O47" i="2"/>
  <c r="O40" i="2"/>
  <c r="O41" i="2" s="1"/>
  <c r="O35" i="2"/>
  <c r="M18" i="2"/>
  <c r="O18" i="2"/>
  <c r="Z5" i="2"/>
  <c r="AA5" i="2"/>
  <c r="AB5" i="2"/>
  <c r="AC5" i="2"/>
  <c r="AD5" i="2"/>
  <c r="AE5" i="2"/>
  <c r="AF5" i="2"/>
  <c r="AG5" i="2"/>
  <c r="AH5" i="2"/>
  <c r="AI5" i="2"/>
  <c r="Y5" i="2"/>
  <c r="D87" i="2" l="1"/>
  <c r="D89" i="2"/>
  <c r="D57" i="2"/>
  <c r="D41" i="2"/>
  <c r="F89" i="2"/>
  <c r="E89" i="2"/>
  <c r="E41" i="2"/>
  <c r="F57" i="2"/>
  <c r="K57" i="2"/>
  <c r="K41" i="2"/>
  <c r="H57" i="2"/>
  <c r="L57" i="2"/>
  <c r="H41" i="2"/>
  <c r="L41" i="2"/>
  <c r="M87" i="2"/>
  <c r="M89" i="2"/>
  <c r="M57" i="2"/>
  <c r="I41" i="2"/>
  <c r="M41" i="2"/>
  <c r="N87" i="2"/>
  <c r="J41" i="2"/>
  <c r="K87" i="2"/>
  <c r="J87" i="2"/>
  <c r="I87" i="2"/>
  <c r="G87" i="2"/>
  <c r="H87" i="2"/>
  <c r="O87" i="2"/>
  <c r="L87" i="2"/>
  <c r="P57" i="2"/>
  <c r="P41" i="2"/>
  <c r="P12" i="2"/>
  <c r="P14" i="2" s="1"/>
  <c r="P16" i="2" s="1"/>
  <c r="O57" i="2"/>
  <c r="J18" i="2"/>
  <c r="J20" i="2"/>
  <c r="O23" i="2"/>
  <c r="N20" i="2"/>
  <c r="M20" i="2"/>
  <c r="L20" i="2"/>
  <c r="K20" i="2"/>
  <c r="I20" i="2"/>
  <c r="H20" i="2"/>
  <c r="AL20" i="2"/>
  <c r="W11" i="2"/>
  <c r="X11" i="2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X9" i="2"/>
  <c r="X6" i="2"/>
  <c r="X5" i="2"/>
  <c r="W13" i="2"/>
  <c r="W9" i="2"/>
  <c r="W8" i="2"/>
  <c r="W7" i="2"/>
  <c r="W6" i="2"/>
  <c r="W5" i="2"/>
  <c r="W4" i="2"/>
  <c r="V13" i="2"/>
  <c r="V11" i="2"/>
  <c r="D10" i="2"/>
  <c r="D19" i="2" s="1"/>
  <c r="V9" i="2"/>
  <c r="V8" i="2"/>
  <c r="V7" i="2"/>
  <c r="V6" i="2"/>
  <c r="V5" i="2"/>
  <c r="V4" i="2"/>
  <c r="E10" i="2"/>
  <c r="E12" i="2" s="1"/>
  <c r="E14" i="2" s="1"/>
  <c r="E16" i="2" s="1"/>
  <c r="F10" i="2"/>
  <c r="F19" i="2" s="1"/>
  <c r="G10" i="2"/>
  <c r="G12" i="2" s="1"/>
  <c r="G14" i="2" s="1"/>
  <c r="G16" i="2" s="1"/>
  <c r="K10" i="2"/>
  <c r="K12" i="2" s="1"/>
  <c r="K14" i="2" s="1"/>
  <c r="K16" i="2" s="1"/>
  <c r="G22" i="2"/>
  <c r="K23" i="2" s="1"/>
  <c r="I22" i="2"/>
  <c r="M23" i="2" s="1"/>
  <c r="H10" i="2"/>
  <c r="H12" i="2" s="1"/>
  <c r="H14" i="2" s="1"/>
  <c r="H16" i="2" s="1"/>
  <c r="L10" i="2"/>
  <c r="L19" i="2" s="1"/>
  <c r="H22" i="2"/>
  <c r="H23" i="2" s="1"/>
  <c r="I10" i="2"/>
  <c r="I12" i="2" s="1"/>
  <c r="I14" i="2" s="1"/>
  <c r="I16" i="2" s="1"/>
  <c r="M10" i="2"/>
  <c r="M12" i="2" s="1"/>
  <c r="M14" i="2" s="1"/>
  <c r="M16" i="2" s="1"/>
  <c r="N56" i="2"/>
  <c r="N47" i="2"/>
  <c r="N40" i="2"/>
  <c r="N35" i="2"/>
  <c r="H18" i="2"/>
  <c r="I18" i="2"/>
  <c r="K18" i="2"/>
  <c r="L18" i="2"/>
  <c r="N18" i="2"/>
  <c r="J10" i="2"/>
  <c r="J12" i="2" s="1"/>
  <c r="J14" i="2" s="1"/>
  <c r="J16" i="2" s="1"/>
  <c r="N10" i="2"/>
  <c r="N19" i="2" s="1"/>
  <c r="J22" i="2"/>
  <c r="J23" i="2" s="1"/>
  <c r="B6" i="2"/>
  <c r="B9" i="2" s="1"/>
  <c r="N41" i="2" l="1"/>
  <c r="N23" i="2"/>
  <c r="N57" i="2"/>
  <c r="L23" i="2"/>
  <c r="X20" i="2"/>
  <c r="W20" i="2"/>
  <c r="V10" i="2"/>
  <c r="V12" i="2" s="1"/>
  <c r="V14" i="2" s="1"/>
  <c r="V16" i="2" s="1"/>
  <c r="O10" i="2"/>
  <c r="O12" i="2" s="1"/>
  <c r="J19" i="2"/>
  <c r="W18" i="2"/>
  <c r="I19" i="2"/>
  <c r="I23" i="2"/>
  <c r="N12" i="2"/>
  <c r="N14" i="2" s="1"/>
  <c r="N16" i="2" s="1"/>
  <c r="M19" i="2"/>
  <c r="W10" i="2"/>
  <c r="D12" i="2"/>
  <c r="D14" i="2" s="1"/>
  <c r="D16" i="2" s="1"/>
  <c r="E19" i="2"/>
  <c r="F12" i="2"/>
  <c r="F14" i="2" s="1"/>
  <c r="F16" i="2" s="1"/>
  <c r="G19" i="2"/>
  <c r="K19" i="2"/>
  <c r="H19" i="2"/>
  <c r="L12" i="2"/>
  <c r="L14" i="2" s="1"/>
  <c r="L16" i="2" s="1"/>
  <c r="O19" i="2" l="1"/>
  <c r="Y10" i="2"/>
  <c r="F6" i="3" s="1"/>
  <c r="X18" i="2"/>
  <c r="Z10" i="2"/>
  <c r="G6" i="3" s="1"/>
  <c r="W12" i="2"/>
  <c r="W14" i="2" s="1"/>
  <c r="W16" i="2" s="1"/>
  <c r="Z18" i="2"/>
  <c r="X13" i="2"/>
  <c r="AB18" i="2"/>
  <c r="X10" i="2"/>
  <c r="Y18" i="2"/>
  <c r="W19" i="2"/>
  <c r="V19" i="2"/>
  <c r="Y19" i="2" l="1"/>
  <c r="Y12" i="2"/>
  <c r="Y13" i="2" s="1"/>
  <c r="Y14" i="2" s="1"/>
  <c r="O14" i="2"/>
  <c r="O16" i="2" s="1"/>
  <c r="Z12" i="2"/>
  <c r="Z13" i="2" s="1"/>
  <c r="Z14" i="2" s="1"/>
  <c r="Z16" i="2" s="1"/>
  <c r="G7" i="3" s="1"/>
  <c r="Z20" i="2"/>
  <c r="Z19" i="2"/>
  <c r="AC18" i="2"/>
  <c r="X12" i="2"/>
  <c r="X14" i="2" s="1"/>
  <c r="X16" i="2" s="1"/>
  <c r="X19" i="2"/>
  <c r="AA20" i="2" l="1"/>
  <c r="AA10" i="2"/>
  <c r="H6" i="3" s="1"/>
  <c r="Y16" i="2"/>
  <c r="F7" i="3" s="1"/>
  <c r="AD18" i="2"/>
  <c r="AA19" i="2" l="1"/>
  <c r="AA12" i="2"/>
  <c r="AA13" i="2" s="1"/>
  <c r="AA14" i="2" s="1"/>
  <c r="AB20" i="2"/>
  <c r="AB10" i="2"/>
  <c r="AE18" i="2"/>
  <c r="AA16" i="2" l="1"/>
  <c r="H7" i="3" s="1"/>
  <c r="AB12" i="2"/>
  <c r="AB13" i="2" s="1"/>
  <c r="AB14" i="2" s="1"/>
  <c r="AB16" i="2" s="1"/>
  <c r="AB19" i="2"/>
  <c r="AC20" i="2"/>
  <c r="AC10" i="2"/>
  <c r="AF18" i="2"/>
  <c r="AC19" i="2" l="1"/>
  <c r="AC12" i="2"/>
  <c r="AC13" i="2" s="1"/>
  <c r="AC14" i="2" s="1"/>
  <c r="AC16" i="2" s="1"/>
  <c r="AD20" i="2"/>
  <c r="AD10" i="2"/>
  <c r="AG18" i="2"/>
  <c r="AD12" i="2" l="1"/>
  <c r="AD13" i="2" s="1"/>
  <c r="AD14" i="2" s="1"/>
  <c r="AD19" i="2"/>
  <c r="AE20" i="2"/>
  <c r="AE10" i="2"/>
  <c r="AH18" i="2"/>
  <c r="AD16" i="2" l="1"/>
  <c r="AE19" i="2"/>
  <c r="AE12" i="2"/>
  <c r="AE13" i="2" s="1"/>
  <c r="AE14" i="2" s="1"/>
  <c r="AE16" i="2" s="1"/>
  <c r="AF20" i="2"/>
  <c r="AF10" i="2"/>
  <c r="AI18" i="2"/>
  <c r="AF19" i="2" l="1"/>
  <c r="AF12" i="2"/>
  <c r="AF13" i="2" s="1"/>
  <c r="AF14" i="2" s="1"/>
  <c r="AF16" i="2" s="1"/>
  <c r="AG20" i="2"/>
  <c r="AG10" i="2"/>
  <c r="AG19" i="2" l="1"/>
  <c r="AG12" i="2"/>
  <c r="AH20" i="2"/>
  <c r="AH10" i="2"/>
  <c r="AI20" i="2" l="1"/>
  <c r="AI10" i="2"/>
  <c r="AH12" i="2"/>
  <c r="AH13" i="2" s="1"/>
  <c r="AH14" i="2" s="1"/>
  <c r="AH16" i="2" s="1"/>
  <c r="AH19" i="2"/>
  <c r="AG13" i="2"/>
  <c r="AG14" i="2" s="1"/>
  <c r="AG16" i="2" l="1"/>
  <c r="AI12" i="2"/>
  <c r="AI19" i="2"/>
  <c r="AI13" i="2" l="1"/>
  <c r="AI14" i="2" s="1"/>
  <c r="AJ14" i="2" l="1"/>
  <c r="AK14" i="2" s="1"/>
  <c r="AI16" i="2"/>
  <c r="AL14" i="2" l="1"/>
  <c r="AM14" i="2" s="1"/>
  <c r="AN14" i="2" s="1"/>
  <c r="AO14" i="2" s="1"/>
  <c r="AP14" i="2" s="1"/>
  <c r="AQ14" i="2" s="1"/>
  <c r="AR14" i="2" s="1"/>
  <c r="AS14" i="2" s="1"/>
  <c r="AT14" i="2" s="1"/>
  <c r="AU14" i="2" s="1"/>
  <c r="AV14" i="2" s="1"/>
  <c r="AW14" i="2" s="1"/>
  <c r="AX14" i="2" s="1"/>
  <c r="AY14" i="2" s="1"/>
  <c r="AZ14" i="2" s="1"/>
  <c r="BA14" i="2" s="1"/>
  <c r="BB14" i="2" s="1"/>
  <c r="BC14" i="2" s="1"/>
  <c r="BD14" i="2" s="1"/>
  <c r="BE14" i="2" s="1"/>
  <c r="BF14" i="2" s="1"/>
  <c r="BG14" i="2" s="1"/>
  <c r="BH14" i="2" s="1"/>
  <c r="BI14" i="2" s="1"/>
  <c r="BJ14" i="2" s="1"/>
  <c r="BK14" i="2" s="1"/>
  <c r="BL14" i="2" s="1"/>
  <c r="BM14" i="2" s="1"/>
  <c r="BN14" i="2" s="1"/>
  <c r="BO14" i="2" s="1"/>
  <c r="BP14" i="2" s="1"/>
  <c r="BQ14" i="2" s="1"/>
  <c r="BR14" i="2" s="1"/>
  <c r="BS14" i="2" s="1"/>
  <c r="BT14" i="2" s="1"/>
  <c r="BU14" i="2" s="1"/>
  <c r="BV14" i="2" s="1"/>
  <c r="BW14" i="2" s="1"/>
  <c r="BX14" i="2" s="1"/>
  <c r="BY14" i="2" s="1"/>
  <c r="BZ14" i="2" s="1"/>
  <c r="CA14" i="2" s="1"/>
  <c r="CB14" i="2" s="1"/>
  <c r="CC14" i="2" s="1"/>
  <c r="CD14" i="2" s="1"/>
  <c r="CE14" i="2" s="1"/>
  <c r="CF14" i="2" s="1"/>
  <c r="CG14" i="2" s="1"/>
  <c r="CH14" i="2" s="1"/>
  <c r="CI14" i="2" s="1"/>
  <c r="CJ14" i="2" s="1"/>
  <c r="CK14" i="2" s="1"/>
  <c r="CL14" i="2" s="1"/>
  <c r="CM14" i="2" s="1"/>
  <c r="CN14" i="2" s="1"/>
  <c r="CO14" i="2" s="1"/>
  <c r="CP14" i="2" s="1"/>
  <c r="CQ14" i="2" s="1"/>
  <c r="CR14" i="2" s="1"/>
  <c r="CS14" i="2" s="1"/>
  <c r="CT14" i="2" s="1"/>
  <c r="CU14" i="2" s="1"/>
  <c r="CV14" i="2" s="1"/>
  <c r="CW14" i="2" s="1"/>
  <c r="CX14" i="2" s="1"/>
  <c r="CY14" i="2" s="1"/>
  <c r="CZ14" i="2" s="1"/>
  <c r="DA14" i="2" s="1"/>
  <c r="DB14" i="2" s="1"/>
  <c r="DC14" i="2" s="1"/>
  <c r="DD14" i="2" s="1"/>
  <c r="DE14" i="2" s="1"/>
  <c r="DF14" i="2" s="1"/>
  <c r="DG14" i="2" s="1"/>
  <c r="DH14" i="2" s="1"/>
  <c r="DI14" i="2" s="1"/>
  <c r="DJ14" i="2" s="1"/>
  <c r="DK14" i="2" s="1"/>
  <c r="DL14" i="2" s="1"/>
  <c r="DM14" i="2" s="1"/>
  <c r="DN14" i="2" s="1"/>
  <c r="DO14" i="2" s="1"/>
  <c r="DP14" i="2" s="1"/>
  <c r="DQ14" i="2" s="1"/>
  <c r="DR14" i="2" s="1"/>
  <c r="DS14" i="2" s="1"/>
  <c r="DT14" i="2" s="1"/>
  <c r="DU14" i="2" s="1"/>
  <c r="DV14" i="2" s="1"/>
  <c r="DW14" i="2" s="1"/>
  <c r="DX14" i="2" s="1"/>
  <c r="DY14" i="2" s="1"/>
  <c r="DZ14" i="2" s="1"/>
  <c r="EA14" i="2" s="1"/>
  <c r="EB14" i="2" s="1"/>
  <c r="EC14" i="2" s="1"/>
  <c r="ED14" i="2" s="1"/>
  <c r="EE14" i="2" s="1"/>
  <c r="EF14" i="2" s="1"/>
  <c r="EG14" i="2" s="1"/>
  <c r="EH14" i="2" s="1"/>
  <c r="AL19" i="2" s="1"/>
  <c r="AL21" i="2" s="1"/>
  <c r="AL22" i="2" s="1"/>
</calcChain>
</file>

<file path=xl/sharedStrings.xml><?xml version="1.0" encoding="utf-8"?>
<sst xmlns="http://schemas.openxmlformats.org/spreadsheetml/2006/main" count="129" uniqueCount="129">
  <si>
    <t>Kapitalstruktur</t>
  </si>
  <si>
    <t>Price</t>
  </si>
  <si>
    <t>S/O</t>
  </si>
  <si>
    <t>MC NOKm</t>
  </si>
  <si>
    <t>Cash NOKm</t>
  </si>
  <si>
    <t>Debt NOKm</t>
  </si>
  <si>
    <t>EV NOKm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</si>
  <si>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</si>
  <si>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</si>
  <si>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</si>
  <si>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</si>
  <si>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</si>
  <si>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</si>
  <si>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</si>
  <si>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</si>
  <si>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</si>
  <si>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</si>
  <si>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</si>
  <si>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</si>
  <si>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FY2022</t>
  </si>
  <si>
    <t>FY2023</t>
  </si>
  <si>
    <t>FY2024</t>
  </si>
  <si>
    <t>FY2025</t>
  </si>
  <si>
    <t>FY2026</t>
  </si>
  <si>
    <t>FY2027</t>
  </si>
  <si>
    <t>FY2028</t>
  </si>
  <si>
    <t>FY2029</t>
  </si>
  <si>
    <t>FY2030</t>
  </si>
  <si>
    <t>FY2031</t>
  </si>
  <si>
    <t>FY2032</t>
  </si>
  <si>
    <t>FY2033</t>
  </si>
  <si>
    <t>FY2034</t>
  </si>
  <si>
    <t>FY2035</t>
  </si>
  <si>
    <t>Ansatte</t>
  </si>
  <si>
    <t>Varekostnad</t>
  </si>
  <si>
    <t>Personalkost</t>
  </si>
  <si>
    <t>Avksrivninger</t>
  </si>
  <si>
    <t>Amortisering imatrielle eiendeler</t>
  </si>
  <si>
    <t>Annen driftskostnad</t>
  </si>
  <si>
    <t>Driftsresultat (EBIT)</t>
  </si>
  <si>
    <t>Netto finansposter</t>
  </si>
  <si>
    <t>PTP</t>
  </si>
  <si>
    <t>Skatt</t>
  </si>
  <si>
    <t>Netto resultat</t>
  </si>
  <si>
    <t>Driftsinntekter</t>
  </si>
  <si>
    <t>Shares</t>
  </si>
  <si>
    <t>EPS</t>
  </si>
  <si>
    <t>Revenue y/y</t>
  </si>
  <si>
    <t>Utsatt skattefordel</t>
  </si>
  <si>
    <t>Goodwill</t>
  </si>
  <si>
    <t>Andre immatrielle eiendeler</t>
  </si>
  <si>
    <t>Inventar</t>
  </si>
  <si>
    <t>Kontormaskinen og kjøretøy</t>
  </si>
  <si>
    <t>IT-utstyr</t>
  </si>
  <si>
    <t>Rett-til-bruk eiendeler</t>
  </si>
  <si>
    <t>Øvrige finansielle AM</t>
  </si>
  <si>
    <t>Andre langsiktige fordringer</t>
  </si>
  <si>
    <t>SUM AM</t>
  </si>
  <si>
    <t>Igangværende arbeid</t>
  </si>
  <si>
    <t>KF</t>
  </si>
  <si>
    <t>Andre kortsikte fordringer</t>
  </si>
  <si>
    <t>cash</t>
  </si>
  <si>
    <t>SUM OM</t>
  </si>
  <si>
    <t>Eiendeler</t>
  </si>
  <si>
    <t>Aksjekapital</t>
  </si>
  <si>
    <t>Egne aksjer</t>
  </si>
  <si>
    <t>Overkurs</t>
  </si>
  <si>
    <t>Annen EK</t>
  </si>
  <si>
    <t>ikke-kontrollerende interesser</t>
  </si>
  <si>
    <t>EK</t>
  </si>
  <si>
    <t>Leieforpliktelser</t>
  </si>
  <si>
    <t>Andre avsetninger for forpliktelser</t>
  </si>
  <si>
    <t>Kortsiktig leieforpliktelse</t>
  </si>
  <si>
    <t>Lev.gjeld</t>
  </si>
  <si>
    <t>Betalbar skatt</t>
  </si>
  <si>
    <t>Skyldig offentlige avgifter</t>
  </si>
  <si>
    <t>Fakturert ikke opptjent inntekt</t>
  </si>
  <si>
    <t>Annen KG</t>
  </si>
  <si>
    <t>Gjeld</t>
  </si>
  <si>
    <t>SUM EK/Gjeld</t>
  </si>
  <si>
    <t>CFFO</t>
  </si>
  <si>
    <t>CFFI</t>
  </si>
  <si>
    <t>CFFF</t>
  </si>
  <si>
    <t>y/y</t>
  </si>
  <si>
    <t>EV/EBIT</t>
  </si>
  <si>
    <t>P/E</t>
  </si>
  <si>
    <t>Discount</t>
  </si>
  <si>
    <t>TV</t>
  </si>
  <si>
    <t>NPV</t>
  </si>
  <si>
    <t>NPV/share</t>
  </si>
  <si>
    <t>Opp/nedside</t>
  </si>
  <si>
    <t>Personalkostnad y/y</t>
  </si>
  <si>
    <t>NOK millions</t>
  </si>
  <si>
    <t xml:space="preserve">Shares </t>
  </si>
  <si>
    <t>Q125</t>
  </si>
  <si>
    <t>Q225</t>
  </si>
  <si>
    <t>Q325</t>
  </si>
  <si>
    <t>Q425</t>
  </si>
  <si>
    <t>Cashflow (NOK millions)</t>
  </si>
  <si>
    <t>Balanse (NOK millons)</t>
  </si>
  <si>
    <t>EBIT margin</t>
  </si>
  <si>
    <t xml:space="preserve">Press releases: </t>
  </si>
  <si>
    <t>Fordelingen mellom offentlig og privat sektor</t>
  </si>
  <si>
    <t>Blå = privat</t>
  </si>
  <si>
    <t>Grønn = Offentling</t>
  </si>
  <si>
    <t>De 10 største kundene utgjør 68,8% av inntektene (Q424)</t>
  </si>
  <si>
    <t>Model PTP</t>
  </si>
  <si>
    <t>Reported PTP</t>
  </si>
  <si>
    <t>Paid tax</t>
  </si>
  <si>
    <t>(gain)/loss on sale of fixed assets</t>
  </si>
  <si>
    <t>Ordinary depreciation</t>
  </si>
  <si>
    <t>Amortisation</t>
  </si>
  <si>
    <t>Share based comp</t>
  </si>
  <si>
    <t>WC</t>
  </si>
  <si>
    <t>Interest income and interest expense</t>
  </si>
  <si>
    <t>Change in other</t>
  </si>
  <si>
    <t>Sale of fixed assets</t>
  </si>
  <si>
    <t>Capex</t>
  </si>
  <si>
    <t>Purchase of intangible assets</t>
  </si>
  <si>
    <t>Received interest</t>
  </si>
  <si>
    <t>Buybacks</t>
  </si>
  <si>
    <t>Sales of own shares</t>
  </si>
  <si>
    <t>Payments interest on lease lia</t>
  </si>
  <si>
    <t>Payments on lease liabilities</t>
  </si>
  <si>
    <t>Purchase from non-controlling interests</t>
  </si>
  <si>
    <t>Interest payments</t>
  </si>
  <si>
    <t>Dividend payments</t>
  </si>
  <si>
    <t>CIC</t>
  </si>
  <si>
    <t>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</si>
</sst>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4" fillId="0" borderId="1" xfId="0" applyFont="1" applyBorder="1"/>
    <xf numFmtId="3" fontId="4" fillId="0" borderId="0" xfId="0" applyNumberFormat="1" applyFont="1"/>
    <xf numFmtId="3" fontId="4" fillId="0" borderId="1" xfId="0" applyNumberFormat="1" applyFont="1" applyBorder="1"/>
    <xf numFmtId="3" fontId="1" fillId="0" borderId="0" xfId="0" applyNumberFormat="1" applyFont="1"/>
    <xf numFmtId="3" fontId="1" fillId="0" borderId="1" xfId="0" applyNumberFormat="1" applyFont="1" applyBorder="1"/>
    <xf numFmtId="4" fontId="1" fillId="0" borderId="1" xfId="0" applyNumberFormat="1" applyFont="1" applyBorder="1"/>
    <xf numFmtId="4" fontId="1" fillId="0" borderId="0" xfId="0" applyNumberFormat="1" applyFont="1"/>
    <xf numFmtId="10" fontId="4" fillId="0" borderId="1" xfId="0" applyNumberFormat="1" applyFont="1" applyBorder="1"/>
    <xf numFmtId="10" fontId="4" fillId="0" borderId="0" xfId="0" applyNumberFormat="1" applyFont="1"/>
    <xf numFmtId="3" fontId="2" fillId="0" borderId="1" xfId="0" applyNumberFormat="1" applyFont="1" applyBorder="1"/>
    <xf numFmtId="3" fontId="3" fillId="0" borderId="1" xfId="0" applyNumberFormat="1" applyFont="1" applyBorder="1"/>
    <xf numFmtId="3" fontId="3" fillId="0" borderId="0" xfId="0" applyNumberFormat="1" applyFont="1"/>
    <xf numFmtId="10" fontId="1" fillId="0" borderId="0" xfId="0" applyNumberFormat="1" applyFont="1"/>
    <xf numFmtId="10" fontId="1" fillId="0" borderId="1" xfId="0" applyNumberFormat="1" applyFont="1" applyBorder="1"/>
    <xf numFmtId="0" fontId="1" fillId="0" borderId="0" xfId="0" applyFont="1" applyAlignment="1">
      <alignment horizontal="right"/>
    </xf>
    <xf numFmtId="9" fontId="1" fillId="0" borderId="0" xfId="0" applyNumberFormat="1" applyFont="1"/>
    <xf numFmtId="0" fontId="1" fillId="0" borderId="3" xfId="0" applyFont="1" applyBorder="1"/>
    <xf numFmtId="3" fontId="1" fillId="0" borderId="3" xfId="0" applyNumberFormat="1" applyFont="1" applyBorder="1"/>
    <xf numFmtId="164" fontId="1" fillId="0" borderId="0" xfId="0" applyNumberFormat="1" applyFont="1"/>
    <xf numFmtId="165" fontId="4" fillId="0" borderId="0" xfId="0" applyNumberFormat="1" applyFont="1"/>
    <xf numFmtId="9" fontId="4" fillId="0" borderId="0" xfId="0" applyNumberFormat="1" applyFont="1"/>
    <xf numFmtId="164" fontId="1" fillId="0" borderId="1" xfId="0" applyNumberFormat="1" applyFont="1" applyBorder="1"/>
    <xf numFmtId="0" fontId="5" fillId="0" borderId="2" xfId="0" applyFont="1" applyBorder="1"/>
    <xf numFmtId="165" fontId="6" fillId="0" borderId="2" xfId="0" applyNumberFormat="1" applyFont="1" applyBorder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647700</xdr:colOff>
      <xdr:row>1</xdr:row>
      <xdr:rowOff>0</xdr:rowOff>
    </xdr:from>
    <xdr:to>
      <xdr:col>14</xdr:col>
      <xdr:colOff>422564</xdr:colOff>
      <xdr:row>11</xdr:row>
      <xdr:rowOff>190500</xdr:rowOff>
    </xdr:to>
    <xdr:pic>
      <xdr:nvPicPr>
        <xdr:cNvPr id="2" name="Bilde 1">
          <a:extLst>
            <a:ext uri="{FF2B5EF4-FFF2-40B4-BE49-F238E27FC236}">
              <a16:creationId xmlns:a16="http://schemas.microsoft.com/office/drawing/2014/main" id="{7FDDB29A-3DFC-25C3-8D85-464A03EB8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02700" y="241300"/>
          <a:ext cx="3076864" cy="26035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14</xdr:row>
      <xdr:rowOff>53288</xdr:rowOff>
    </xdr:from>
    <xdr:to>
      <xdr:col>17</xdr:col>
      <xdr:colOff>266368</xdr:colOff>
      <xdr:row>28</xdr:row>
      <xdr:rowOff>190500</xdr:rowOff>
    </xdr:to>
    <xdr:pic>
      <xdr:nvPicPr>
        <xdr:cNvPr id="3" name="Bilde 2">
          <a:extLst>
            <a:ext uri="{FF2B5EF4-FFF2-40B4-BE49-F238E27FC236}">
              <a16:creationId xmlns:a16="http://schemas.microsoft.com/office/drawing/2014/main" id="{96328B3A-EB1D-A704-9B52-84F7ED9F9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09000" y="3431488"/>
          <a:ext cx="5790868" cy="35154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DF46-F1A5-0C49-85C0-D1B5F4B7D670}">
  <dimension ref="A1:L30"/>
  <sheetViews>
    <sheetView showGridLines="0" workbookViewId="0">
      <selection activeCell="K31" sqref="K31"/>
    </sheetView>
  </sheetViews>
  <sheetFormatPr baseColWidth="10" defaultRowHeight="19" x14ac:dyDescent="0.25"/>
  <cols>
    <col min="1" max="16384" width="10.83203125" style="1"/>
  </cols>
  <sheetData>
    <row r="1" spans="12:12" x14ac:dyDescent="0.25">
      <c r="L1" s="4" t="s">
        <v>102</v>
      </c>
    </row>
    <row r="13" spans="12:12" x14ac:dyDescent="0.25">
      <c r="L13" s="1" t="s">
        <v>103</v>
      </c>
    </row>
    <row r="14" spans="12:12" x14ac:dyDescent="0.25">
      <c r="L14" s="1" t="s">
        <v>104</v>
      </c>
    </row>
    <row r="22" spans="1:11" x14ac:dyDescent="0.25">
      <c r="A22" s="4" t="s">
        <v>101</v>
      </c>
    </row>
    <row r="30" spans="1:11" x14ac:dyDescent="0.25">
      <c r="K30" s="1" t="s">
        <v>105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4B4B7-919E-FB44-9BF2-96D39848EF35}">
  <dimension ref="A3:EH89"/>
  <sheetViews>
    <sheetView showGridLines="0" tabSelected="1" workbookViewId="0">
      <pane xSplit="3" ySplit="3" topLeftCell="Y4" activePane="bottomRight" state="frozen"/>
      <selection pane="topRight" activeCell="D1" sqref="D1"/>
      <selection pane="bottomLeft" activeCell="A4" sqref="A4"/>
      <selection pane="bottomRight" activeCell="D85" sqref="D85"/>
    </sheetView>
  </sheetViews>
  <sheetFormatPr baseColWidth="10" defaultRowHeight="19" x14ac:dyDescent="0.25"/>
  <cols>
    <col min="1" max="1" width="16.33203125" style="1" bestFit="1" customWidth="1"/>
    <col min="2" max="2" width="10.83203125" style="5"/>
    <col min="3" max="3" width="38.1640625" style="1" customWidth="1"/>
    <col min="4" max="15" width="10.83203125" style="1"/>
    <col min="16" max="16" width="10.83203125" style="5"/>
    <col min="17" max="24" width="10.83203125" style="1"/>
    <col min="25" max="25" width="10.83203125" style="5"/>
    <col min="26" max="29" width="10.83203125" style="1"/>
    <col min="30" max="34" width="11.5" style="1" bestFit="1" customWidth="1"/>
    <col min="35" max="35" width="12.1640625" style="1" bestFit="1" customWidth="1"/>
    <col min="36" max="36" width="11.5" style="1" bestFit="1" customWidth="1"/>
    <col min="37" max="37" width="14.1640625" style="1" bestFit="1" customWidth="1"/>
    <col min="38" max="38" width="13.83203125" style="1" customWidth="1"/>
    <col min="39" max="50" width="12.1640625" style="1" bestFit="1" customWidth="1"/>
    <col min="51" max="52" width="10.83203125" style="1"/>
    <col min="53" max="53" width="12.6640625" style="1" bestFit="1" customWidth="1"/>
    <col min="54" max="16384" width="10.83203125" style="1"/>
  </cols>
  <sheetData>
    <row r="3" spans="1:138" x14ac:dyDescent="0.25">
      <c r="A3" s="3" t="s">
        <v>0</v>
      </c>
      <c r="C3" s="1" t="s">
        <v>92</v>
      </c>
      <c r="D3" s="23" t="s">
        <v>7</v>
      </c>
      <c r="E3" s="23" t="s">
        <v>8</v>
      </c>
      <c r="F3" s="23" t="s">
        <v>9</v>
      </c>
      <c r="G3" s="23" t="s">
        <v>10</v>
      </c>
      <c r="H3" s="23" t="s">
        <v>11</v>
      </c>
      <c r="I3" s="23" t="s">
        <v>12</v>
      </c>
      <c r="J3" s="23" t="s">
        <v>13</v>
      </c>
      <c r="K3" s="23" t="s">
        <v>14</v>
      </c>
      <c r="L3" s="23" t="s">
        <v>15</v>
      </c>
      <c r="M3" s="23" t="s">
        <v>16</v>
      </c>
      <c r="N3" s="23" t="s">
        <v>17</v>
      </c>
      <c r="O3" s="23" t="s">
        <v>18</v>
      </c>
      <c r="P3" s="6" t="s">
        <v>94</v>
      </c>
      <c r="Q3" s="23" t="s">
        <v>95</v>
      </c>
      <c r="R3" s="23" t="s">
        <v>96</v>
      </c>
      <c r="S3" s="23" t="s">
        <v>97</v>
      </c>
      <c r="V3" s="23" t="s">
        <v>19</v>
      </c>
      <c r="W3" s="23" t="s">
        <v>20</v>
      </c>
      <c r="X3" s="23" t="s">
        <v>21</v>
      </c>
      <c r="Y3" s="6" t="s">
        <v>22</v>
      </c>
      <c r="Z3" s="23" t="s">
        <v>23</v>
      </c>
      <c r="AA3" s="23" t="s">
        <v>24</v>
      </c>
      <c r="AB3" s="23" t="s">
        <v>25</v>
      </c>
      <c r="AC3" s="23" t="s">
        <v>26</v>
      </c>
      <c r="AD3" s="23" t="s">
        <v>27</v>
      </c>
      <c r="AE3" s="23" t="s">
        <v>28</v>
      </c>
      <c r="AF3" s="23" t="s">
        <v>29</v>
      </c>
      <c r="AG3" s="23" t="s">
        <v>30</v>
      </c>
      <c r="AH3" s="23" t="s">
        <v>31</v>
      </c>
      <c r="AI3" s="23" t="s">
        <v>32</v>
      </c>
    </row>
    <row r="4" spans="1:138" x14ac:dyDescent="0.25">
      <c r="A4" s="1" t="s">
        <v>1</v>
      </c>
      <c r="B4" s="6">
        <v>79.099999999999994</v>
      </c>
      <c r="C4" s="4" t="s">
        <v>44</v>
      </c>
      <c r="D4" s="10">
        <v>816.50800000000004</v>
      </c>
      <c r="E4" s="10">
        <v>734.90300000000002</v>
      </c>
      <c r="F4" s="10">
        <v>699.4</v>
      </c>
      <c r="G4" s="10">
        <v>851.68299999999999</v>
      </c>
      <c r="H4" s="10">
        <v>945.1</v>
      </c>
      <c r="I4" s="10">
        <v>833.04899999999998</v>
      </c>
      <c r="J4" s="10">
        <v>777.94</v>
      </c>
      <c r="K4" s="10">
        <v>969.67200000000003</v>
      </c>
      <c r="L4" s="10">
        <v>1015.699</v>
      </c>
      <c r="M4" s="10">
        <v>1001.222</v>
      </c>
      <c r="N4" s="10">
        <v>878.52200000000005</v>
      </c>
      <c r="O4" s="10">
        <v>1025.9559999999999</v>
      </c>
      <c r="P4" s="11">
        <v>1074.7</v>
      </c>
      <c r="Q4" s="4"/>
      <c r="R4" s="4"/>
      <c r="S4" s="4"/>
      <c r="T4" s="4"/>
      <c r="U4" s="4"/>
      <c r="V4" s="10">
        <f t="shared" ref="V4:V9" si="0">SUM(D4:G4)</f>
        <v>3102.4940000000001</v>
      </c>
      <c r="W4" s="10">
        <f t="shared" ref="W4:W9" si="1">SUM(H4:K4)</f>
        <v>3525.761</v>
      </c>
      <c r="X4" s="10">
        <f>SUM(L4:O4)</f>
        <v>3921.3989999999994</v>
      </c>
      <c r="Y4" s="11">
        <f>X4*1.075</f>
        <v>4215.5039249999991</v>
      </c>
      <c r="Z4" s="10">
        <f>Y4*1.09</f>
        <v>4594.899278249999</v>
      </c>
      <c r="AA4" s="10">
        <f t="shared" ref="AA4:AI4" si="2">Z4*1.09</f>
        <v>5008.4402132924997</v>
      </c>
      <c r="AB4" s="10">
        <f t="shared" si="2"/>
        <v>5459.1998324888255</v>
      </c>
      <c r="AC4" s="10">
        <f t="shared" si="2"/>
        <v>5950.5278174128198</v>
      </c>
      <c r="AD4" s="10">
        <f t="shared" si="2"/>
        <v>6486.0753209799741</v>
      </c>
      <c r="AE4" s="10">
        <f t="shared" si="2"/>
        <v>7069.8220998681727</v>
      </c>
      <c r="AF4" s="10">
        <f t="shared" si="2"/>
        <v>7706.1060888563088</v>
      </c>
      <c r="AG4" s="10">
        <f t="shared" si="2"/>
        <v>8399.6556368533766</v>
      </c>
      <c r="AH4" s="10">
        <f t="shared" si="2"/>
        <v>9155.6246441701805</v>
      </c>
      <c r="AI4" s="10">
        <f t="shared" si="2"/>
        <v>9979.6308621454973</v>
      </c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</row>
    <row r="5" spans="1:138" x14ac:dyDescent="0.25">
      <c r="A5" s="1" t="s">
        <v>2</v>
      </c>
      <c r="B5" s="7">
        <v>103.80063699999999</v>
      </c>
      <c r="C5" s="1" t="s">
        <v>34</v>
      </c>
      <c r="D5" s="12">
        <v>-90.822000000000003</v>
      </c>
      <c r="E5" s="12">
        <v>-85.102999999999994</v>
      </c>
      <c r="F5" s="12">
        <v>-78.691999999999993</v>
      </c>
      <c r="G5" s="12">
        <v>-87.572000000000003</v>
      </c>
      <c r="H5" s="12">
        <v>-98.42</v>
      </c>
      <c r="I5" s="12">
        <v>-86.778000000000006</v>
      </c>
      <c r="J5" s="12">
        <v>-69.912000000000006</v>
      </c>
      <c r="K5" s="12">
        <v>-92.35</v>
      </c>
      <c r="L5" s="12">
        <v>-88.132999999999996</v>
      </c>
      <c r="M5" s="12">
        <v>-83.355000000000004</v>
      </c>
      <c r="N5" s="12">
        <v>-71.066000000000003</v>
      </c>
      <c r="O5" s="12">
        <v>-82.400999999999996</v>
      </c>
      <c r="P5" s="13">
        <v>-87.337999999999994</v>
      </c>
      <c r="V5" s="12">
        <f t="shared" si="0"/>
        <v>-342.18900000000002</v>
      </c>
      <c r="W5" s="12">
        <f t="shared" si="1"/>
        <v>-347.46000000000004</v>
      </c>
      <c r="X5" s="12">
        <f t="shared" ref="X5:X9" si="3">SUM(L5:O5)</f>
        <v>-324.95499999999998</v>
      </c>
      <c r="Y5" s="13">
        <f>-350</f>
        <v>-350</v>
      </c>
      <c r="Z5" s="12">
        <f t="shared" ref="Z5:AI5" si="4">-350</f>
        <v>-350</v>
      </c>
      <c r="AA5" s="12">
        <f t="shared" si="4"/>
        <v>-350</v>
      </c>
      <c r="AB5" s="12">
        <f t="shared" si="4"/>
        <v>-350</v>
      </c>
      <c r="AC5" s="12">
        <f t="shared" si="4"/>
        <v>-350</v>
      </c>
      <c r="AD5" s="12">
        <f t="shared" si="4"/>
        <v>-350</v>
      </c>
      <c r="AE5" s="12">
        <f t="shared" si="4"/>
        <v>-350</v>
      </c>
      <c r="AF5" s="12">
        <f t="shared" si="4"/>
        <v>-350</v>
      </c>
      <c r="AG5" s="12">
        <f t="shared" si="4"/>
        <v>-350</v>
      </c>
      <c r="AH5" s="12">
        <f t="shared" si="4"/>
        <v>-350</v>
      </c>
      <c r="AI5" s="12">
        <f t="shared" si="4"/>
        <v>-350</v>
      </c>
    </row>
    <row r="6" spans="1:138" x14ac:dyDescent="0.25">
      <c r="A6" s="1" t="s">
        <v>3</v>
      </c>
      <c r="B6" s="7">
        <f>B4*B5</f>
        <v>8210.6303866999988</v>
      </c>
      <c r="C6" s="1" t="s">
        <v>35</v>
      </c>
      <c r="D6" s="12">
        <v>-539.79100000000005</v>
      </c>
      <c r="E6" s="12">
        <v>-481.63299999999998</v>
      </c>
      <c r="F6" s="12">
        <v>-450.70699999999999</v>
      </c>
      <c r="G6" s="12">
        <v>-548.803</v>
      </c>
      <c r="H6" s="12">
        <v>-624.88599999999997</v>
      </c>
      <c r="I6" s="12">
        <v>-550.15899999999999</v>
      </c>
      <c r="J6" s="12">
        <v>-524.78200000000004</v>
      </c>
      <c r="K6" s="12">
        <v>-661.07899999999995</v>
      </c>
      <c r="L6" s="12">
        <v>-696.49400000000003</v>
      </c>
      <c r="M6" s="12">
        <v>-680.23199999999997</v>
      </c>
      <c r="N6" s="12">
        <v>-580.98199999999997</v>
      </c>
      <c r="O6" s="12">
        <v>-713.40700000000004</v>
      </c>
      <c r="P6" s="13">
        <v>-740.625</v>
      </c>
      <c r="V6" s="12">
        <f t="shared" si="0"/>
        <v>-2020.9339999999997</v>
      </c>
      <c r="W6" s="12">
        <f t="shared" si="1"/>
        <v>-2360.9059999999999</v>
      </c>
      <c r="X6" s="12">
        <f t="shared" si="3"/>
        <v>-2671.1150000000002</v>
      </c>
      <c r="Y6" s="13">
        <f>X6*1.06</f>
        <v>-2831.3819000000003</v>
      </c>
      <c r="Z6" s="12">
        <f>Y6*1.09</f>
        <v>-3086.2062710000005</v>
      </c>
      <c r="AA6" s="12">
        <f t="shared" ref="AA6" si="5">Z6*1.09</f>
        <v>-3363.9648353900006</v>
      </c>
      <c r="AB6" s="12">
        <f>AA6*1.095</f>
        <v>-3683.5414947520508</v>
      </c>
      <c r="AC6" s="12">
        <f t="shared" ref="AC6:AI6" si="6">AB6*1.095</f>
        <v>-4033.4779367534957</v>
      </c>
      <c r="AD6" s="12">
        <f t="shared" si="6"/>
        <v>-4416.658340745078</v>
      </c>
      <c r="AE6" s="12">
        <f t="shared" si="6"/>
        <v>-4836.24088311586</v>
      </c>
      <c r="AF6" s="12">
        <f t="shared" si="6"/>
        <v>-5295.6837670118666</v>
      </c>
      <c r="AG6" s="12">
        <f t="shared" si="6"/>
        <v>-5798.773724877994</v>
      </c>
      <c r="AH6" s="12">
        <f t="shared" si="6"/>
        <v>-6349.6572287414037</v>
      </c>
      <c r="AI6" s="12">
        <f t="shared" si="6"/>
        <v>-6952.874665471837</v>
      </c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</row>
    <row r="7" spans="1:138" x14ac:dyDescent="0.25">
      <c r="A7" s="1" t="s">
        <v>4</v>
      </c>
      <c r="B7" s="7">
        <v>741</v>
      </c>
      <c r="C7" s="1" t="s">
        <v>36</v>
      </c>
      <c r="D7" s="12">
        <v>-16.963999999999999</v>
      </c>
      <c r="E7" s="12">
        <v>-17.821000000000002</v>
      </c>
      <c r="F7" s="12">
        <v>-17.998999999999999</v>
      </c>
      <c r="G7" s="12">
        <v>-18.172000000000001</v>
      </c>
      <c r="H7" s="12">
        <v>-19.452999999999999</v>
      </c>
      <c r="I7" s="12">
        <v>-19.507999999999999</v>
      </c>
      <c r="J7" s="12">
        <v>-19.795000000000002</v>
      </c>
      <c r="K7" s="12">
        <v>-20.422000000000001</v>
      </c>
      <c r="L7" s="12">
        <v>-23.21</v>
      </c>
      <c r="M7" s="12">
        <v>-23.617000000000001</v>
      </c>
      <c r="N7" s="12">
        <v>-23.47</v>
      </c>
      <c r="O7" s="12">
        <v>-22.297000000000001</v>
      </c>
      <c r="P7" s="13">
        <v>-22.225000000000001</v>
      </c>
      <c r="V7" s="12">
        <f t="shared" si="0"/>
        <v>-70.955999999999989</v>
      </c>
      <c r="W7" s="12">
        <f t="shared" si="1"/>
        <v>-79.177999999999997</v>
      </c>
      <c r="X7" s="12">
        <f t="shared" si="3"/>
        <v>-92.593999999999994</v>
      </c>
      <c r="Y7" s="13">
        <f>X7*1.02</f>
        <v>-94.445880000000002</v>
      </c>
      <c r="Z7" s="12">
        <f t="shared" ref="Z7:AI7" si="7">Y7*1.02</f>
        <v>-96.334797600000002</v>
      </c>
      <c r="AA7" s="12">
        <f t="shared" si="7"/>
        <v>-98.261493552000005</v>
      </c>
      <c r="AB7" s="12">
        <f t="shared" si="7"/>
        <v>-100.22672342304001</v>
      </c>
      <c r="AC7" s="12">
        <f t="shared" si="7"/>
        <v>-102.23125789150082</v>
      </c>
      <c r="AD7" s="12">
        <f t="shared" si="7"/>
        <v>-104.27588304933083</v>
      </c>
      <c r="AE7" s="12">
        <f t="shared" si="7"/>
        <v>-106.36140071031745</v>
      </c>
      <c r="AF7" s="12">
        <f t="shared" si="7"/>
        <v>-108.48862872452381</v>
      </c>
      <c r="AG7" s="12">
        <f t="shared" si="7"/>
        <v>-110.65840129901429</v>
      </c>
      <c r="AH7" s="12">
        <f t="shared" si="7"/>
        <v>-112.87156932499457</v>
      </c>
      <c r="AI7" s="12">
        <f t="shared" si="7"/>
        <v>-115.12900071149446</v>
      </c>
    </row>
    <row r="8" spans="1:138" x14ac:dyDescent="0.25">
      <c r="A8" s="1" t="s">
        <v>5</v>
      </c>
      <c r="B8" s="7">
        <v>0</v>
      </c>
      <c r="C8" s="1" t="s">
        <v>37</v>
      </c>
      <c r="D8" s="12">
        <v>-1.986</v>
      </c>
      <c r="E8" s="12">
        <v>-1.9850000000000001</v>
      </c>
      <c r="F8" s="12">
        <v>-1.976</v>
      </c>
      <c r="G8" s="12">
        <v>-2.1429999999999998</v>
      </c>
      <c r="H8" s="12">
        <v>-1.919</v>
      </c>
      <c r="I8" s="12">
        <v>-3.3359999999999999</v>
      </c>
      <c r="J8" s="12">
        <v>-5.6660000000000004</v>
      </c>
      <c r="K8" s="12">
        <v>-6.819</v>
      </c>
      <c r="L8" s="12">
        <v>-7.0549999999999997</v>
      </c>
      <c r="M8" s="12">
        <v>-5.9139999999999997</v>
      </c>
      <c r="N8" s="12">
        <v>-5.9619999999999997</v>
      </c>
      <c r="O8" s="12">
        <v>-8.0489999999999995</v>
      </c>
      <c r="P8" s="13">
        <v>-2.194</v>
      </c>
      <c r="V8" s="12">
        <f t="shared" si="0"/>
        <v>-8.09</v>
      </c>
      <c r="W8" s="12">
        <f t="shared" si="1"/>
        <v>-17.739999999999998</v>
      </c>
      <c r="X8" s="12">
        <f t="shared" si="3"/>
        <v>-26.979999999999997</v>
      </c>
      <c r="Y8" s="13">
        <f>X8*1.1</f>
        <v>-29.677999999999997</v>
      </c>
      <c r="Z8" s="12">
        <f t="shared" ref="Z8:AI9" si="8">Y8*1.1</f>
        <v>-32.645800000000001</v>
      </c>
      <c r="AA8" s="12">
        <f t="shared" si="8"/>
        <v>-35.910380000000004</v>
      </c>
      <c r="AB8" s="12">
        <f t="shared" si="8"/>
        <v>-39.501418000000008</v>
      </c>
      <c r="AC8" s="12">
        <f t="shared" si="8"/>
        <v>-43.451559800000013</v>
      </c>
      <c r="AD8" s="12">
        <f t="shared" si="8"/>
        <v>-47.796715780000021</v>
      </c>
      <c r="AE8" s="12">
        <f t="shared" si="8"/>
        <v>-52.576387358000026</v>
      </c>
      <c r="AF8" s="12">
        <f t="shared" si="8"/>
        <v>-57.834026093800034</v>
      </c>
      <c r="AG8" s="12">
        <f t="shared" si="8"/>
        <v>-63.617428703180046</v>
      </c>
      <c r="AH8" s="12">
        <f t="shared" si="8"/>
        <v>-69.97917157349805</v>
      </c>
      <c r="AI8" s="12">
        <f t="shared" si="8"/>
        <v>-76.977088730847868</v>
      </c>
    </row>
    <row r="9" spans="1:138" x14ac:dyDescent="0.25">
      <c r="A9" s="3" t="s">
        <v>6</v>
      </c>
      <c r="B9" s="8">
        <f>B6-B7+B8</f>
        <v>7469.6303866999988</v>
      </c>
      <c r="C9" s="1" t="s">
        <v>38</v>
      </c>
      <c r="D9" s="12">
        <v>-44.164999999999999</v>
      </c>
      <c r="E9" s="12">
        <v>-59.156999999999996</v>
      </c>
      <c r="F9" s="12">
        <v>-76.63</v>
      </c>
      <c r="G9" s="12">
        <v>-78.680999999999997</v>
      </c>
      <c r="H9" s="12">
        <v>-68.786000000000001</v>
      </c>
      <c r="I9" s="12">
        <v>-84.241</v>
      </c>
      <c r="J9" s="12">
        <v>-77.772999999999996</v>
      </c>
      <c r="K9" s="12">
        <v>-82.685000000000002</v>
      </c>
      <c r="L9" s="12">
        <v>-65.841999999999999</v>
      </c>
      <c r="M9" s="12">
        <v>-72.554000000000002</v>
      </c>
      <c r="N9" s="12">
        <v>-96.091999999999999</v>
      </c>
      <c r="O9" s="12">
        <v>-80.049000000000007</v>
      </c>
      <c r="P9" s="13">
        <v>-67.111000000000004</v>
      </c>
      <c r="V9" s="12">
        <f t="shared" si="0"/>
        <v>-258.63299999999998</v>
      </c>
      <c r="W9" s="12">
        <f t="shared" si="1"/>
        <v>-313.48500000000001</v>
      </c>
      <c r="X9" s="12">
        <f t="shared" si="3"/>
        <v>-314.53700000000003</v>
      </c>
      <c r="Y9" s="13">
        <f>X9*1.1</f>
        <v>-345.99070000000006</v>
      </c>
      <c r="Z9" s="12">
        <f t="shared" si="8"/>
        <v>-380.5897700000001</v>
      </c>
      <c r="AA9" s="12">
        <f t="shared" si="8"/>
        <v>-418.64874700000013</v>
      </c>
      <c r="AB9" s="12">
        <f t="shared" si="8"/>
        <v>-460.51362170000016</v>
      </c>
      <c r="AC9" s="12">
        <f t="shared" si="8"/>
        <v>-506.56498387000022</v>
      </c>
      <c r="AD9" s="12">
        <f t="shared" si="8"/>
        <v>-557.22148225700028</v>
      </c>
      <c r="AE9" s="12">
        <f t="shared" si="8"/>
        <v>-612.94363048270031</v>
      </c>
      <c r="AF9" s="12">
        <f t="shared" si="8"/>
        <v>-674.23799353097036</v>
      </c>
      <c r="AG9" s="12">
        <f t="shared" si="8"/>
        <v>-741.66179288406749</v>
      </c>
      <c r="AH9" s="12">
        <f t="shared" si="8"/>
        <v>-815.82797217247435</v>
      </c>
      <c r="AI9" s="12">
        <f t="shared" si="8"/>
        <v>-897.41076938972185</v>
      </c>
    </row>
    <row r="10" spans="1:138" x14ac:dyDescent="0.25">
      <c r="B10" s="6"/>
      <c r="C10" s="4" t="s">
        <v>39</v>
      </c>
      <c r="D10" s="10">
        <f t="shared" ref="D10:P10" si="9">SUM(D4:D9)</f>
        <v>122.78</v>
      </c>
      <c r="E10" s="10">
        <f t="shared" si="9"/>
        <v>89.204000000000079</v>
      </c>
      <c r="F10" s="10">
        <f t="shared" si="9"/>
        <v>73.395999999999987</v>
      </c>
      <c r="G10" s="10">
        <f t="shared" si="9"/>
        <v>116.312</v>
      </c>
      <c r="H10" s="10">
        <f t="shared" si="9"/>
        <v>131.63600000000008</v>
      </c>
      <c r="I10" s="10">
        <f t="shared" si="9"/>
        <v>89.026999999999944</v>
      </c>
      <c r="J10" s="10">
        <f t="shared" si="9"/>
        <v>80.011999999999972</v>
      </c>
      <c r="K10" s="10">
        <f t="shared" si="9"/>
        <v>106.31700000000006</v>
      </c>
      <c r="L10" s="10">
        <f t="shared" si="9"/>
        <v>134.96499999999986</v>
      </c>
      <c r="M10" s="10">
        <f t="shared" si="9"/>
        <v>135.55000000000001</v>
      </c>
      <c r="N10" s="10">
        <f t="shared" si="9"/>
        <v>100.95000000000006</v>
      </c>
      <c r="O10" s="10">
        <f t="shared" si="9"/>
        <v>119.7529999999999</v>
      </c>
      <c r="P10" s="11">
        <f t="shared" si="9"/>
        <v>155.20700000000011</v>
      </c>
      <c r="Q10" s="4"/>
      <c r="R10" s="4"/>
      <c r="S10" s="4"/>
      <c r="T10" s="4"/>
      <c r="U10" s="4"/>
      <c r="V10" s="10">
        <f>SUM(V4:V9)</f>
        <v>401.69200000000052</v>
      </c>
      <c r="W10" s="10">
        <f>SUM(W4:W9)</f>
        <v>406.99199999999996</v>
      </c>
      <c r="X10" s="10">
        <f>SUM(X4:X9)</f>
        <v>491.21799999999917</v>
      </c>
      <c r="Y10" s="11">
        <f t="shared" ref="Y10:AI10" si="10">SUM(Y4:Y9)</f>
        <v>564.00744499999871</v>
      </c>
      <c r="Z10" s="10">
        <f t="shared" si="10"/>
        <v>649.12263964999852</v>
      </c>
      <c r="AA10" s="10">
        <f t="shared" si="10"/>
        <v>741.65475735049881</v>
      </c>
      <c r="AB10" s="10">
        <f t="shared" si="10"/>
        <v>825.41657461373438</v>
      </c>
      <c r="AC10" s="10">
        <f t="shared" si="10"/>
        <v>914.80207909782314</v>
      </c>
      <c r="AD10" s="10">
        <f t="shared" si="10"/>
        <v>1010.1228991485649</v>
      </c>
      <c r="AE10" s="10">
        <f t="shared" si="10"/>
        <v>1111.6997982012949</v>
      </c>
      <c r="AF10" s="10">
        <f t="shared" si="10"/>
        <v>1219.8616734951479</v>
      </c>
      <c r="AG10" s="10">
        <f t="shared" si="10"/>
        <v>1334.944289089121</v>
      </c>
      <c r="AH10" s="10">
        <f t="shared" si="10"/>
        <v>1457.2887023578096</v>
      </c>
      <c r="AI10" s="10">
        <f t="shared" si="10"/>
        <v>1587.2393378415964</v>
      </c>
    </row>
    <row r="11" spans="1:138" x14ac:dyDescent="0.25">
      <c r="C11" s="1" t="s">
        <v>40</v>
      </c>
      <c r="D11" s="12">
        <v>-0.88900000000000001</v>
      </c>
      <c r="E11" s="12">
        <v>-0.45100000000000001</v>
      </c>
      <c r="F11" s="12">
        <v>-3.7999999999999999E-2</v>
      </c>
      <c r="G11" s="12">
        <v>0.67</v>
      </c>
      <c r="H11" s="12">
        <v>2.0779999999999998</v>
      </c>
      <c r="I11" s="12">
        <v>1.5049999999999999</v>
      </c>
      <c r="J11" s="12">
        <v>1.774</v>
      </c>
      <c r="K11" s="12">
        <v>6.069</v>
      </c>
      <c r="L11" s="12">
        <v>-9.0999999999999998E-2</v>
      </c>
      <c r="M11" s="12">
        <v>0.32400000000000001</v>
      </c>
      <c r="N11" s="12">
        <v>-0.22500000000000001</v>
      </c>
      <c r="O11" s="12">
        <v>0.81799999999999995</v>
      </c>
      <c r="P11" s="13">
        <v>1.7</v>
      </c>
      <c r="V11" s="12">
        <f>SUM(D11:G11)</f>
        <v>-0.70800000000000007</v>
      </c>
      <c r="W11" s="12">
        <f>SUM(H11:K11)</f>
        <v>11.425999999999998</v>
      </c>
      <c r="X11" s="12">
        <f>SUM(L11:O11)</f>
        <v>0.82599999999999996</v>
      </c>
      <c r="Y11" s="13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</row>
    <row r="12" spans="1:138" x14ac:dyDescent="0.25">
      <c r="C12" s="1" t="s">
        <v>41</v>
      </c>
      <c r="D12" s="12">
        <f t="shared" ref="D12:P12" si="11">SUM(D10:D11)</f>
        <v>121.89100000000001</v>
      </c>
      <c r="E12" s="12">
        <f t="shared" si="11"/>
        <v>88.753000000000085</v>
      </c>
      <c r="F12" s="12">
        <f t="shared" si="11"/>
        <v>73.35799999999999</v>
      </c>
      <c r="G12" s="12">
        <f t="shared" si="11"/>
        <v>116.982</v>
      </c>
      <c r="H12" s="12">
        <f t="shared" si="11"/>
        <v>133.71400000000008</v>
      </c>
      <c r="I12" s="12">
        <f t="shared" si="11"/>
        <v>90.53199999999994</v>
      </c>
      <c r="J12" s="12">
        <f t="shared" si="11"/>
        <v>81.785999999999973</v>
      </c>
      <c r="K12" s="12">
        <f t="shared" si="11"/>
        <v>112.38600000000007</v>
      </c>
      <c r="L12" s="12">
        <f t="shared" si="11"/>
        <v>134.87399999999985</v>
      </c>
      <c r="M12" s="12">
        <f t="shared" si="11"/>
        <v>135.87400000000002</v>
      </c>
      <c r="N12" s="12">
        <f t="shared" si="11"/>
        <v>100.72500000000007</v>
      </c>
      <c r="O12" s="12">
        <f t="shared" si="11"/>
        <v>120.5709999999999</v>
      </c>
      <c r="P12" s="13">
        <f t="shared" si="11"/>
        <v>156.9070000000001</v>
      </c>
      <c r="V12" s="12">
        <f>SUM(V10:V11)</f>
        <v>400.98400000000049</v>
      </c>
      <c r="W12" s="12">
        <f>SUM(W10:W11)</f>
        <v>418.41799999999995</v>
      </c>
      <c r="X12" s="12">
        <f>SUM(X10:X11)</f>
        <v>492.04399999999919</v>
      </c>
      <c r="Y12" s="13">
        <f>SUM(Y10:Y11)</f>
        <v>564.00744499999871</v>
      </c>
      <c r="Z12" s="12">
        <f t="shared" ref="Z12:AI12" si="12">SUM(Z10:Z11)</f>
        <v>649.12263964999852</v>
      </c>
      <c r="AA12" s="12">
        <f t="shared" si="12"/>
        <v>741.65475735049881</v>
      </c>
      <c r="AB12" s="12">
        <f t="shared" si="12"/>
        <v>825.41657461373438</v>
      </c>
      <c r="AC12" s="12">
        <f t="shared" si="12"/>
        <v>914.80207909782314</v>
      </c>
      <c r="AD12" s="12">
        <f t="shared" si="12"/>
        <v>1010.1228991485649</v>
      </c>
      <c r="AE12" s="12">
        <f t="shared" si="12"/>
        <v>1111.6997982012949</v>
      </c>
      <c r="AF12" s="12">
        <f t="shared" si="12"/>
        <v>1219.8616734951479</v>
      </c>
      <c r="AG12" s="12">
        <f t="shared" si="12"/>
        <v>1334.944289089121</v>
      </c>
      <c r="AH12" s="12">
        <f t="shared" si="12"/>
        <v>1457.2887023578096</v>
      </c>
      <c r="AI12" s="12">
        <f t="shared" si="12"/>
        <v>1587.2393378415964</v>
      </c>
    </row>
    <row r="13" spans="1:138" x14ac:dyDescent="0.25">
      <c r="C13" s="1" t="s">
        <v>42</v>
      </c>
      <c r="D13" s="12">
        <v>-26.390999999999998</v>
      </c>
      <c r="E13" s="12">
        <v>-18.974</v>
      </c>
      <c r="F13" s="12">
        <v>-16.606000000000002</v>
      </c>
      <c r="G13" s="12">
        <v>-22.698</v>
      </c>
      <c r="H13" s="12">
        <v>-29.024999999999999</v>
      </c>
      <c r="I13" s="12">
        <v>-21.141999999999999</v>
      </c>
      <c r="J13" s="12">
        <v>-18.89</v>
      </c>
      <c r="K13" s="12">
        <v>-24.068999999999999</v>
      </c>
      <c r="L13" s="12">
        <v>-29.722999999999999</v>
      </c>
      <c r="M13" s="12">
        <v>-31.89</v>
      </c>
      <c r="N13" s="12">
        <v>-22.83</v>
      </c>
      <c r="O13" s="12">
        <v>-23.302</v>
      </c>
      <c r="P13" s="13">
        <v>-36.024000000000001</v>
      </c>
      <c r="V13" s="12">
        <f>SUM(D13:G13)</f>
        <v>-84.668999999999997</v>
      </c>
      <c r="W13" s="12">
        <f>SUM(H13:K13)</f>
        <v>-93.126000000000005</v>
      </c>
      <c r="X13" s="12">
        <f>SUM(L13:O13)</f>
        <v>-107.745</v>
      </c>
      <c r="Y13" s="13">
        <f>Y12*-0.22</f>
        <v>-124.08163789999972</v>
      </c>
      <c r="Z13" s="12">
        <f t="shared" ref="Z13:AI13" si="13">Z12*-0.22</f>
        <v>-142.80698072299967</v>
      </c>
      <c r="AA13" s="12">
        <f t="shared" si="13"/>
        <v>-163.16404661710973</v>
      </c>
      <c r="AB13" s="12">
        <f t="shared" si="13"/>
        <v>-181.59164641502156</v>
      </c>
      <c r="AC13" s="12">
        <f t="shared" si="13"/>
        <v>-201.25645740152109</v>
      </c>
      <c r="AD13" s="12">
        <f t="shared" si="13"/>
        <v>-222.22703781268427</v>
      </c>
      <c r="AE13" s="12">
        <f t="shared" si="13"/>
        <v>-244.57395560428489</v>
      </c>
      <c r="AF13" s="12">
        <f t="shared" si="13"/>
        <v>-268.36956816893252</v>
      </c>
      <c r="AG13" s="12">
        <f t="shared" si="13"/>
        <v>-293.68774359960662</v>
      </c>
      <c r="AH13" s="12">
        <f t="shared" si="13"/>
        <v>-320.6035145187181</v>
      </c>
      <c r="AI13" s="12">
        <f t="shared" si="13"/>
        <v>-349.19265432515118</v>
      </c>
    </row>
    <row r="14" spans="1:138" s="4" customFormat="1" x14ac:dyDescent="0.25">
      <c r="B14" s="9"/>
      <c r="C14" s="4" t="s">
        <v>43</v>
      </c>
      <c r="D14" s="10">
        <f t="shared" ref="D14:P14" si="14">SUM(D12:D13)</f>
        <v>95.5</v>
      </c>
      <c r="E14" s="10">
        <f t="shared" si="14"/>
        <v>69.779000000000082</v>
      </c>
      <c r="F14" s="10">
        <f t="shared" si="14"/>
        <v>56.751999999999988</v>
      </c>
      <c r="G14" s="10">
        <f t="shared" si="14"/>
        <v>94.283999999999992</v>
      </c>
      <c r="H14" s="10">
        <f t="shared" si="14"/>
        <v>104.68900000000008</v>
      </c>
      <c r="I14" s="10">
        <f t="shared" si="14"/>
        <v>69.389999999999944</v>
      </c>
      <c r="J14" s="10">
        <f t="shared" si="14"/>
        <v>62.895999999999972</v>
      </c>
      <c r="K14" s="10">
        <f t="shared" si="14"/>
        <v>88.317000000000064</v>
      </c>
      <c r="L14" s="10">
        <f t="shared" si="14"/>
        <v>105.15099999999985</v>
      </c>
      <c r="M14" s="10">
        <f t="shared" si="14"/>
        <v>103.98400000000002</v>
      </c>
      <c r="N14" s="10">
        <f t="shared" si="14"/>
        <v>77.895000000000067</v>
      </c>
      <c r="O14" s="10">
        <f t="shared" si="14"/>
        <v>97.268999999999892</v>
      </c>
      <c r="P14" s="11">
        <f t="shared" si="14"/>
        <v>120.8830000000001</v>
      </c>
      <c r="V14" s="10">
        <f>SUM(V12:V13)</f>
        <v>316.31500000000051</v>
      </c>
      <c r="W14" s="10">
        <f>SUM(W12:W13)</f>
        <v>325.29199999999992</v>
      </c>
      <c r="X14" s="10">
        <f>SUM(X12:X13)</f>
        <v>384.29899999999918</v>
      </c>
      <c r="Y14" s="11">
        <f t="shared" ref="Y14:AI14" si="15">SUM(Y12:Y13)</f>
        <v>439.92580709999902</v>
      </c>
      <c r="Z14" s="10">
        <f t="shared" si="15"/>
        <v>506.31565892699882</v>
      </c>
      <c r="AA14" s="10">
        <f t="shared" si="15"/>
        <v>578.49071073338905</v>
      </c>
      <c r="AB14" s="10">
        <f t="shared" si="15"/>
        <v>643.82492819871277</v>
      </c>
      <c r="AC14" s="10">
        <f t="shared" si="15"/>
        <v>713.54562169630208</v>
      </c>
      <c r="AD14" s="10">
        <f t="shared" si="15"/>
        <v>787.89586133588068</v>
      </c>
      <c r="AE14" s="10">
        <f t="shared" si="15"/>
        <v>867.12584259700998</v>
      </c>
      <c r="AF14" s="10">
        <f t="shared" si="15"/>
        <v>951.49210532621532</v>
      </c>
      <c r="AG14" s="10">
        <f t="shared" si="15"/>
        <v>1041.2565454895143</v>
      </c>
      <c r="AH14" s="10">
        <f t="shared" si="15"/>
        <v>1136.6851878390914</v>
      </c>
      <c r="AI14" s="10">
        <f t="shared" si="15"/>
        <v>1238.0466835164452</v>
      </c>
      <c r="AJ14" s="10">
        <f>AI14*(1+$AL$18)</f>
        <v>1225.6662166812807</v>
      </c>
      <c r="AK14" s="10">
        <f t="shared" ref="AK14:CV14" si="16">AJ14*(1+$AL$18)</f>
        <v>1213.4095545144678</v>
      </c>
      <c r="AL14" s="10">
        <f>AK14*(1+$AL$18)</f>
        <v>1201.2754589693232</v>
      </c>
      <c r="AM14" s="10">
        <f t="shared" si="16"/>
        <v>1189.2627043796299</v>
      </c>
      <c r="AN14" s="10">
        <f t="shared" si="16"/>
        <v>1177.3700773358337</v>
      </c>
      <c r="AO14" s="10">
        <f t="shared" si="16"/>
        <v>1165.5963765624754</v>
      </c>
      <c r="AP14" s="10">
        <f t="shared" si="16"/>
        <v>1153.9404127968505</v>
      </c>
      <c r="AQ14" s="10">
        <f t="shared" si="16"/>
        <v>1142.401008668882</v>
      </c>
      <c r="AR14" s="10">
        <f t="shared" si="16"/>
        <v>1130.9769985821931</v>
      </c>
      <c r="AS14" s="10">
        <f t="shared" si="16"/>
        <v>1119.6672285963712</v>
      </c>
      <c r="AT14" s="10">
        <f t="shared" si="16"/>
        <v>1108.4705563104073</v>
      </c>
      <c r="AU14" s="10">
        <f t="shared" si="16"/>
        <v>1097.3858507473033</v>
      </c>
      <c r="AV14" s="10">
        <f t="shared" si="16"/>
        <v>1086.4119922398302</v>
      </c>
      <c r="AW14" s="10">
        <f t="shared" si="16"/>
        <v>1075.5478723174319</v>
      </c>
      <c r="AX14" s="10">
        <f t="shared" si="16"/>
        <v>1064.7923935942576</v>
      </c>
      <c r="AY14" s="10">
        <f t="shared" si="16"/>
        <v>1054.1444696583151</v>
      </c>
      <c r="AZ14" s="10">
        <f t="shared" si="16"/>
        <v>1043.603024961732</v>
      </c>
      <c r="BA14" s="10">
        <f t="shared" si="16"/>
        <v>1033.1669947121147</v>
      </c>
      <c r="BB14" s="10">
        <f t="shared" si="16"/>
        <v>1022.8353247649935</v>
      </c>
      <c r="BC14" s="10">
        <f t="shared" si="16"/>
        <v>1012.6069715173436</v>
      </c>
      <c r="BD14" s="10">
        <f t="shared" si="16"/>
        <v>1002.4809018021701</v>
      </c>
      <c r="BE14" s="10">
        <f t="shared" si="16"/>
        <v>992.45609278414838</v>
      </c>
      <c r="BF14" s="10">
        <f t="shared" si="16"/>
        <v>982.53153185630686</v>
      </c>
      <c r="BG14" s="10">
        <f t="shared" si="16"/>
        <v>972.70621653774379</v>
      </c>
      <c r="BH14" s="10">
        <f t="shared" si="16"/>
        <v>962.97915437236634</v>
      </c>
      <c r="BI14" s="10">
        <f t="shared" si="16"/>
        <v>953.34936282864271</v>
      </c>
      <c r="BJ14" s="10">
        <f t="shared" si="16"/>
        <v>943.81586920035625</v>
      </c>
      <c r="BK14" s="10">
        <f t="shared" si="16"/>
        <v>934.37771050835272</v>
      </c>
      <c r="BL14" s="10">
        <f t="shared" si="16"/>
        <v>925.0339334032692</v>
      </c>
      <c r="BM14" s="10">
        <f t="shared" si="16"/>
        <v>915.78359406923653</v>
      </c>
      <c r="BN14" s="10">
        <f t="shared" si="16"/>
        <v>906.62575812854413</v>
      </c>
      <c r="BO14" s="10">
        <f t="shared" si="16"/>
        <v>897.55950054725872</v>
      </c>
      <c r="BP14" s="10">
        <f t="shared" si="16"/>
        <v>888.58390554178618</v>
      </c>
      <c r="BQ14" s="10">
        <f t="shared" si="16"/>
        <v>879.69806648636836</v>
      </c>
      <c r="BR14" s="10">
        <f t="shared" si="16"/>
        <v>870.90108582150469</v>
      </c>
      <c r="BS14" s="10">
        <f t="shared" si="16"/>
        <v>862.19207496328966</v>
      </c>
      <c r="BT14" s="10">
        <f t="shared" si="16"/>
        <v>853.57015421365679</v>
      </c>
      <c r="BU14" s="10">
        <f t="shared" si="16"/>
        <v>845.03445267152017</v>
      </c>
      <c r="BV14" s="10">
        <f t="shared" si="16"/>
        <v>836.58410814480499</v>
      </c>
      <c r="BW14" s="10">
        <f t="shared" si="16"/>
        <v>828.21826706335696</v>
      </c>
      <c r="BX14" s="10">
        <f t="shared" si="16"/>
        <v>819.93608439272339</v>
      </c>
      <c r="BY14" s="10">
        <f t="shared" si="16"/>
        <v>811.73672354879614</v>
      </c>
      <c r="BZ14" s="10">
        <f t="shared" si="16"/>
        <v>803.61935631330812</v>
      </c>
      <c r="CA14" s="10">
        <f t="shared" si="16"/>
        <v>795.58316275017501</v>
      </c>
      <c r="CB14" s="10">
        <f t="shared" si="16"/>
        <v>787.62733112267324</v>
      </c>
      <c r="CC14" s="10">
        <f t="shared" si="16"/>
        <v>779.75105781144646</v>
      </c>
      <c r="CD14" s="10">
        <f t="shared" si="16"/>
        <v>771.95354723333196</v>
      </c>
      <c r="CE14" s="10">
        <f t="shared" si="16"/>
        <v>764.23401176099867</v>
      </c>
      <c r="CF14" s="10">
        <f t="shared" si="16"/>
        <v>756.59167164338862</v>
      </c>
      <c r="CG14" s="10">
        <f t="shared" si="16"/>
        <v>749.02575492695473</v>
      </c>
      <c r="CH14" s="10">
        <f t="shared" si="16"/>
        <v>741.53549737768515</v>
      </c>
      <c r="CI14" s="10">
        <f t="shared" si="16"/>
        <v>734.12014240390829</v>
      </c>
      <c r="CJ14" s="10">
        <f t="shared" si="16"/>
        <v>726.77894097986916</v>
      </c>
      <c r="CK14" s="10">
        <f t="shared" si="16"/>
        <v>719.51115157007041</v>
      </c>
      <c r="CL14" s="10">
        <f t="shared" si="16"/>
        <v>712.31604005436975</v>
      </c>
      <c r="CM14" s="10">
        <f t="shared" si="16"/>
        <v>705.19287965382603</v>
      </c>
      <c r="CN14" s="10">
        <f t="shared" si="16"/>
        <v>698.14095085728775</v>
      </c>
      <c r="CO14" s="10">
        <f t="shared" si="16"/>
        <v>691.15954134871481</v>
      </c>
      <c r="CP14" s="10">
        <f t="shared" si="16"/>
        <v>684.24794593522768</v>
      </c>
      <c r="CQ14" s="10">
        <f t="shared" si="16"/>
        <v>677.40546647587541</v>
      </c>
      <c r="CR14" s="10">
        <f t="shared" si="16"/>
        <v>670.63141181111666</v>
      </c>
      <c r="CS14" s="10">
        <f t="shared" si="16"/>
        <v>663.92509769300545</v>
      </c>
      <c r="CT14" s="10">
        <f t="shared" si="16"/>
        <v>657.28584671607541</v>
      </c>
      <c r="CU14" s="10">
        <f t="shared" si="16"/>
        <v>650.7129882489146</v>
      </c>
      <c r="CV14" s="10">
        <f t="shared" si="16"/>
        <v>644.20585836642545</v>
      </c>
      <c r="CW14" s="10">
        <f t="shared" ref="CW14:EH14" si="17">CV14*(1+$AL$18)</f>
        <v>637.76379978276123</v>
      </c>
      <c r="CX14" s="10">
        <f t="shared" si="17"/>
        <v>631.38616178493362</v>
      </c>
      <c r="CY14" s="10">
        <f t="shared" si="17"/>
        <v>625.07230016708422</v>
      </c>
      <c r="CZ14" s="10">
        <f t="shared" si="17"/>
        <v>618.82157716541337</v>
      </c>
      <c r="DA14" s="10">
        <f t="shared" si="17"/>
        <v>612.63336139375929</v>
      </c>
      <c r="DB14" s="10">
        <f t="shared" si="17"/>
        <v>606.50702777982167</v>
      </c>
      <c r="DC14" s="10">
        <f t="shared" si="17"/>
        <v>600.44195750202346</v>
      </c>
      <c r="DD14" s="10">
        <f t="shared" si="17"/>
        <v>594.43753792700318</v>
      </c>
      <c r="DE14" s="10">
        <f t="shared" si="17"/>
        <v>588.49316254773316</v>
      </c>
      <c r="DF14" s="10">
        <f t="shared" si="17"/>
        <v>582.60823092225587</v>
      </c>
      <c r="DG14" s="10">
        <f t="shared" si="17"/>
        <v>576.78214861303331</v>
      </c>
      <c r="DH14" s="10">
        <f t="shared" si="17"/>
        <v>571.01432712690303</v>
      </c>
      <c r="DI14" s="10">
        <f t="shared" si="17"/>
        <v>565.30418385563394</v>
      </c>
      <c r="DJ14" s="10">
        <f t="shared" si="17"/>
        <v>559.65114201707763</v>
      </c>
      <c r="DK14" s="10">
        <f t="shared" si="17"/>
        <v>554.0546305969068</v>
      </c>
      <c r="DL14" s="10">
        <f t="shared" si="17"/>
        <v>548.51408429093772</v>
      </c>
      <c r="DM14" s="10">
        <f t="shared" si="17"/>
        <v>543.02894344802837</v>
      </c>
      <c r="DN14" s="10">
        <f t="shared" si="17"/>
        <v>537.59865401354807</v>
      </c>
      <c r="DO14" s="10">
        <f t="shared" si="17"/>
        <v>532.22266747341257</v>
      </c>
      <c r="DP14" s="10">
        <f t="shared" si="17"/>
        <v>526.90044079867846</v>
      </c>
      <c r="DQ14" s="10">
        <f t="shared" si="17"/>
        <v>521.63143639069165</v>
      </c>
      <c r="DR14" s="10">
        <f t="shared" si="17"/>
        <v>516.41512202678473</v>
      </c>
      <c r="DS14" s="10">
        <f t="shared" si="17"/>
        <v>511.25097080651688</v>
      </c>
      <c r="DT14" s="10">
        <f t="shared" si="17"/>
        <v>506.13846109845173</v>
      </c>
      <c r="DU14" s="10">
        <f t="shared" si="17"/>
        <v>501.0770764874672</v>
      </c>
      <c r="DV14" s="10">
        <f t="shared" si="17"/>
        <v>496.06630572259252</v>
      </c>
      <c r="DW14" s="10">
        <f t="shared" si="17"/>
        <v>491.10564266536659</v>
      </c>
      <c r="DX14" s="10">
        <f t="shared" si="17"/>
        <v>486.19458623871293</v>
      </c>
      <c r="DY14" s="10">
        <f t="shared" si="17"/>
        <v>481.3326403763258</v>
      </c>
      <c r="DZ14" s="10">
        <f t="shared" si="17"/>
        <v>476.51931397256254</v>
      </c>
      <c r="EA14" s="10">
        <f t="shared" si="17"/>
        <v>471.75412083283692</v>
      </c>
      <c r="EB14" s="10">
        <f t="shared" si="17"/>
        <v>467.03657962450853</v>
      </c>
      <c r="EC14" s="10">
        <f t="shared" si="17"/>
        <v>462.36621382826343</v>
      </c>
      <c r="ED14" s="10">
        <f t="shared" si="17"/>
        <v>457.74255168998081</v>
      </c>
      <c r="EE14" s="10">
        <f t="shared" si="17"/>
        <v>453.16512617308098</v>
      </c>
      <c r="EF14" s="10">
        <f t="shared" si="17"/>
        <v>448.63347491135016</v>
      </c>
      <c r="EG14" s="10">
        <f t="shared" si="17"/>
        <v>444.14714016223667</v>
      </c>
      <c r="EH14" s="10">
        <f t="shared" si="17"/>
        <v>439.70566876061429</v>
      </c>
    </row>
    <row r="15" spans="1:138" x14ac:dyDescent="0.25">
      <c r="C15" s="1" t="s">
        <v>93</v>
      </c>
      <c r="D15" s="27">
        <v>103.80063699999999</v>
      </c>
      <c r="E15" s="27">
        <v>103.80063699999999</v>
      </c>
      <c r="F15" s="27">
        <v>103.80063699999999</v>
      </c>
      <c r="G15" s="27">
        <v>103.80063699999999</v>
      </c>
      <c r="H15" s="27">
        <v>103.80063699999999</v>
      </c>
      <c r="I15" s="27">
        <v>103.80063699999999</v>
      </c>
      <c r="J15" s="27">
        <v>103.80063699999999</v>
      </c>
      <c r="K15" s="27">
        <v>103.80063699999999</v>
      </c>
      <c r="L15" s="27">
        <v>103.80063699999999</v>
      </c>
      <c r="M15" s="27">
        <v>103.80063699999999</v>
      </c>
      <c r="N15" s="27">
        <v>103.80063699999999</v>
      </c>
      <c r="O15" s="27">
        <v>103.80063699999999</v>
      </c>
      <c r="P15" s="30">
        <v>104.29419</v>
      </c>
      <c r="V15" s="27">
        <v>103.80063699999999</v>
      </c>
      <c r="W15" s="27">
        <v>103.80063699999999</v>
      </c>
      <c r="X15" s="27">
        <v>103.80063699999999</v>
      </c>
      <c r="Y15" s="30">
        <v>103.80063699999999</v>
      </c>
      <c r="Z15" s="27">
        <v>103.80063699999999</v>
      </c>
      <c r="AA15" s="27">
        <v>103.80063699999999</v>
      </c>
      <c r="AB15" s="27">
        <v>103.80063699999999</v>
      </c>
      <c r="AC15" s="27">
        <v>103.80063699999999</v>
      </c>
      <c r="AD15" s="27">
        <v>103.80063699999999</v>
      </c>
      <c r="AE15" s="27">
        <v>103.80063699999999</v>
      </c>
      <c r="AF15" s="27">
        <v>103.80063699999999</v>
      </c>
      <c r="AG15" s="27">
        <v>103.80063699999999</v>
      </c>
      <c r="AH15" s="27">
        <v>103.80063699999999</v>
      </c>
      <c r="AI15" s="27">
        <v>103.80063699999999</v>
      </c>
    </row>
    <row r="16" spans="1:138" x14ac:dyDescent="0.25">
      <c r="C16" s="1" t="s">
        <v>46</v>
      </c>
      <c r="D16" s="15">
        <f t="shared" ref="D16:O16" si="18">D14/D15</f>
        <v>0.9200328895862171</v>
      </c>
      <c r="E16" s="15">
        <f t="shared" si="18"/>
        <v>0.6722405759417458</v>
      </c>
      <c r="F16" s="15">
        <f t="shared" si="18"/>
        <v>0.54674038272038727</v>
      </c>
      <c r="G16" s="15">
        <f t="shared" si="18"/>
        <v>0.9083181252538941</v>
      </c>
      <c r="H16" s="15">
        <f t="shared" si="18"/>
        <v>1.0085583578836812</v>
      </c>
      <c r="I16" s="15">
        <f t="shared" si="18"/>
        <v>0.6684930074176707</v>
      </c>
      <c r="J16" s="15">
        <f t="shared" si="18"/>
        <v>0.60593077092580827</v>
      </c>
      <c r="K16" s="15">
        <f t="shared" si="18"/>
        <v>0.85083292889618845</v>
      </c>
      <c r="L16" s="15">
        <f t="shared" si="18"/>
        <v>1.0130091976217821</v>
      </c>
      <c r="M16" s="15">
        <f t="shared" si="18"/>
        <v>1.0017664920495626</v>
      </c>
      <c r="N16" s="15">
        <f t="shared" si="18"/>
        <v>0.75042892077820367</v>
      </c>
      <c r="O16" s="15">
        <f t="shared" si="18"/>
        <v>0.93707517421111686</v>
      </c>
      <c r="P16" s="14">
        <f t="shared" ref="P16" si="19">P14/P15</f>
        <v>1.1590578535582863</v>
      </c>
      <c r="Q16" s="15"/>
      <c r="R16" s="15"/>
      <c r="S16" s="15"/>
      <c r="V16" s="15">
        <f>V14/V15</f>
        <v>3.0473319735022484</v>
      </c>
      <c r="W16" s="15">
        <f>W14/W15</f>
        <v>3.1338150651233474</v>
      </c>
      <c r="X16" s="15">
        <f>X14/X15</f>
        <v>3.7022797846606585</v>
      </c>
      <c r="Y16" s="14">
        <f>Y14/Y15</f>
        <v>4.2381802252330978</v>
      </c>
      <c r="Z16" s="15">
        <f t="shared" ref="Z16:AI16" si="20">Z14/Z15</f>
        <v>4.8777702484330501</v>
      </c>
      <c r="AA16" s="15">
        <f t="shared" si="20"/>
        <v>5.5730940334536587</v>
      </c>
      <c r="AB16" s="15">
        <f t="shared" si="20"/>
        <v>6.2025142311863926</v>
      </c>
      <c r="AC16" s="15">
        <f t="shared" si="20"/>
        <v>6.8741930908988751</v>
      </c>
      <c r="AD16" s="15">
        <f t="shared" si="20"/>
        <v>7.5904723141138399</v>
      </c>
      <c r="AE16" s="15">
        <f t="shared" si="20"/>
        <v>8.3537622471142452</v>
      </c>
      <c r="AF16" s="15">
        <f t="shared" si="20"/>
        <v>9.1665343568769746</v>
      </c>
      <c r="AG16" s="15">
        <f t="shared" si="20"/>
        <v>10.031311710442726</v>
      </c>
      <c r="AH16" s="15">
        <f t="shared" si="20"/>
        <v>10.950657150968077</v>
      </c>
      <c r="AI16" s="15">
        <f t="shared" si="20"/>
        <v>11.927158823856209</v>
      </c>
    </row>
    <row r="17" spans="3:38" x14ac:dyDescent="0.25"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AK17" s="1" t="s">
        <v>86</v>
      </c>
      <c r="AL17" s="24">
        <v>0.09</v>
      </c>
    </row>
    <row r="18" spans="3:38" x14ac:dyDescent="0.25">
      <c r="C18" s="4" t="s">
        <v>47</v>
      </c>
      <c r="D18" s="10"/>
      <c r="E18" s="10"/>
      <c r="F18" s="10"/>
      <c r="G18" s="10"/>
      <c r="H18" s="17">
        <f t="shared" ref="H18:L18" si="21">(H4-D4)/D4</f>
        <v>0.15749018993077837</v>
      </c>
      <c r="I18" s="17">
        <f t="shared" si="21"/>
        <v>0.13354959770200958</v>
      </c>
      <c r="J18" s="17">
        <f>(J4-F4)/F4</f>
        <v>0.11229625393194177</v>
      </c>
      <c r="K18" s="17">
        <f t="shared" si="21"/>
        <v>0.13853628638824544</v>
      </c>
      <c r="L18" s="17">
        <f t="shared" si="21"/>
        <v>7.470003174267266E-2</v>
      </c>
      <c r="M18" s="17">
        <f>(M4-I4)/I4</f>
        <v>0.20187648025506302</v>
      </c>
      <c r="N18" s="17">
        <f>(N4-J4)/J4</f>
        <v>0.12929274751266162</v>
      </c>
      <c r="O18" s="17">
        <f>(O4-K4)/K4</f>
        <v>5.8044369642518169E-2</v>
      </c>
      <c r="P18" s="16">
        <f>(P4-L4)/L4</f>
        <v>5.8089059849423988E-2</v>
      </c>
      <c r="Q18" s="4"/>
      <c r="R18" s="4"/>
      <c r="S18" s="4"/>
      <c r="T18" s="4"/>
      <c r="U18" s="4"/>
      <c r="V18" s="17"/>
      <c r="W18" s="17">
        <f>(W4-V4)/V4</f>
        <v>0.13642798342236917</v>
      </c>
      <c r="X18" s="17">
        <f>(X4-W4)/W4</f>
        <v>0.11221350511279678</v>
      </c>
      <c r="Y18" s="16">
        <f t="shared" ref="Y18:AI18" si="22">(Y4-X4)/X4</f>
        <v>7.4999999999999914E-2</v>
      </c>
      <c r="Z18" s="17">
        <f t="shared" si="22"/>
        <v>9.0000000000000011E-2</v>
      </c>
      <c r="AA18" s="17">
        <f>(AA4-Z4)/Z4</f>
        <v>9.0000000000000163E-2</v>
      </c>
      <c r="AB18" s="17">
        <f t="shared" si="22"/>
        <v>9.0000000000000149E-2</v>
      </c>
      <c r="AC18" s="17">
        <f t="shared" si="22"/>
        <v>9.0000000000000011E-2</v>
      </c>
      <c r="AD18" s="17">
        <f t="shared" si="22"/>
        <v>9.0000000000000094E-2</v>
      </c>
      <c r="AE18" s="17">
        <f t="shared" si="22"/>
        <v>9.0000000000000149E-2</v>
      </c>
      <c r="AF18" s="17">
        <f t="shared" si="22"/>
        <v>9.000000000000008E-2</v>
      </c>
      <c r="AG18" s="17">
        <f t="shared" si="22"/>
        <v>0.09</v>
      </c>
      <c r="AH18" s="17">
        <f t="shared" si="22"/>
        <v>9.0000000000000011E-2</v>
      </c>
      <c r="AI18" s="17">
        <f t="shared" si="22"/>
        <v>9.0000000000000052E-2</v>
      </c>
      <c r="AK18" s="1" t="s">
        <v>87</v>
      </c>
      <c r="AL18" s="24">
        <v>-0.01</v>
      </c>
    </row>
    <row r="19" spans="3:38" x14ac:dyDescent="0.25">
      <c r="C19" s="1" t="s">
        <v>100</v>
      </c>
      <c r="D19" s="21">
        <f>D10/D4</f>
        <v>0.1503720722883303</v>
      </c>
      <c r="E19" s="21">
        <f t="shared" ref="E19:N19" si="23">E10/E4</f>
        <v>0.12138200551637437</v>
      </c>
      <c r="F19" s="21">
        <f t="shared" si="23"/>
        <v>0.10494137832427794</v>
      </c>
      <c r="G19" s="21">
        <f t="shared" si="23"/>
        <v>0.13656724391587011</v>
      </c>
      <c r="H19" s="21">
        <f t="shared" si="23"/>
        <v>0.13928261559623328</v>
      </c>
      <c r="I19" s="21">
        <f t="shared" si="23"/>
        <v>0.10686886365627946</v>
      </c>
      <c r="J19" s="21">
        <f t="shared" si="23"/>
        <v>0.10285111962362131</v>
      </c>
      <c r="K19" s="21">
        <f t="shared" si="23"/>
        <v>0.10964222953741065</v>
      </c>
      <c r="L19" s="21">
        <f t="shared" si="23"/>
        <v>0.1328789336210825</v>
      </c>
      <c r="M19" s="21">
        <f t="shared" si="23"/>
        <v>0.13538456006759741</v>
      </c>
      <c r="N19" s="21">
        <f t="shared" si="23"/>
        <v>0.11490890381800348</v>
      </c>
      <c r="O19" s="21">
        <f t="shared" ref="O19:P19" si="24">O10/O4</f>
        <v>0.11672332926558246</v>
      </c>
      <c r="P19" s="22">
        <f t="shared" si="24"/>
        <v>0.14441890760212162</v>
      </c>
      <c r="Q19" s="15"/>
      <c r="R19" s="15"/>
      <c r="S19" s="15"/>
      <c r="V19" s="21">
        <f t="shared" ref="V19:AI19" si="25">V10/V4</f>
        <v>0.12947390067474765</v>
      </c>
      <c r="W19" s="21">
        <f>W10/W4</f>
        <v>0.11543380280172137</v>
      </c>
      <c r="X19" s="21">
        <f t="shared" si="25"/>
        <v>0.12526600838119234</v>
      </c>
      <c r="Y19" s="22">
        <f>Y10/Y4</f>
        <v>0.13379359977704181</v>
      </c>
      <c r="Z19" s="21">
        <f t="shared" si="25"/>
        <v>0.14127026520964822</v>
      </c>
      <c r="AA19" s="21">
        <f t="shared" si="25"/>
        <v>0.14808098445143308</v>
      </c>
      <c r="AB19" s="21">
        <f t="shared" si="25"/>
        <v>0.15119735491298741</v>
      </c>
      <c r="AC19" s="21">
        <f t="shared" si="25"/>
        <v>0.15373461097364674</v>
      </c>
      <c r="AD19" s="21">
        <f t="shared" si="25"/>
        <v>0.15573715215443204</v>
      </c>
      <c r="AE19" s="21">
        <f t="shared" si="25"/>
        <v>0.15724579522616619</v>
      </c>
      <c r="AF19" s="21">
        <f t="shared" si="25"/>
        <v>0.15829806382488981</v>
      </c>
      <c r="AG19" s="21">
        <f t="shared" si="25"/>
        <v>0.15892845454664484</v>
      </c>
      <c r="AH19" s="21">
        <f t="shared" si="25"/>
        <v>0.15916868143843516</v>
      </c>
      <c r="AI19" s="21">
        <f t="shared" si="25"/>
        <v>0.15904790064553145</v>
      </c>
      <c r="AK19" s="25" t="s">
        <v>88</v>
      </c>
      <c r="AL19" s="26">
        <f>NPV(AL17,Y14:EH14)</f>
        <v>9806.9607183129392</v>
      </c>
    </row>
    <row r="20" spans="3:38" x14ac:dyDescent="0.25">
      <c r="C20" s="1" t="s">
        <v>91</v>
      </c>
      <c r="D20" s="21"/>
      <c r="E20" s="21"/>
      <c r="F20" s="21"/>
      <c r="G20" s="21"/>
      <c r="H20" s="21">
        <f t="shared" ref="H20" si="26">(H6-D6)/D6</f>
        <v>0.15764434753450854</v>
      </c>
      <c r="I20" s="21">
        <f t="shared" ref="I20" si="27">(I6-E6)/E6</f>
        <v>0.14227845683331503</v>
      </c>
      <c r="J20" s="21">
        <f>(J6-F6)/F6</f>
        <v>0.16435289445249363</v>
      </c>
      <c r="K20" s="21">
        <f t="shared" ref="K20" si="28">(K6-G6)/G6</f>
        <v>0.20458342975530372</v>
      </c>
      <c r="L20" s="21">
        <f t="shared" ref="L20" si="29">(L6-H6)/H6</f>
        <v>0.11459370189122506</v>
      </c>
      <c r="M20" s="21">
        <f t="shared" ref="M20" si="30">(M6-I6)/I6</f>
        <v>0.23642801444673264</v>
      </c>
      <c r="N20" s="21">
        <f>(N6-J6)/J6</f>
        <v>0.10709208776215634</v>
      </c>
      <c r="O20" s="21">
        <f>(O6-K6)/K6</f>
        <v>7.9155441331520277E-2</v>
      </c>
      <c r="P20" s="22">
        <f>(P6-L6)/L6</f>
        <v>6.3361636999026513E-2</v>
      </c>
      <c r="Q20" s="15"/>
      <c r="R20" s="15"/>
      <c r="S20" s="15"/>
      <c r="V20" s="21"/>
      <c r="W20" s="21">
        <f>(W6-V6)/V6</f>
        <v>0.16822518696800601</v>
      </c>
      <c r="X20" s="21">
        <f>(X6-W6)/W6</f>
        <v>0.13139404957249476</v>
      </c>
      <c r="Y20" s="22">
        <f>(Y6-X6)/X6</f>
        <v>6.0000000000000026E-2</v>
      </c>
      <c r="Z20" s="21">
        <f t="shared" ref="Z20:AI20" si="31">(Z6-Y6)/Y6</f>
        <v>9.0000000000000038E-2</v>
      </c>
      <c r="AA20" s="21">
        <f t="shared" si="31"/>
        <v>9.0000000000000038E-2</v>
      </c>
      <c r="AB20" s="21">
        <f t="shared" si="31"/>
        <v>9.5000000000000015E-2</v>
      </c>
      <c r="AC20" s="21">
        <f t="shared" si="31"/>
        <v>9.5000000000000015E-2</v>
      </c>
      <c r="AD20" s="21">
        <f t="shared" si="31"/>
        <v>9.500000000000007E-2</v>
      </c>
      <c r="AE20" s="21">
        <f t="shared" si="31"/>
        <v>9.4999999999999904E-2</v>
      </c>
      <c r="AF20" s="21">
        <f t="shared" si="31"/>
        <v>9.4999999999999973E-2</v>
      </c>
      <c r="AG20" s="21">
        <f t="shared" si="31"/>
        <v>9.5000000000000015E-2</v>
      </c>
      <c r="AH20" s="21">
        <f t="shared" si="31"/>
        <v>9.5000000000000043E-2</v>
      </c>
      <c r="AI20" s="21">
        <f t="shared" si="31"/>
        <v>9.4999999999999987E-2</v>
      </c>
      <c r="AK20" s="1" t="s">
        <v>45</v>
      </c>
      <c r="AL20" s="27">
        <f>B5</f>
        <v>103.80063699999999</v>
      </c>
    </row>
    <row r="21" spans="3:38" x14ac:dyDescent="0.25"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AK21" s="4" t="s">
        <v>89</v>
      </c>
      <c r="AL21" s="28">
        <f>AL19/AL20</f>
        <v>94.47881055212541</v>
      </c>
    </row>
    <row r="22" spans="3:38" x14ac:dyDescent="0.25">
      <c r="C22" s="1" t="s">
        <v>33</v>
      </c>
      <c r="D22" s="12">
        <v>1879</v>
      </c>
      <c r="E22" s="12">
        <v>1912</v>
      </c>
      <c r="F22" s="12">
        <v>2012</v>
      </c>
      <c r="G22" s="12">
        <f>2311-270</f>
        <v>2041</v>
      </c>
      <c r="H22" s="12">
        <f>L22-205</f>
        <v>2111</v>
      </c>
      <c r="I22" s="12">
        <f>M22-172</f>
        <v>2159</v>
      </c>
      <c r="J22" s="12">
        <f>N22-120</f>
        <v>2269</v>
      </c>
      <c r="K22" s="12">
        <v>2311</v>
      </c>
      <c r="L22" s="12">
        <v>2316</v>
      </c>
      <c r="M22" s="12">
        <v>2331</v>
      </c>
      <c r="N22" s="12">
        <v>2389</v>
      </c>
      <c r="O22" s="12">
        <v>2360</v>
      </c>
      <c r="P22" s="13">
        <v>2347</v>
      </c>
      <c r="AK22" s="4" t="s">
        <v>90</v>
      </c>
      <c r="AL22" s="29">
        <f>(AL21-B4)/B4</f>
        <v>0.19442238371839971</v>
      </c>
    </row>
    <row r="23" spans="3:38" x14ac:dyDescent="0.25">
      <c r="C23" s="1" t="s">
        <v>83</v>
      </c>
      <c r="D23" s="21"/>
      <c r="E23" s="21"/>
      <c r="F23" s="21"/>
      <c r="G23" s="21"/>
      <c r="H23" s="21">
        <f t="shared" ref="H23:M23" si="32">(H22-D22)/D22</f>
        <v>0.12346993081426291</v>
      </c>
      <c r="I23" s="21">
        <f t="shared" si="32"/>
        <v>0.12918410041841005</v>
      </c>
      <c r="J23" s="21">
        <f t="shared" si="32"/>
        <v>0.12773359840954274</v>
      </c>
      <c r="K23" s="21">
        <f t="shared" si="32"/>
        <v>0.13228809407153355</v>
      </c>
      <c r="L23" s="21">
        <f t="shared" si="32"/>
        <v>9.7110374230222646E-2</v>
      </c>
      <c r="M23" s="21">
        <f t="shared" si="32"/>
        <v>7.9666512274201018E-2</v>
      </c>
      <c r="N23" s="21">
        <f>(N22-J22)/J22</f>
        <v>5.2886734244160426E-2</v>
      </c>
      <c r="O23" s="21">
        <f>(O22-K22)/K22</f>
        <v>2.1202942449156211E-2</v>
      </c>
      <c r="P23" s="22">
        <f>(P22-L22)/L22</f>
        <v>1.3385146804835924E-2</v>
      </c>
    </row>
    <row r="24" spans="3:38" x14ac:dyDescent="0.25"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3:38" x14ac:dyDescent="0.25">
      <c r="C25" s="4" t="s">
        <v>99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3:38" x14ac:dyDescent="0.25">
      <c r="C26" s="1" t="s">
        <v>48</v>
      </c>
      <c r="D26" s="12">
        <v>5.5</v>
      </c>
      <c r="E26" s="12">
        <v>6.7</v>
      </c>
      <c r="F26" s="12">
        <v>7.4</v>
      </c>
      <c r="G26" s="12">
        <v>4.5</v>
      </c>
      <c r="H26" s="12">
        <v>5.48</v>
      </c>
      <c r="I26" s="12">
        <v>6</v>
      </c>
      <c r="J26" s="12">
        <v>6.4</v>
      </c>
      <c r="K26" s="12">
        <v>7</v>
      </c>
      <c r="L26" s="12">
        <v>9.6999999999999993</v>
      </c>
      <c r="M26" s="12">
        <v>11</v>
      </c>
      <c r="N26" s="12">
        <v>11.852</v>
      </c>
      <c r="O26" s="12">
        <v>13</v>
      </c>
      <c r="P26" s="13">
        <v>15.577</v>
      </c>
    </row>
    <row r="27" spans="3:38" x14ac:dyDescent="0.25">
      <c r="C27" s="1" t="s">
        <v>49</v>
      </c>
      <c r="D27" s="12">
        <v>32.680999999999997</v>
      </c>
      <c r="E27" s="12">
        <v>32.9</v>
      </c>
      <c r="F27" s="12">
        <v>32.9</v>
      </c>
      <c r="G27" s="12">
        <v>32.731999999999999</v>
      </c>
      <c r="H27" s="12">
        <v>33.286999999999999</v>
      </c>
      <c r="I27" s="12">
        <v>33</v>
      </c>
      <c r="J27" s="12">
        <v>32.993000000000002</v>
      </c>
      <c r="K27" s="12">
        <v>53.970999999999997</v>
      </c>
      <c r="L27" s="12">
        <v>53.89</v>
      </c>
      <c r="M27" s="12">
        <v>53.786999999999999</v>
      </c>
      <c r="N27" s="12">
        <v>54.073999999999998</v>
      </c>
      <c r="O27" s="12">
        <v>54.01</v>
      </c>
      <c r="P27" s="13">
        <v>54.204999999999998</v>
      </c>
    </row>
    <row r="28" spans="3:38" x14ac:dyDescent="0.25">
      <c r="C28" s="1" t="s">
        <v>50</v>
      </c>
      <c r="D28" s="12">
        <v>38.908000000000001</v>
      </c>
      <c r="E28" s="12">
        <v>40.622</v>
      </c>
      <c r="F28" s="12">
        <v>41.9</v>
      </c>
      <c r="G28" s="12">
        <v>43</v>
      </c>
      <c r="H28" s="12">
        <v>46.953000000000003</v>
      </c>
      <c r="I28" s="12">
        <v>50</v>
      </c>
      <c r="J28" s="12">
        <v>49.679000000000002</v>
      </c>
      <c r="K28" s="12">
        <v>50.1</v>
      </c>
      <c r="L28" s="12">
        <v>42</v>
      </c>
      <c r="M28" s="12">
        <v>38.521999999999998</v>
      </c>
      <c r="N28" s="12">
        <v>34.152000000000001</v>
      </c>
      <c r="O28" s="12">
        <v>26.071000000000002</v>
      </c>
      <c r="P28" s="13">
        <v>23.884</v>
      </c>
    </row>
    <row r="29" spans="3:38" x14ac:dyDescent="0.25">
      <c r="C29" s="1" t="s">
        <v>51</v>
      </c>
      <c r="D29" s="12">
        <v>29</v>
      </c>
      <c r="E29" s="12">
        <v>28.396000000000001</v>
      </c>
      <c r="F29" s="12">
        <v>28.3</v>
      </c>
      <c r="G29" s="12">
        <v>29.2</v>
      </c>
      <c r="H29" s="12">
        <v>28.664000000000001</v>
      </c>
      <c r="I29" s="12">
        <v>28.831</v>
      </c>
      <c r="J29" s="12">
        <v>29.224</v>
      </c>
      <c r="K29" s="12">
        <v>31.495000000000001</v>
      </c>
      <c r="L29" s="12">
        <v>35.49</v>
      </c>
      <c r="M29" s="12">
        <v>39.884</v>
      </c>
      <c r="N29" s="12">
        <v>38.713000000000001</v>
      </c>
      <c r="O29" s="12">
        <v>39.787999999999997</v>
      </c>
      <c r="P29" s="13">
        <v>38.659999999999997</v>
      </c>
    </row>
    <row r="30" spans="3:38" x14ac:dyDescent="0.25">
      <c r="C30" s="1" t="s">
        <v>52</v>
      </c>
      <c r="D30" s="12">
        <v>4.0999999999999996</v>
      </c>
      <c r="E30" s="12">
        <v>4.3</v>
      </c>
      <c r="F30" s="12">
        <v>4</v>
      </c>
      <c r="G30" s="12">
        <v>3.6</v>
      </c>
      <c r="H30" s="12">
        <v>3.3</v>
      </c>
      <c r="I30" s="12">
        <v>2.952</v>
      </c>
      <c r="J30" s="12">
        <v>3</v>
      </c>
      <c r="K30" s="12">
        <v>4.3</v>
      </c>
      <c r="L30" s="12">
        <v>4.5999999999999996</v>
      </c>
      <c r="M30" s="12">
        <v>4.4640000000000004</v>
      </c>
      <c r="N30" s="12">
        <v>4.8949999999999996</v>
      </c>
      <c r="O30" s="12">
        <v>5.4509999999999996</v>
      </c>
      <c r="P30" s="13">
        <v>5.1529999999999996</v>
      </c>
    </row>
    <row r="31" spans="3:38" x14ac:dyDescent="0.25">
      <c r="C31" s="1" t="s">
        <v>53</v>
      </c>
      <c r="D31" s="12">
        <v>22.398</v>
      </c>
      <c r="E31" s="12">
        <v>25.149000000000001</v>
      </c>
      <c r="F31" s="12">
        <v>24.614999999999998</v>
      </c>
      <c r="G31" s="12">
        <v>23.795000000000002</v>
      </c>
      <c r="H31" s="12">
        <v>23.5</v>
      </c>
      <c r="I31" s="12">
        <v>26.22</v>
      </c>
      <c r="J31" s="12">
        <v>26.774000000000001</v>
      </c>
      <c r="K31" s="12">
        <v>26.9</v>
      </c>
      <c r="L31" s="12">
        <v>26</v>
      </c>
      <c r="M31" s="12">
        <v>25.5</v>
      </c>
      <c r="N31" s="12">
        <v>24.038</v>
      </c>
      <c r="O31" s="12">
        <v>22.928999999999998</v>
      </c>
      <c r="P31" s="13">
        <v>22</v>
      </c>
    </row>
    <row r="32" spans="3:38" x14ac:dyDescent="0.25">
      <c r="C32" s="1" t="s">
        <v>54</v>
      </c>
      <c r="D32" s="12">
        <v>242.09100000000001</v>
      </c>
      <c r="E32" s="12">
        <v>235.91300000000001</v>
      </c>
      <c r="F32" s="12">
        <v>232.76599999999999</v>
      </c>
      <c r="G32" s="12">
        <v>222.29900000000001</v>
      </c>
      <c r="H32" s="12">
        <v>226.8</v>
      </c>
      <c r="I32" s="12">
        <v>216.923</v>
      </c>
      <c r="J32" s="12">
        <v>202.87700000000001</v>
      </c>
      <c r="K32" s="12">
        <v>316.46800000000002</v>
      </c>
      <c r="L32" s="12">
        <v>339.48399999999998</v>
      </c>
      <c r="M32" s="12">
        <v>333</v>
      </c>
      <c r="N32" s="12">
        <v>315.89299999999997</v>
      </c>
      <c r="O32" s="12">
        <v>298.55799999999999</v>
      </c>
      <c r="P32" s="13">
        <v>293.54199999999997</v>
      </c>
    </row>
    <row r="33" spans="3:16" x14ac:dyDescent="0.25">
      <c r="C33" s="1" t="s">
        <v>55</v>
      </c>
      <c r="D33" s="12">
        <v>0.01</v>
      </c>
      <c r="E33" s="12">
        <v>0.01</v>
      </c>
      <c r="F33" s="12">
        <v>0.01</v>
      </c>
      <c r="G33" s="12">
        <v>0.01</v>
      </c>
      <c r="H33" s="12">
        <v>0.01</v>
      </c>
      <c r="I33" s="12">
        <v>0.01</v>
      </c>
      <c r="J33" s="12">
        <v>0.01</v>
      </c>
      <c r="K33" s="12">
        <v>0.01</v>
      </c>
      <c r="L33" s="12">
        <v>0.01</v>
      </c>
      <c r="M33" s="12">
        <v>0.01</v>
      </c>
      <c r="N33" s="12">
        <v>0.01</v>
      </c>
      <c r="O33" s="12">
        <v>0.01</v>
      </c>
      <c r="P33" s="13">
        <v>0</v>
      </c>
    </row>
    <row r="34" spans="3:16" x14ac:dyDescent="0.25">
      <c r="C34" s="1" t="s">
        <v>56</v>
      </c>
      <c r="D34" s="12">
        <v>1.9</v>
      </c>
      <c r="E34" s="12">
        <v>1.9</v>
      </c>
      <c r="F34" s="12">
        <v>1.9</v>
      </c>
      <c r="G34" s="12">
        <v>1.9</v>
      </c>
      <c r="H34" s="12">
        <v>1.9</v>
      </c>
      <c r="I34" s="12">
        <v>1.9</v>
      </c>
      <c r="J34" s="12">
        <v>1.9</v>
      </c>
      <c r="K34" s="12">
        <v>2.2000000000000002</v>
      </c>
      <c r="L34" s="12">
        <v>2.2000000000000002</v>
      </c>
      <c r="M34" s="12">
        <v>2.2000000000000002</v>
      </c>
      <c r="N34" s="12">
        <v>2.0059999999999998</v>
      </c>
      <c r="O34" s="12">
        <v>2</v>
      </c>
      <c r="P34" s="13">
        <v>2</v>
      </c>
    </row>
    <row r="35" spans="3:16" x14ac:dyDescent="0.25">
      <c r="C35" s="2" t="s">
        <v>57</v>
      </c>
      <c r="D35" s="33">
        <f t="shared" ref="D35" si="33">SUM(D26:D34)</f>
        <v>376.58799999999997</v>
      </c>
      <c r="E35" s="33">
        <f t="shared" ref="E35" si="34">SUM(E26:E34)</f>
        <v>375.89</v>
      </c>
      <c r="F35" s="33">
        <f t="shared" ref="F35" si="35">SUM(F26:F34)</f>
        <v>373.79099999999994</v>
      </c>
      <c r="G35" s="33">
        <f t="shared" ref="G35:M35" si="36">SUM(G26:G34)</f>
        <v>361.03599999999994</v>
      </c>
      <c r="H35" s="33">
        <f t="shared" si="36"/>
        <v>369.89400000000001</v>
      </c>
      <c r="I35" s="33">
        <f t="shared" si="36"/>
        <v>365.83599999999996</v>
      </c>
      <c r="J35" s="33">
        <f t="shared" si="36"/>
        <v>352.85699999999997</v>
      </c>
      <c r="K35" s="33">
        <f t="shared" si="36"/>
        <v>492.44400000000002</v>
      </c>
      <c r="L35" s="33">
        <f t="shared" si="36"/>
        <v>513.37400000000002</v>
      </c>
      <c r="M35" s="33">
        <f t="shared" si="36"/>
        <v>508.36699999999996</v>
      </c>
      <c r="N35" s="33">
        <f>SUM(N26:N34)</f>
        <v>485.63299999999992</v>
      </c>
      <c r="O35" s="33">
        <f>SUM(O26:O34)</f>
        <v>461.81699999999995</v>
      </c>
      <c r="P35" s="18">
        <f>SUM(P26:P34)</f>
        <v>455.02099999999996</v>
      </c>
    </row>
    <row r="36" spans="3:16" x14ac:dyDescent="0.25">
      <c r="C36" s="1" t="s">
        <v>58</v>
      </c>
      <c r="D36" s="12">
        <v>87.7</v>
      </c>
      <c r="E36" s="12">
        <v>72.427000000000007</v>
      </c>
      <c r="F36" s="12">
        <v>93.9</v>
      </c>
      <c r="G36" s="12">
        <v>17.5</v>
      </c>
      <c r="H36" s="12">
        <v>200.85</v>
      </c>
      <c r="I36" s="12">
        <v>86.103999999999999</v>
      </c>
      <c r="J36" s="12">
        <v>95.156999999999996</v>
      </c>
      <c r="K36" s="12">
        <v>51.4</v>
      </c>
      <c r="L36" s="12">
        <v>64.400000000000006</v>
      </c>
      <c r="M36" s="12">
        <v>61.122</v>
      </c>
      <c r="N36" s="12">
        <v>112.83799999999999</v>
      </c>
      <c r="O36" s="12">
        <v>30</v>
      </c>
      <c r="P36" s="13">
        <v>44.868000000000002</v>
      </c>
    </row>
    <row r="37" spans="3:16" x14ac:dyDescent="0.25">
      <c r="C37" s="1" t="s">
        <v>59</v>
      </c>
      <c r="D37" s="12">
        <v>477.584</v>
      </c>
      <c r="E37" s="12">
        <v>468.64600000000002</v>
      </c>
      <c r="F37" s="12">
        <v>480.54599999999999</v>
      </c>
      <c r="G37" s="12">
        <v>563.48500000000001</v>
      </c>
      <c r="H37" s="12">
        <v>511.56799999999998</v>
      </c>
      <c r="I37" s="12">
        <v>559.19600000000003</v>
      </c>
      <c r="J37" s="12">
        <v>715.10599999999999</v>
      </c>
      <c r="K37" s="12">
        <v>629.88</v>
      </c>
      <c r="L37" s="12">
        <v>755.38499999999999</v>
      </c>
      <c r="M37" s="12">
        <v>761.18299999999999</v>
      </c>
      <c r="N37" s="12">
        <v>618.79100000000005</v>
      </c>
      <c r="O37" s="12">
        <v>411.21300000000002</v>
      </c>
      <c r="P37" s="13">
        <v>669.61</v>
      </c>
    </row>
    <row r="38" spans="3:16" x14ac:dyDescent="0.25">
      <c r="C38" s="1" t="s">
        <v>60</v>
      </c>
      <c r="D38" s="12">
        <v>82.873999999999995</v>
      </c>
      <c r="E38" s="12">
        <v>85.141999999999996</v>
      </c>
      <c r="F38" s="12">
        <v>50.1</v>
      </c>
      <c r="G38" s="12">
        <v>59.258000000000003</v>
      </c>
      <c r="H38" s="12">
        <v>74.177999999999997</v>
      </c>
      <c r="I38" s="12">
        <v>78.415000000000006</v>
      </c>
      <c r="J38" s="12">
        <v>52.95</v>
      </c>
      <c r="K38" s="12">
        <v>59.817999999999998</v>
      </c>
      <c r="L38" s="12">
        <v>123.542</v>
      </c>
      <c r="M38" s="12">
        <v>112.29300000000001</v>
      </c>
      <c r="N38" s="12">
        <v>75.73</v>
      </c>
      <c r="O38" s="12">
        <v>63.335999999999999</v>
      </c>
      <c r="P38" s="13">
        <v>113.988</v>
      </c>
    </row>
    <row r="39" spans="3:16" x14ac:dyDescent="0.25">
      <c r="C39" s="1" t="s">
        <v>61</v>
      </c>
      <c r="D39" s="12">
        <v>568.76099999999997</v>
      </c>
      <c r="E39" s="12">
        <v>326.57</v>
      </c>
      <c r="F39" s="12">
        <v>316.56799999999998</v>
      </c>
      <c r="G39" s="12">
        <v>443.42700000000002</v>
      </c>
      <c r="H39" s="12">
        <v>533.25199999999995</v>
      </c>
      <c r="I39" s="12">
        <v>330.56200000000001</v>
      </c>
      <c r="J39" s="12">
        <v>173.786</v>
      </c>
      <c r="K39" s="12">
        <v>482</v>
      </c>
      <c r="L39" s="12">
        <v>499.25200000000001</v>
      </c>
      <c r="M39" s="12">
        <v>276.685</v>
      </c>
      <c r="N39" s="12">
        <v>386.74400000000003</v>
      </c>
      <c r="O39" s="12">
        <v>834.34100000000001</v>
      </c>
      <c r="P39" s="13">
        <v>741.18499999999995</v>
      </c>
    </row>
    <row r="40" spans="3:16" x14ac:dyDescent="0.25">
      <c r="C40" s="2" t="s">
        <v>62</v>
      </c>
      <c r="D40" s="33">
        <f t="shared" ref="D40:M40" si="37">SUM(D36:D39)</f>
        <v>1216.9189999999999</v>
      </c>
      <c r="E40" s="33">
        <f t="shared" si="37"/>
        <v>952.78499999999985</v>
      </c>
      <c r="F40" s="33">
        <f t="shared" si="37"/>
        <v>941.11400000000003</v>
      </c>
      <c r="G40" s="33">
        <f t="shared" si="37"/>
        <v>1083.67</v>
      </c>
      <c r="H40" s="33">
        <f t="shared" si="37"/>
        <v>1319.848</v>
      </c>
      <c r="I40" s="33">
        <f t="shared" si="37"/>
        <v>1054.277</v>
      </c>
      <c r="J40" s="33">
        <f t="shared" si="37"/>
        <v>1036.999</v>
      </c>
      <c r="K40" s="33">
        <f t="shared" si="37"/>
        <v>1223.098</v>
      </c>
      <c r="L40" s="33">
        <f t="shared" si="37"/>
        <v>1442.579</v>
      </c>
      <c r="M40" s="33">
        <f t="shared" si="37"/>
        <v>1211.2829999999999</v>
      </c>
      <c r="N40" s="33">
        <f>SUM(N36:N39)</f>
        <v>1194.1030000000001</v>
      </c>
      <c r="O40" s="33">
        <f>SUM(O36:O39)</f>
        <v>1338.89</v>
      </c>
      <c r="P40" s="18">
        <f>SUM(P36:P39)</f>
        <v>1569.6510000000001</v>
      </c>
    </row>
    <row r="41" spans="3:16" x14ac:dyDescent="0.25">
      <c r="C41" s="3" t="s">
        <v>63</v>
      </c>
      <c r="D41" s="20">
        <f t="shared" ref="D41:M41" si="38">D35+D40</f>
        <v>1593.5069999999998</v>
      </c>
      <c r="E41" s="20">
        <f t="shared" si="38"/>
        <v>1328.6749999999997</v>
      </c>
      <c r="F41" s="20">
        <f t="shared" si="38"/>
        <v>1314.905</v>
      </c>
      <c r="G41" s="20">
        <f t="shared" si="38"/>
        <v>1444.7060000000001</v>
      </c>
      <c r="H41" s="20">
        <f t="shared" si="38"/>
        <v>1689.742</v>
      </c>
      <c r="I41" s="20">
        <f t="shared" si="38"/>
        <v>1420.1130000000001</v>
      </c>
      <c r="J41" s="20">
        <f t="shared" si="38"/>
        <v>1389.856</v>
      </c>
      <c r="K41" s="20">
        <f t="shared" si="38"/>
        <v>1715.5419999999999</v>
      </c>
      <c r="L41" s="20">
        <f t="shared" si="38"/>
        <v>1955.953</v>
      </c>
      <c r="M41" s="20">
        <f t="shared" si="38"/>
        <v>1719.6499999999999</v>
      </c>
      <c r="N41" s="20">
        <f>N35+N40</f>
        <v>1679.7359999999999</v>
      </c>
      <c r="O41" s="20">
        <f>O35+O40</f>
        <v>1800.7070000000001</v>
      </c>
      <c r="P41" s="19">
        <f>P35+P40</f>
        <v>2024.672</v>
      </c>
    </row>
    <row r="42" spans="3:16" x14ac:dyDescent="0.25">
      <c r="C42" s="1" t="s">
        <v>64</v>
      </c>
      <c r="D42" s="12">
        <v>10.38</v>
      </c>
      <c r="E42" s="12">
        <v>10.38</v>
      </c>
      <c r="F42" s="12">
        <v>10.38</v>
      </c>
      <c r="G42" s="12">
        <v>10.38</v>
      </c>
      <c r="H42" s="12">
        <v>10.38</v>
      </c>
      <c r="I42" s="12">
        <v>10.3</v>
      </c>
      <c r="J42" s="12">
        <v>10.38</v>
      </c>
      <c r="K42" s="12">
        <v>10.38</v>
      </c>
      <c r="L42" s="12">
        <v>10.38</v>
      </c>
      <c r="M42" s="12">
        <v>10.38</v>
      </c>
      <c r="N42" s="12">
        <v>10.38</v>
      </c>
      <c r="O42" s="12">
        <v>10.38</v>
      </c>
      <c r="P42" s="13">
        <v>10.38</v>
      </c>
    </row>
    <row r="43" spans="3:16" x14ac:dyDescent="0.25">
      <c r="C43" s="1" t="s">
        <v>65</v>
      </c>
      <c r="D43" s="12">
        <v>0</v>
      </c>
      <c r="E43" s="12">
        <v>-0.08</v>
      </c>
      <c r="F43" s="12">
        <v>-9.5000000000000001E-2</v>
      </c>
      <c r="G43" s="12">
        <v>0</v>
      </c>
      <c r="H43" s="12">
        <v>-3.3000000000000002E-2</v>
      </c>
      <c r="I43" s="12">
        <v>-8.5999999999999993E-2</v>
      </c>
      <c r="J43" s="12">
        <v>-0.105</v>
      </c>
      <c r="K43" s="12">
        <v>-1.9E-2</v>
      </c>
      <c r="L43" s="12">
        <v>-5.3999999999999999E-2</v>
      </c>
      <c r="M43" s="12">
        <v>-9.9000000000000005E-2</v>
      </c>
      <c r="N43" s="12">
        <v>-9.9000000000000005E-2</v>
      </c>
      <c r="O43" s="12">
        <v>-3.2000000000000001E-2</v>
      </c>
      <c r="P43" s="13">
        <v>-9.1999999999999998E-2</v>
      </c>
    </row>
    <row r="44" spans="3:16" x14ac:dyDescent="0.25">
      <c r="C44" s="1" t="s">
        <v>66</v>
      </c>
      <c r="D44" s="12">
        <v>51</v>
      </c>
      <c r="E44" s="12">
        <v>51</v>
      </c>
      <c r="F44" s="12">
        <v>51</v>
      </c>
      <c r="G44" s="12">
        <v>0.17899999999999999</v>
      </c>
      <c r="H44" s="12">
        <v>0.17899999999999999</v>
      </c>
      <c r="I44" s="12">
        <v>0.17899999999999999</v>
      </c>
      <c r="J44" s="12">
        <v>0.17899999999999999</v>
      </c>
      <c r="K44" s="12">
        <v>0.17899999999999999</v>
      </c>
      <c r="L44" s="12">
        <v>0.17899999999999999</v>
      </c>
      <c r="M44" s="12">
        <v>0.17899999999999999</v>
      </c>
      <c r="N44" s="12">
        <v>0.17899999999999999</v>
      </c>
      <c r="O44" s="12">
        <v>0.17899999999999999</v>
      </c>
      <c r="P44" s="13">
        <v>0.17899999999999999</v>
      </c>
    </row>
    <row r="45" spans="3:16" x14ac:dyDescent="0.25">
      <c r="C45" s="1" t="s">
        <v>67</v>
      </c>
      <c r="D45" s="12">
        <v>451.19099999999997</v>
      </c>
      <c r="E45" s="12">
        <v>267.76499999999999</v>
      </c>
      <c r="F45" s="12">
        <v>321</v>
      </c>
      <c r="G45" s="12">
        <v>441.21</v>
      </c>
      <c r="H45" s="12">
        <v>536.52099999999996</v>
      </c>
      <c r="I45" s="12">
        <v>315.71199999999999</v>
      </c>
      <c r="J45" s="12">
        <v>372.30799999999999</v>
      </c>
      <c r="K45" s="12">
        <v>442.76</v>
      </c>
      <c r="L45" s="12">
        <v>532.26199999999994</v>
      </c>
      <c r="M45" s="12">
        <v>345.572</v>
      </c>
      <c r="N45" s="12">
        <v>429.291</v>
      </c>
      <c r="O45" s="12">
        <v>454.31700000000001</v>
      </c>
      <c r="P45" s="13">
        <v>537.93200000000002</v>
      </c>
    </row>
    <row r="46" spans="3:16" x14ac:dyDescent="0.25">
      <c r="C46" s="1" t="s">
        <v>68</v>
      </c>
      <c r="D46" s="12">
        <v>4</v>
      </c>
      <c r="E46" s="12">
        <v>4.0999999999999996</v>
      </c>
      <c r="F46" s="12">
        <v>4.2</v>
      </c>
      <c r="G46" s="12">
        <v>5.2</v>
      </c>
      <c r="H46" s="12">
        <v>5.3</v>
      </c>
      <c r="I46" s="12">
        <v>5.3</v>
      </c>
      <c r="J46" s="12">
        <v>5.0999999999999996</v>
      </c>
      <c r="K46" s="12">
        <v>5</v>
      </c>
      <c r="L46" s="12">
        <v>4.8</v>
      </c>
      <c r="M46" s="12">
        <v>4.3</v>
      </c>
      <c r="N46" s="12">
        <v>4.367</v>
      </c>
      <c r="O46" s="12">
        <v>0</v>
      </c>
      <c r="P46" s="13">
        <v>0</v>
      </c>
    </row>
    <row r="47" spans="3:16" x14ac:dyDescent="0.25">
      <c r="C47" s="3" t="s">
        <v>69</v>
      </c>
      <c r="D47" s="20">
        <f t="shared" ref="D47:M47" si="39">SUM(D42:D46)</f>
        <v>516.57100000000003</v>
      </c>
      <c r="E47" s="20">
        <f t="shared" si="39"/>
        <v>333.16500000000002</v>
      </c>
      <c r="F47" s="20">
        <f t="shared" si="39"/>
        <v>386.48499999999996</v>
      </c>
      <c r="G47" s="20">
        <f t="shared" si="39"/>
        <v>456.96899999999999</v>
      </c>
      <c r="H47" s="20">
        <f t="shared" si="39"/>
        <v>552.34699999999987</v>
      </c>
      <c r="I47" s="20">
        <f t="shared" si="39"/>
        <v>331.40500000000003</v>
      </c>
      <c r="J47" s="20">
        <f t="shared" si="39"/>
        <v>387.86200000000002</v>
      </c>
      <c r="K47" s="20">
        <f t="shared" si="39"/>
        <v>458.3</v>
      </c>
      <c r="L47" s="20">
        <f t="shared" si="39"/>
        <v>547.56699999999989</v>
      </c>
      <c r="M47" s="20">
        <f t="shared" si="39"/>
        <v>360.33199999999999</v>
      </c>
      <c r="N47" s="20">
        <f>SUM(N42:N46)</f>
        <v>444.11799999999999</v>
      </c>
      <c r="O47" s="20">
        <f>SUM(O42:O46)</f>
        <v>464.84399999999999</v>
      </c>
      <c r="P47" s="19">
        <f>SUM(P42:P46)</f>
        <v>548.399</v>
      </c>
    </row>
    <row r="48" spans="3:16" x14ac:dyDescent="0.25">
      <c r="C48" s="1" t="s">
        <v>70</v>
      </c>
      <c r="D48" s="12">
        <v>194.96</v>
      </c>
      <c r="E48" s="12">
        <v>177.38499999999999</v>
      </c>
      <c r="F48" s="12">
        <v>187.864</v>
      </c>
      <c r="G48" s="12">
        <v>178.9</v>
      </c>
      <c r="H48" s="12">
        <v>173.971</v>
      </c>
      <c r="I48" s="12">
        <v>164</v>
      </c>
      <c r="J48" s="12">
        <v>151.16900000000001</v>
      </c>
      <c r="K48" s="12">
        <v>253.55</v>
      </c>
      <c r="L48" s="12">
        <v>275.108</v>
      </c>
      <c r="M48" s="12">
        <v>267.93400000000003</v>
      </c>
      <c r="N48" s="12">
        <v>255.32499999999999</v>
      </c>
      <c r="O48" s="12">
        <v>242.839</v>
      </c>
      <c r="P48" s="13">
        <v>238.852</v>
      </c>
    </row>
    <row r="49" spans="3:16" x14ac:dyDescent="0.25">
      <c r="C49" s="1" t="s">
        <v>71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5.5</v>
      </c>
      <c r="L49" s="12">
        <v>5.5</v>
      </c>
      <c r="M49" s="12">
        <v>5.5</v>
      </c>
      <c r="N49" s="12">
        <v>5.7949999999999999</v>
      </c>
      <c r="O49" s="12">
        <v>5.5449999999999999</v>
      </c>
      <c r="P49" s="13">
        <v>5.5449999999999999</v>
      </c>
    </row>
    <row r="50" spans="3:16" x14ac:dyDescent="0.25">
      <c r="C50" s="1" t="s">
        <v>72</v>
      </c>
      <c r="D50" s="12">
        <v>50.6</v>
      </c>
      <c r="E50" s="12">
        <v>62.289000000000001</v>
      </c>
      <c r="F50" s="12">
        <v>49.176000000000002</v>
      </c>
      <c r="G50" s="12">
        <v>50</v>
      </c>
      <c r="H50" s="12">
        <v>59.819000000000003</v>
      </c>
      <c r="I50" s="12">
        <v>60.131</v>
      </c>
      <c r="J50" s="12">
        <v>59.155999999999999</v>
      </c>
      <c r="K50" s="12">
        <v>67.316999999999993</v>
      </c>
      <c r="L50" s="12">
        <v>72.5</v>
      </c>
      <c r="M50" s="12">
        <v>75.936999999999998</v>
      </c>
      <c r="N50" s="12">
        <v>74.161000000000001</v>
      </c>
      <c r="O50" s="12">
        <v>72.921000000000006</v>
      </c>
      <c r="P50" s="13">
        <v>75.224999999999994</v>
      </c>
    </row>
    <row r="51" spans="3:16" x14ac:dyDescent="0.25">
      <c r="C51" s="1" t="s">
        <v>73</v>
      </c>
      <c r="D51" s="12">
        <v>81.83</v>
      </c>
      <c r="E51" s="12">
        <v>83.16</v>
      </c>
      <c r="F51" s="12">
        <v>79.165000000000006</v>
      </c>
      <c r="G51" s="12">
        <v>37.5</v>
      </c>
      <c r="H51" s="12">
        <v>72.8</v>
      </c>
      <c r="I51" s="12">
        <v>97.387</v>
      </c>
      <c r="J51" s="12">
        <v>96.284999999999997</v>
      </c>
      <c r="K51" s="12">
        <v>119.685</v>
      </c>
      <c r="L51" s="12">
        <v>114.08499999999999</v>
      </c>
      <c r="M51" s="12">
        <v>98.721999999999994</v>
      </c>
      <c r="N51" s="12">
        <v>83.057000000000002</v>
      </c>
      <c r="O51" s="12">
        <v>80.760000000000005</v>
      </c>
      <c r="P51" s="13">
        <v>97.912999999999997</v>
      </c>
    </row>
    <row r="52" spans="3:16" x14ac:dyDescent="0.25">
      <c r="C52" s="1" t="s">
        <v>74</v>
      </c>
      <c r="D52" s="12">
        <v>63.418999999999997</v>
      </c>
      <c r="E52" s="12">
        <v>48.658999999999999</v>
      </c>
      <c r="F52" s="12">
        <v>64.335999999999999</v>
      </c>
      <c r="G52" s="12">
        <v>82.626000000000005</v>
      </c>
      <c r="H52" s="12">
        <v>73.2</v>
      </c>
      <c r="I52" s="12">
        <v>59.737000000000002</v>
      </c>
      <c r="J52" s="12">
        <v>80.317999999999998</v>
      </c>
      <c r="K52" s="12">
        <v>95.21</v>
      </c>
      <c r="L52" s="12">
        <v>80.391000000000005</v>
      </c>
      <c r="M52" s="12">
        <v>72</v>
      </c>
      <c r="N52" s="12">
        <v>94.323999999999998</v>
      </c>
      <c r="O52" s="12">
        <v>115.405</v>
      </c>
      <c r="P52" s="13">
        <v>103.117</v>
      </c>
    </row>
    <row r="53" spans="3:16" x14ac:dyDescent="0.25">
      <c r="C53" s="1" t="s">
        <v>75</v>
      </c>
      <c r="D53" s="12">
        <v>252.45699999999999</v>
      </c>
      <c r="E53" s="12">
        <v>270.39299999999997</v>
      </c>
      <c r="F53" s="12">
        <v>232.19</v>
      </c>
      <c r="G53" s="12">
        <v>283.47300000000001</v>
      </c>
      <c r="H53" s="12">
        <v>264.202</v>
      </c>
      <c r="I53" s="12">
        <v>304.29300000000001</v>
      </c>
      <c r="J53" s="12">
        <v>258.54599999999999</v>
      </c>
      <c r="K53" s="12">
        <v>304.44</v>
      </c>
      <c r="L53" s="12">
        <v>325.32799999999997</v>
      </c>
      <c r="M53" s="12">
        <v>364.298</v>
      </c>
      <c r="N53" s="12">
        <v>290.94299999999998</v>
      </c>
      <c r="O53" s="12">
        <v>332.084</v>
      </c>
      <c r="P53" s="13">
        <v>349.35199999999998</v>
      </c>
    </row>
    <row r="54" spans="3:16" x14ac:dyDescent="0.25">
      <c r="C54" s="1" t="s">
        <v>76</v>
      </c>
      <c r="D54" s="12">
        <v>8.1999999999999993</v>
      </c>
      <c r="E54" s="12">
        <v>6.8</v>
      </c>
      <c r="F54" s="12">
        <v>7.1</v>
      </c>
      <c r="G54" s="12">
        <v>5</v>
      </c>
      <c r="H54" s="12">
        <v>3.8</v>
      </c>
      <c r="I54" s="12">
        <v>4.9000000000000004</v>
      </c>
      <c r="J54" s="12">
        <v>5</v>
      </c>
      <c r="K54" s="12">
        <v>5.8</v>
      </c>
      <c r="L54" s="12">
        <v>6.8</v>
      </c>
      <c r="M54" s="12">
        <v>6.1</v>
      </c>
      <c r="N54" s="12">
        <v>5.4409999999999998</v>
      </c>
      <c r="O54" s="12">
        <v>6.1769999999999996</v>
      </c>
      <c r="P54" s="13">
        <v>5.883</v>
      </c>
    </row>
    <row r="55" spans="3:16" x14ac:dyDescent="0.25">
      <c r="C55" s="1" t="s">
        <v>77</v>
      </c>
      <c r="D55" s="12">
        <v>425.404</v>
      </c>
      <c r="E55" s="12">
        <v>346.82900000000001</v>
      </c>
      <c r="F55" s="12">
        <v>308.81</v>
      </c>
      <c r="G55" s="12">
        <v>350.28</v>
      </c>
      <c r="H55" s="12">
        <v>489.661</v>
      </c>
      <c r="I55" s="12">
        <v>398.63900000000001</v>
      </c>
      <c r="J55" s="12">
        <v>352.62799999999999</v>
      </c>
      <c r="K55" s="12">
        <v>405.73399999999998</v>
      </c>
      <c r="L55" s="12">
        <v>528.70399999999995</v>
      </c>
      <c r="M55" s="12">
        <v>468.81599999999997</v>
      </c>
      <c r="N55" s="12">
        <v>426.572</v>
      </c>
      <c r="O55" s="12">
        <v>480.25599999999997</v>
      </c>
      <c r="P55" s="13">
        <v>600.43299999999999</v>
      </c>
    </row>
    <row r="56" spans="3:16" x14ac:dyDescent="0.25">
      <c r="C56" s="3" t="s">
        <v>78</v>
      </c>
      <c r="D56" s="20">
        <f t="shared" ref="D56:M56" si="40">SUM(D48:D55)</f>
        <v>1076.8699999999999</v>
      </c>
      <c r="E56" s="20">
        <f t="shared" si="40"/>
        <v>995.51499999999987</v>
      </c>
      <c r="F56" s="20">
        <f t="shared" si="40"/>
        <v>928.64100000000008</v>
      </c>
      <c r="G56" s="20">
        <f t="shared" si="40"/>
        <v>987.779</v>
      </c>
      <c r="H56" s="20">
        <f t="shared" si="40"/>
        <v>1137.453</v>
      </c>
      <c r="I56" s="20">
        <f t="shared" si="40"/>
        <v>1089.087</v>
      </c>
      <c r="J56" s="20">
        <f t="shared" si="40"/>
        <v>1003.1019999999999</v>
      </c>
      <c r="K56" s="20">
        <f t="shared" si="40"/>
        <v>1257.2359999999999</v>
      </c>
      <c r="L56" s="20">
        <f t="shared" si="40"/>
        <v>1408.4159999999997</v>
      </c>
      <c r="M56" s="20">
        <f t="shared" si="40"/>
        <v>1359.307</v>
      </c>
      <c r="N56" s="20">
        <f>SUM(N48:N55)</f>
        <v>1235.6179999999999</v>
      </c>
      <c r="O56" s="20">
        <f>SUM(O48:O55)</f>
        <v>1335.9870000000001</v>
      </c>
      <c r="P56" s="19">
        <f>SUM(P48:P55)</f>
        <v>1476.32</v>
      </c>
    </row>
    <row r="57" spans="3:16" x14ac:dyDescent="0.25">
      <c r="C57" s="3" t="s">
        <v>79</v>
      </c>
      <c r="D57" s="20">
        <f t="shared" ref="D57:M57" si="41">D47+D56</f>
        <v>1593.4409999999998</v>
      </c>
      <c r="E57" s="20">
        <f t="shared" si="41"/>
        <v>1328.6799999999998</v>
      </c>
      <c r="F57" s="20">
        <f t="shared" si="41"/>
        <v>1315.126</v>
      </c>
      <c r="G57" s="20">
        <f t="shared" si="41"/>
        <v>1444.748</v>
      </c>
      <c r="H57" s="20">
        <f t="shared" si="41"/>
        <v>1689.7999999999997</v>
      </c>
      <c r="I57" s="20">
        <f t="shared" si="41"/>
        <v>1420.492</v>
      </c>
      <c r="J57" s="20">
        <f t="shared" si="41"/>
        <v>1390.9639999999999</v>
      </c>
      <c r="K57" s="20">
        <f t="shared" si="41"/>
        <v>1715.5359999999998</v>
      </c>
      <c r="L57" s="20">
        <f t="shared" si="41"/>
        <v>1955.9829999999997</v>
      </c>
      <c r="M57" s="20">
        <f t="shared" si="41"/>
        <v>1719.6390000000001</v>
      </c>
      <c r="N57" s="20">
        <f>N47+N56</f>
        <v>1679.7359999999999</v>
      </c>
      <c r="O57" s="20">
        <f>O47+O56</f>
        <v>1800.8310000000001</v>
      </c>
      <c r="P57" s="19">
        <f>P47+P56</f>
        <v>2024.7190000000001</v>
      </c>
    </row>
    <row r="58" spans="3:16" x14ac:dyDescent="0.25"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3:16" x14ac:dyDescent="0.25">
      <c r="C59" s="4" t="s">
        <v>98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3:16" x14ac:dyDescent="0.25">
      <c r="C60" s="1" t="s">
        <v>106</v>
      </c>
      <c r="D60" s="12">
        <f t="shared" ref="D60:O60" si="42">D12</f>
        <v>121.89100000000001</v>
      </c>
      <c r="E60" s="12">
        <f t="shared" si="42"/>
        <v>88.753000000000085</v>
      </c>
      <c r="F60" s="12">
        <f t="shared" si="42"/>
        <v>73.35799999999999</v>
      </c>
      <c r="G60" s="12">
        <f t="shared" si="42"/>
        <v>116.982</v>
      </c>
      <c r="H60" s="12">
        <f t="shared" si="42"/>
        <v>133.71400000000008</v>
      </c>
      <c r="I60" s="12">
        <f t="shared" si="42"/>
        <v>90.53199999999994</v>
      </c>
      <c r="J60" s="12">
        <f t="shared" si="42"/>
        <v>81.785999999999973</v>
      </c>
      <c r="K60" s="12">
        <f t="shared" si="42"/>
        <v>112.38600000000007</v>
      </c>
      <c r="L60" s="12">
        <f t="shared" si="42"/>
        <v>134.87399999999985</v>
      </c>
      <c r="M60" s="12">
        <f t="shared" si="42"/>
        <v>135.87400000000002</v>
      </c>
      <c r="N60" s="12">
        <f t="shared" si="42"/>
        <v>100.72500000000007</v>
      </c>
      <c r="O60" s="12">
        <f t="shared" si="42"/>
        <v>120.5709999999999</v>
      </c>
      <c r="P60" s="13">
        <f>P12</f>
        <v>156.9070000000001</v>
      </c>
    </row>
    <row r="61" spans="3:16" x14ac:dyDescent="0.25">
      <c r="C61" s="1" t="s">
        <v>107</v>
      </c>
      <c r="D61" s="12">
        <v>122</v>
      </c>
      <c r="E61" s="12">
        <v>89</v>
      </c>
      <c r="F61" s="12">
        <v>73</v>
      </c>
      <c r="G61" s="12">
        <v>117</v>
      </c>
      <c r="H61" s="12">
        <v>134</v>
      </c>
      <c r="I61" s="12">
        <v>91</v>
      </c>
      <c r="J61" s="12">
        <v>82</v>
      </c>
      <c r="K61" s="12">
        <v>112</v>
      </c>
      <c r="L61" s="12">
        <v>135</v>
      </c>
      <c r="M61" s="12">
        <v>136</v>
      </c>
      <c r="N61" s="12">
        <v>101</v>
      </c>
      <c r="O61" s="12">
        <v>120</v>
      </c>
      <c r="P61" s="13">
        <v>157</v>
      </c>
    </row>
    <row r="62" spans="3:16" x14ac:dyDescent="0.25">
      <c r="C62" s="1" t="s">
        <v>108</v>
      </c>
      <c r="D62" s="12">
        <v>-33.200000000000003</v>
      </c>
      <c r="E62" s="12">
        <v>-34.935000000000002</v>
      </c>
      <c r="F62" s="12">
        <v>-1.6</v>
      </c>
      <c r="G62" s="12">
        <v>-1.4</v>
      </c>
      <c r="H62" s="12">
        <v>-38.470999999999997</v>
      </c>
      <c r="I62" s="12">
        <v>-34.792000000000002</v>
      </c>
      <c r="J62" s="12">
        <v>1.6</v>
      </c>
      <c r="K62" s="12">
        <v>-10.9</v>
      </c>
      <c r="L62" s="12">
        <v>-41.798999999999999</v>
      </c>
      <c r="M62" s="12">
        <v>-41.764000000000003</v>
      </c>
      <c r="N62" s="12">
        <v>0</v>
      </c>
      <c r="O62" s="12">
        <v>-9.5</v>
      </c>
      <c r="P62" s="13">
        <v>-49.381999999999998</v>
      </c>
    </row>
    <row r="63" spans="3:16" x14ac:dyDescent="0.25">
      <c r="C63" s="1" t="s">
        <v>109</v>
      </c>
      <c r="D63" s="12">
        <v>0</v>
      </c>
      <c r="E63" s="12">
        <v>-2.7E-2</v>
      </c>
      <c r="F63" s="12">
        <v>-7.4999999999999997E-2</v>
      </c>
      <c r="G63" s="12">
        <v>0</v>
      </c>
      <c r="H63" s="12">
        <v>-3.0000000000000001E-3</v>
      </c>
      <c r="I63" s="12">
        <v>3.4000000000000002E-2</v>
      </c>
      <c r="J63" s="12">
        <v>-5.8999999999999997E-2</v>
      </c>
      <c r="K63" s="12">
        <v>3.7999999999999999E-2</v>
      </c>
      <c r="L63" s="12">
        <v>-0.03</v>
      </c>
      <c r="M63" s="12">
        <v>-1.2E-2</v>
      </c>
      <c r="N63" s="12">
        <v>-1.7000000000000001E-2</v>
      </c>
      <c r="O63" s="12">
        <v>-3.7999999999999999E-2</v>
      </c>
      <c r="P63" s="13">
        <v>-6.8000000000000005E-2</v>
      </c>
    </row>
    <row r="64" spans="3:16" x14ac:dyDescent="0.25">
      <c r="C64" s="1" t="s">
        <v>110</v>
      </c>
      <c r="D64" s="12">
        <v>16.899999999999999</v>
      </c>
      <c r="E64" s="12">
        <v>17.821000000000002</v>
      </c>
      <c r="F64" s="12">
        <v>17.998999999999999</v>
      </c>
      <c r="G64" s="12">
        <v>18</v>
      </c>
      <c r="H64" s="12">
        <v>19.452999999999999</v>
      </c>
      <c r="I64" s="12">
        <v>19.5</v>
      </c>
      <c r="J64" s="12">
        <v>19.795000000000002</v>
      </c>
      <c r="K64" s="12">
        <v>20.399999999999999</v>
      </c>
      <c r="L64" s="12">
        <v>23.21</v>
      </c>
      <c r="M64" s="12">
        <v>23.4</v>
      </c>
      <c r="N64" s="12">
        <v>23.471</v>
      </c>
      <c r="O64" s="12">
        <v>22.3</v>
      </c>
      <c r="P64" s="13">
        <v>22.225000000000001</v>
      </c>
    </row>
    <row r="65" spans="3:18" x14ac:dyDescent="0.25">
      <c r="C65" s="1" t="s">
        <v>111</v>
      </c>
      <c r="D65" s="12">
        <v>1.9</v>
      </c>
      <c r="E65" s="12">
        <v>1.9</v>
      </c>
      <c r="F65" s="12">
        <v>1.9750000000000001</v>
      </c>
      <c r="G65" s="12">
        <v>2</v>
      </c>
      <c r="H65" s="12">
        <v>1.9</v>
      </c>
      <c r="I65" s="12">
        <v>3.3</v>
      </c>
      <c r="J65" s="12">
        <v>5.66</v>
      </c>
      <c r="K65" s="12">
        <v>6.8</v>
      </c>
      <c r="L65" s="12">
        <v>7</v>
      </c>
      <c r="M65" s="12">
        <v>5.9</v>
      </c>
      <c r="N65" s="12">
        <v>5.9</v>
      </c>
      <c r="O65" s="12">
        <v>8.9</v>
      </c>
      <c r="P65" s="13">
        <v>2.194</v>
      </c>
    </row>
    <row r="66" spans="3:18" x14ac:dyDescent="0.25">
      <c r="C66" s="1" t="s">
        <v>112</v>
      </c>
      <c r="D66" s="12">
        <v>4.0999999999999996</v>
      </c>
      <c r="E66" s="12">
        <v>5.6989999999999998</v>
      </c>
      <c r="F66" s="12">
        <v>5.0999999999999996</v>
      </c>
      <c r="G66" s="12">
        <v>3.9</v>
      </c>
      <c r="H66" s="12">
        <v>4.3</v>
      </c>
      <c r="I66" s="12">
        <v>6.5</v>
      </c>
      <c r="J66" s="12">
        <v>4.6669999999999998</v>
      </c>
      <c r="K66" s="12">
        <v>3.6</v>
      </c>
      <c r="L66" s="12">
        <v>4.5999999999999996</v>
      </c>
      <c r="M66" s="12">
        <v>4.4989999999999997</v>
      </c>
      <c r="N66" s="12">
        <v>4.3550000000000004</v>
      </c>
      <c r="O66" s="12">
        <v>4.3</v>
      </c>
      <c r="P66" s="13">
        <v>4.7919999999999998</v>
      </c>
    </row>
    <row r="67" spans="3:18" x14ac:dyDescent="0.25">
      <c r="C67" s="1" t="s">
        <v>113</v>
      </c>
      <c r="D67" s="12">
        <v>-101.26</v>
      </c>
      <c r="E67" s="12">
        <v>25.5</v>
      </c>
      <c r="F67" s="12">
        <v>-37.343000000000004</v>
      </c>
      <c r="G67" s="12">
        <v>-48.2</v>
      </c>
      <c r="H67" s="12">
        <v>-96.122</v>
      </c>
      <c r="I67" s="12">
        <v>91.692999999999998</v>
      </c>
      <c r="J67" s="12">
        <v>-166.065</v>
      </c>
      <c r="K67" s="12">
        <v>152</v>
      </c>
      <c r="L67" s="12">
        <v>-143.92599999999999</v>
      </c>
      <c r="M67" s="12">
        <v>-17.975999999999999</v>
      </c>
      <c r="N67" s="12">
        <v>75</v>
      </c>
      <c r="O67" s="12">
        <v>288</v>
      </c>
      <c r="P67" s="13">
        <v>-256.04300000000001</v>
      </c>
    </row>
    <row r="68" spans="3:18" x14ac:dyDescent="0.25">
      <c r="C68" s="1" t="s">
        <v>114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-5.9</v>
      </c>
      <c r="M68" s="12">
        <v>0</v>
      </c>
      <c r="N68" s="12"/>
      <c r="O68" s="1">
        <v>0</v>
      </c>
      <c r="P68" s="13">
        <v>-7</v>
      </c>
    </row>
    <row r="69" spans="3:18" x14ac:dyDescent="0.25">
      <c r="C69" s="1" t="s">
        <v>115</v>
      </c>
      <c r="D69" s="12">
        <v>79.399000000000001</v>
      </c>
      <c r="E69" s="12">
        <v>-68</v>
      </c>
      <c r="F69" s="12">
        <v>-43.177</v>
      </c>
      <c r="G69" s="12">
        <v>86.8</v>
      </c>
      <c r="H69" s="12">
        <v>108.336</v>
      </c>
      <c r="I69" s="12">
        <v>-52.920999999999999</v>
      </c>
      <c r="J69" s="12">
        <v>-64.766999999999996</v>
      </c>
      <c r="K69" s="12">
        <v>104.3</v>
      </c>
      <c r="L69" s="12">
        <v>85.753</v>
      </c>
      <c r="M69" s="12">
        <v>-1.6</v>
      </c>
      <c r="N69" s="12">
        <v>-68.882000000000005</v>
      </c>
      <c r="O69" s="12">
        <v>117.69499999999999</v>
      </c>
      <c r="P69" s="13">
        <v>91.756</v>
      </c>
    </row>
    <row r="70" spans="3:18" x14ac:dyDescent="0.25">
      <c r="C70" s="4" t="s">
        <v>80</v>
      </c>
      <c r="D70" s="10">
        <f t="shared" ref="D70:N70" si="43">SUM(D61:D69)</f>
        <v>89.838999999999984</v>
      </c>
      <c r="E70" s="10">
        <f t="shared" si="43"/>
        <v>36.957999999999998</v>
      </c>
      <c r="F70" s="10">
        <f t="shared" si="43"/>
        <v>15.878999999999984</v>
      </c>
      <c r="G70" s="10">
        <f t="shared" si="43"/>
        <v>178.1</v>
      </c>
      <c r="H70" s="10">
        <f>SUM(H61:H69)</f>
        <v>133.393</v>
      </c>
      <c r="I70" s="10">
        <f t="shared" si="43"/>
        <v>124.31399999999999</v>
      </c>
      <c r="J70" s="10">
        <f t="shared" si="43"/>
        <v>-117.169</v>
      </c>
      <c r="K70" s="10">
        <f t="shared" si="43"/>
        <v>388.238</v>
      </c>
      <c r="L70" s="10">
        <f t="shared" si="43"/>
        <v>63.908000000000008</v>
      </c>
      <c r="M70" s="10">
        <f t="shared" si="43"/>
        <v>108.447</v>
      </c>
      <c r="N70" s="10">
        <f t="shared" si="43"/>
        <v>140.827</v>
      </c>
      <c r="O70" s="10">
        <f>SUM(O61:O69)</f>
        <v>551.65699999999993</v>
      </c>
      <c r="P70" s="11">
        <f>SUM(P61:P69)</f>
        <v>-34.52600000000001</v>
      </c>
      <c r="Q70" s="4"/>
      <c r="R70" s="4"/>
    </row>
    <row r="71" spans="3:18" x14ac:dyDescent="0.25"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3"/>
    </row>
    <row r="72" spans="3:18" x14ac:dyDescent="0.25">
      <c r="C72" s="1" t="s">
        <v>116</v>
      </c>
      <c r="D72" s="12">
        <v>0</v>
      </c>
      <c r="E72" s="12">
        <v>2.7E-2</v>
      </c>
      <c r="F72" s="12">
        <v>7.4999999999999997E-2</v>
      </c>
      <c r="G72" s="12">
        <v>7.1999999999999995E-2</v>
      </c>
      <c r="H72" s="12">
        <v>0</v>
      </c>
      <c r="I72" s="12">
        <v>3.6999999999999998E-2</v>
      </c>
      <c r="J72" s="12">
        <v>5.8000000000000003E-2</v>
      </c>
      <c r="K72" s="12">
        <v>-3.2000000000000001E-2</v>
      </c>
      <c r="L72" s="12">
        <v>3.4000000000000002E-2</v>
      </c>
      <c r="M72" s="12">
        <v>6.5000000000000002E-2</v>
      </c>
      <c r="N72" s="12">
        <v>3.5000000000000003E-2</v>
      </c>
      <c r="O72" s="12">
        <v>0.05</v>
      </c>
      <c r="P72" s="13">
        <v>7.8E-2</v>
      </c>
    </row>
    <row r="73" spans="3:18" x14ac:dyDescent="0.25">
      <c r="C73" s="1" t="s">
        <v>117</v>
      </c>
      <c r="D73" s="12">
        <f>-8.7-4.1</f>
        <v>-12.799999999999999</v>
      </c>
      <c r="E73" s="12">
        <f>-7.8-3.6</f>
        <v>-11.4</v>
      </c>
      <c r="F73" s="12">
        <f>-4.5-3.3</f>
        <v>-7.8</v>
      </c>
      <c r="G73" s="12">
        <f>-5.5-3.2</f>
        <v>-8.6999999999999993</v>
      </c>
      <c r="H73" s="12">
        <f>-4.4-5.7</f>
        <v>-10.100000000000001</v>
      </c>
      <c r="I73" s="12">
        <f>-8-6.7</f>
        <v>-14.7</v>
      </c>
      <c r="J73" s="12">
        <f>-6.783-5</f>
        <v>-11.783000000000001</v>
      </c>
      <c r="K73" s="12">
        <f>-9.7-5.16-17.8</f>
        <v>-32.659999999999997</v>
      </c>
      <c r="L73" s="12">
        <v>-9.4600000000000009</v>
      </c>
      <c r="M73" s="12">
        <f>-9.9-2.3</f>
        <v>-12.2</v>
      </c>
      <c r="N73" s="12">
        <f>-3.959-1.5</f>
        <v>-5.4589999999999996</v>
      </c>
      <c r="O73" s="12">
        <f>-6.4-4.9</f>
        <v>-11.3</v>
      </c>
      <c r="P73" s="13">
        <v>-3.3340000000000001</v>
      </c>
    </row>
    <row r="74" spans="3:18" x14ac:dyDescent="0.25">
      <c r="C74" s="1" t="s">
        <v>118</v>
      </c>
      <c r="D74" s="12">
        <v>0</v>
      </c>
      <c r="E74" s="12">
        <v>0</v>
      </c>
      <c r="F74" s="12">
        <v>0</v>
      </c>
      <c r="G74" s="12">
        <v>0.92800000000000005</v>
      </c>
      <c r="H74" s="12">
        <v>0</v>
      </c>
      <c r="I74" s="12">
        <v>0</v>
      </c>
      <c r="J74" s="12">
        <v>0</v>
      </c>
      <c r="K74" s="12">
        <v>0</v>
      </c>
      <c r="L74" s="12">
        <v>-1.97</v>
      </c>
      <c r="M74" s="12">
        <v>0</v>
      </c>
      <c r="N74" s="12">
        <v>0</v>
      </c>
      <c r="O74" s="12">
        <v>-0.83</v>
      </c>
      <c r="P74" s="13">
        <v>0</v>
      </c>
    </row>
    <row r="75" spans="3:18" x14ac:dyDescent="0.25">
      <c r="C75" s="1" t="s">
        <v>119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6</v>
      </c>
      <c r="M75" s="12">
        <v>0</v>
      </c>
      <c r="N75" s="12">
        <v>0</v>
      </c>
      <c r="O75" s="1">
        <v>0</v>
      </c>
      <c r="P75" s="13">
        <v>7.2</v>
      </c>
    </row>
    <row r="76" spans="3:18" x14ac:dyDescent="0.25">
      <c r="C76" s="4" t="s">
        <v>81</v>
      </c>
      <c r="D76" s="10">
        <f t="shared" ref="D76:N76" si="44">SUM(D72:D75)</f>
        <v>-12.799999999999999</v>
      </c>
      <c r="E76" s="10">
        <f t="shared" si="44"/>
        <v>-11.373000000000001</v>
      </c>
      <c r="F76" s="10">
        <f t="shared" si="44"/>
        <v>-7.7249999999999996</v>
      </c>
      <c r="G76" s="10">
        <f t="shared" si="44"/>
        <v>-7.7</v>
      </c>
      <c r="H76" s="10">
        <f t="shared" si="44"/>
        <v>-10.100000000000001</v>
      </c>
      <c r="I76" s="10">
        <f t="shared" si="44"/>
        <v>-14.662999999999998</v>
      </c>
      <c r="J76" s="10">
        <f t="shared" si="44"/>
        <v>-11.725000000000001</v>
      </c>
      <c r="K76" s="10">
        <f t="shared" si="44"/>
        <v>-32.691999999999993</v>
      </c>
      <c r="L76" s="10">
        <f t="shared" si="44"/>
        <v>-5.3960000000000008</v>
      </c>
      <c r="M76" s="10">
        <f t="shared" si="44"/>
        <v>-12.135</v>
      </c>
      <c r="N76" s="10">
        <f t="shared" si="44"/>
        <v>-5.4239999999999995</v>
      </c>
      <c r="O76" s="10">
        <f>SUM(O72:O74)</f>
        <v>-12.08</v>
      </c>
      <c r="P76" s="11">
        <f>SUM(P72:P75)</f>
        <v>3.944</v>
      </c>
      <c r="Q76" s="4"/>
    </row>
    <row r="77" spans="3:18" x14ac:dyDescent="0.25"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3"/>
    </row>
    <row r="78" spans="3:18" x14ac:dyDescent="0.25">
      <c r="C78" s="1" t="s">
        <v>120</v>
      </c>
      <c r="D78" s="12">
        <v>-32.799999999999997</v>
      </c>
      <c r="E78" s="12">
        <v>-19.617000000000001</v>
      </c>
      <c r="F78" s="12">
        <v>-8.6999999999999993</v>
      </c>
      <c r="G78" s="12">
        <v>-1</v>
      </c>
      <c r="H78" s="12">
        <v>-15.8</v>
      </c>
      <c r="I78" s="12">
        <v>-36.295999999999999</v>
      </c>
      <c r="J78" s="12">
        <v>-10.853</v>
      </c>
      <c r="K78" s="12">
        <v>-0.57199999999999995</v>
      </c>
      <c r="L78" s="12">
        <v>-21.634</v>
      </c>
      <c r="M78" s="12">
        <v>-28.550999999999998</v>
      </c>
      <c r="N78" s="12">
        <v>0</v>
      </c>
      <c r="O78" s="12">
        <v>0</v>
      </c>
      <c r="P78" s="13">
        <v>-43.679000000000002</v>
      </c>
    </row>
    <row r="79" spans="3:18" x14ac:dyDescent="0.25">
      <c r="C79" s="1" t="s">
        <v>121</v>
      </c>
      <c r="D79" s="12">
        <v>-16.709</v>
      </c>
      <c r="E79" s="12">
        <v>0</v>
      </c>
      <c r="F79" s="12">
        <v>-9.77</v>
      </c>
      <c r="G79" s="12">
        <v>25.277999999999999</v>
      </c>
      <c r="H79" s="12">
        <v>0</v>
      </c>
      <c r="I79" s="12">
        <v>0</v>
      </c>
      <c r="J79" s="12">
        <v>0</v>
      </c>
      <c r="K79" s="12">
        <v>28.71</v>
      </c>
      <c r="L79" s="12">
        <v>0</v>
      </c>
      <c r="M79" s="12">
        <v>0</v>
      </c>
      <c r="N79" s="12">
        <v>0</v>
      </c>
      <c r="O79" s="12">
        <v>31.2</v>
      </c>
      <c r="P79" s="13">
        <v>0</v>
      </c>
    </row>
    <row r="80" spans="3:18" x14ac:dyDescent="0.25">
      <c r="C80" s="1" t="s">
        <v>122</v>
      </c>
      <c r="D80" s="12">
        <v>0</v>
      </c>
      <c r="E80" s="12">
        <v>-9</v>
      </c>
      <c r="F80" s="12">
        <v>0</v>
      </c>
      <c r="G80" s="12">
        <v>-16</v>
      </c>
      <c r="H80" s="12">
        <v>-17.3</v>
      </c>
      <c r="I80" s="12">
        <v>-16</v>
      </c>
      <c r="J80" s="12">
        <v>-16.792000000000002</v>
      </c>
      <c r="K80" s="12">
        <v>-19</v>
      </c>
      <c r="L80" s="12">
        <v>-5.8369999999999997</v>
      </c>
      <c r="M80" s="12">
        <v>-20.234999999999999</v>
      </c>
      <c r="N80" s="12">
        <v>-25</v>
      </c>
      <c r="O80" s="12">
        <v>-19</v>
      </c>
      <c r="P80" s="13">
        <v>-5.6</v>
      </c>
    </row>
    <row r="81" spans="3:17" x14ac:dyDescent="0.25">
      <c r="C81" s="1" t="s">
        <v>123</v>
      </c>
      <c r="D81" s="12">
        <v>0</v>
      </c>
      <c r="E81" s="12">
        <v>0</v>
      </c>
      <c r="F81" s="12">
        <v>0</v>
      </c>
      <c r="G81" s="12">
        <v>-50.862000000000002</v>
      </c>
      <c r="H81" s="12">
        <v>0</v>
      </c>
      <c r="I81" s="12">
        <v>-259.5</v>
      </c>
      <c r="J81" s="12">
        <v>0</v>
      </c>
      <c r="K81" s="12">
        <v>-57</v>
      </c>
      <c r="L81" s="12">
        <v>-13.670999999999999</v>
      </c>
      <c r="M81" s="12">
        <v>-269.88200000000001</v>
      </c>
      <c r="N81" s="12">
        <v>0</v>
      </c>
      <c r="O81" s="12">
        <v>-103</v>
      </c>
      <c r="P81" s="13">
        <v>-13.1</v>
      </c>
    </row>
    <row r="82" spans="3:17" x14ac:dyDescent="0.25">
      <c r="C82" s="1" t="s">
        <v>124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3">
        <v>0</v>
      </c>
    </row>
    <row r="83" spans="3:17" x14ac:dyDescent="0.25">
      <c r="C83" s="1" t="s">
        <v>125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-0.16800000000000001</v>
      </c>
      <c r="M83" s="12">
        <v>0</v>
      </c>
      <c r="N83" s="12">
        <v>0</v>
      </c>
      <c r="O83" s="12">
        <v>0</v>
      </c>
      <c r="P83" s="13">
        <v>-0.17199999999999999</v>
      </c>
    </row>
    <row r="84" spans="3:17" x14ac:dyDescent="0.25">
      <c r="C84" s="1" t="s">
        <v>126</v>
      </c>
      <c r="D84" s="12">
        <v>0</v>
      </c>
      <c r="E84" s="12">
        <v>-238.74100000000001</v>
      </c>
      <c r="F84" s="12">
        <v>0</v>
      </c>
      <c r="G84" s="12">
        <v>-1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3">
        <v>0</v>
      </c>
    </row>
    <row r="85" spans="3:17" x14ac:dyDescent="0.25">
      <c r="C85" s="4" t="s">
        <v>82</v>
      </c>
      <c r="D85" s="10">
        <f t="shared" ref="D85:O85" si="45">SUM(D78:D84)</f>
        <v>-49.509</v>
      </c>
      <c r="E85" s="10">
        <f t="shared" si="45"/>
        <v>-267.358</v>
      </c>
      <c r="F85" s="10">
        <f t="shared" si="45"/>
        <v>-18.47</v>
      </c>
      <c r="G85" s="10">
        <f t="shared" si="45"/>
        <v>-43.584000000000003</v>
      </c>
      <c r="H85" s="10">
        <f t="shared" si="45"/>
        <v>-33.1</v>
      </c>
      <c r="I85" s="10">
        <f t="shared" si="45"/>
        <v>-311.79599999999999</v>
      </c>
      <c r="J85" s="10">
        <f t="shared" si="45"/>
        <v>-27.645000000000003</v>
      </c>
      <c r="K85" s="10">
        <f t="shared" si="45"/>
        <v>-47.861999999999995</v>
      </c>
      <c r="L85" s="10">
        <f t="shared" si="45"/>
        <v>-41.309999999999995</v>
      </c>
      <c r="M85" s="10">
        <f t="shared" si="45"/>
        <v>-318.66800000000001</v>
      </c>
      <c r="N85" s="10">
        <f t="shared" si="45"/>
        <v>-25</v>
      </c>
      <c r="O85" s="10">
        <f t="shared" si="45"/>
        <v>-90.8</v>
      </c>
      <c r="P85" s="11">
        <f>SUM(P78:P84)</f>
        <v>-62.551000000000002</v>
      </c>
      <c r="Q85" s="4"/>
    </row>
    <row r="86" spans="3:17" x14ac:dyDescent="0.25"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3"/>
    </row>
    <row r="87" spans="3:17" x14ac:dyDescent="0.25">
      <c r="C87" s="1" t="s">
        <v>127</v>
      </c>
      <c r="D87" s="12">
        <f t="shared" ref="D87:O87" si="46">D70+D76+D85</f>
        <v>27.529999999999987</v>
      </c>
      <c r="E87" s="12">
        <f t="shared" si="46"/>
        <v>-241.773</v>
      </c>
      <c r="F87" s="12">
        <f t="shared" si="46"/>
        <v>-10.316000000000015</v>
      </c>
      <c r="G87" s="12">
        <f t="shared" si="46"/>
        <v>126.816</v>
      </c>
      <c r="H87" s="12">
        <f t="shared" si="46"/>
        <v>90.193000000000012</v>
      </c>
      <c r="I87" s="12">
        <f t="shared" si="46"/>
        <v>-202.14499999999998</v>
      </c>
      <c r="J87" s="12">
        <f t="shared" si="46"/>
        <v>-156.53900000000002</v>
      </c>
      <c r="K87" s="12">
        <f t="shared" si="46"/>
        <v>307.68399999999997</v>
      </c>
      <c r="L87" s="12">
        <f t="shared" si="46"/>
        <v>17.202000000000012</v>
      </c>
      <c r="M87" s="12">
        <f t="shared" si="46"/>
        <v>-222.35599999999999</v>
      </c>
      <c r="N87" s="12">
        <f t="shared" si="46"/>
        <v>110.40299999999999</v>
      </c>
      <c r="O87" s="12">
        <f t="shared" si="46"/>
        <v>448.77699999999987</v>
      </c>
      <c r="P87" s="13">
        <f>P70+P76+P85</f>
        <v>-93.13300000000001</v>
      </c>
    </row>
    <row r="88" spans="3:17" x14ac:dyDescent="0.25"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3"/>
    </row>
    <row r="89" spans="3:17" x14ac:dyDescent="0.25">
      <c r="C89" s="1" t="s">
        <v>128</v>
      </c>
      <c r="D89" s="12">
        <f t="shared" ref="D89:O89" si="47">D70+D73</f>
        <v>77.038999999999987</v>
      </c>
      <c r="E89" s="12">
        <f t="shared" si="47"/>
        <v>25.558</v>
      </c>
      <c r="F89" s="12">
        <f t="shared" si="47"/>
        <v>8.0789999999999829</v>
      </c>
      <c r="G89" s="12">
        <f t="shared" si="47"/>
        <v>169.4</v>
      </c>
      <c r="H89" s="12">
        <f t="shared" si="47"/>
        <v>123.29300000000001</v>
      </c>
      <c r="I89" s="12">
        <f t="shared" si="47"/>
        <v>109.61399999999999</v>
      </c>
      <c r="J89" s="12">
        <f t="shared" si="47"/>
        <v>-128.952</v>
      </c>
      <c r="K89" s="12">
        <f t="shared" si="47"/>
        <v>355.57799999999997</v>
      </c>
      <c r="L89" s="12">
        <f t="shared" si="47"/>
        <v>54.448000000000008</v>
      </c>
      <c r="M89" s="12">
        <f t="shared" si="47"/>
        <v>96.247</v>
      </c>
      <c r="N89" s="12">
        <f t="shared" si="47"/>
        <v>135.36799999999999</v>
      </c>
      <c r="O89" s="12">
        <f t="shared" si="47"/>
        <v>540.35699999999997</v>
      </c>
      <c r="P89" s="13">
        <f>P70+P73</f>
        <v>-37.860000000000014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69182-6369-844B-8017-70A83E802B6D}">
  <dimension ref="E5:H7"/>
  <sheetViews>
    <sheetView showGridLines="0" workbookViewId="0">
      <selection activeCell="D11" sqref="D11"/>
    </sheetView>
  </sheetViews>
  <sheetFormatPr baseColWidth="10" defaultRowHeight="16" x14ac:dyDescent="0.2"/>
  <cols>
    <col min="5" max="5" width="44.1640625" bestFit="1" customWidth="1"/>
    <col min="6" max="8" width="27.83203125" bestFit="1" customWidth="1"/>
  </cols>
  <sheetData>
    <row r="5" spans="5:8" ht="92" x14ac:dyDescent="1">
      <c r="E5" s="31"/>
      <c r="F5" s="31">
        <v>2025</v>
      </c>
      <c r="G5" s="31">
        <v>2026</v>
      </c>
      <c r="H5" s="31">
        <v>2027</v>
      </c>
    </row>
    <row r="6" spans="5:8" ht="92" x14ac:dyDescent="1">
      <c r="E6" s="31" t="s">
        <v>84</v>
      </c>
      <c r="F6" s="32">
        <f>Modell!$B$9/Modell!Y10</f>
        <v>13.243850684807921</v>
      </c>
      <c r="G6" s="32">
        <f>Modell!$B$9/Modell!Z10</f>
        <v>11.507271400559317</v>
      </c>
      <c r="H6" s="32">
        <f>Modell!$B$9/Modell!AA10</f>
        <v>10.071573481689303</v>
      </c>
    </row>
    <row r="7" spans="5:8" ht="92" x14ac:dyDescent="1">
      <c r="E7" s="31" t="s">
        <v>85</v>
      </c>
      <c r="F7" s="32">
        <f>Modell!$B$4/Modell!Y16</f>
        <v>18.663670678527961</v>
      </c>
      <c r="G7" s="32">
        <f>Modell!$B$4/Modell!Z16</f>
        <v>16.216425942859921</v>
      </c>
      <c r="H7" s="32">
        <f>Modell!$B$4/Modell!AA16</f>
        <v>14.19319313924828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Info</vt:lpstr>
      <vt:lpstr>Modell</vt:lpstr>
      <vt:lpstr>Nøkkeltall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 hodt</dc:creator>
  <cp:lastModifiedBy>august hodt</cp:lastModifiedBy>
  <dcterms:created xsi:type="dcterms:W3CDTF">2025-01-03T17:24:57Z</dcterms:created>
  <dcterms:modified xsi:type="dcterms:W3CDTF">2025-06-24T17:08:00Z</dcterms:modified>
</cp:coreProperties>
</file>