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184C39F2-68EE-F34F-B317-05A93BA45DD0}" xr6:coauthVersionLast="47" xr6:coauthVersionMax="47" xr10:uidLastSave="{00000000-0000-0000-0000-000000000000}"/>
  <bookViews>
    <workbookView xWindow="25740" yWindow="500" windowWidth="25460" windowHeight="26740" activeTab="1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2" l="1"/>
  <c r="R18" i="2"/>
  <c r="S18" i="2"/>
  <c r="Q20" i="2"/>
  <c r="R20" i="2"/>
  <c r="S20" i="2"/>
  <c r="Q21" i="2"/>
  <c r="R21" i="2"/>
  <c r="S21" i="2"/>
  <c r="Q22" i="2"/>
  <c r="R22" i="2"/>
  <c r="S22" i="2"/>
  <c r="P20" i="2"/>
  <c r="R20" i="4"/>
  <c r="V30" i="4"/>
  <c r="V29" i="4"/>
  <c r="V28" i="4"/>
  <c r="V26" i="4"/>
  <c r="V27" i="4" s="1"/>
  <c r="V24" i="4"/>
  <c r="V25" i="4" s="1"/>
  <c r="V23" i="4"/>
  <c r="V22" i="4"/>
  <c r="V21" i="4"/>
  <c r="V19" i="4"/>
  <c r="V20" i="4" s="1"/>
  <c r="V17" i="4"/>
  <c r="V16" i="4"/>
  <c r="V15" i="4"/>
  <c r="V13" i="4"/>
  <c r="V14" i="4" s="1"/>
  <c r="V11" i="4"/>
  <c r="V12" i="4" s="1"/>
  <c r="V10" i="4"/>
  <c r="V9" i="4"/>
  <c r="V8" i="4"/>
  <c r="V6" i="4"/>
  <c r="V7" i="4" s="1"/>
  <c r="L30" i="4"/>
  <c r="L29" i="4"/>
  <c r="L28" i="4"/>
  <c r="L26" i="4"/>
  <c r="L27" i="4" s="1"/>
  <c r="L24" i="4"/>
  <c r="L25" i="4" s="1"/>
  <c r="L23" i="4"/>
  <c r="L22" i="4"/>
  <c r="L21" i="4"/>
  <c r="L19" i="4"/>
  <c r="Q30" i="4"/>
  <c r="Q29" i="4"/>
  <c r="Q28" i="4"/>
  <c r="Q26" i="4"/>
  <c r="Q27" i="4" s="1"/>
  <c r="Q24" i="4"/>
  <c r="Q25" i="4" s="1"/>
  <c r="Q23" i="4"/>
  <c r="Q22" i="4"/>
  <c r="Q21" i="4"/>
  <c r="Q19" i="4"/>
  <c r="Q20" i="4" s="1"/>
  <c r="Q7" i="4"/>
  <c r="Q17" i="4"/>
  <c r="Q16" i="4"/>
  <c r="Q15" i="4"/>
  <c r="Q13" i="4"/>
  <c r="Q14" i="4" s="1"/>
  <c r="Q11" i="4"/>
  <c r="Q12" i="4" s="1"/>
  <c r="Q10" i="4"/>
  <c r="Q9" i="4"/>
  <c r="Q8" i="4"/>
  <c r="Q6" i="4"/>
  <c r="L16" i="4"/>
  <c r="L17" i="4"/>
  <c r="L15" i="4"/>
  <c r="L14" i="4"/>
  <c r="L12" i="4"/>
  <c r="L13" i="4"/>
  <c r="L11" i="4"/>
  <c r="L10" i="4"/>
  <c r="L9" i="4"/>
  <c r="L8" i="4"/>
  <c r="L6" i="4"/>
  <c r="AB20" i="2"/>
  <c r="AC20" i="2"/>
  <c r="AD20" i="2"/>
  <c r="AE20" i="2"/>
  <c r="AF20" i="2"/>
  <c r="AG20" i="2"/>
  <c r="AH20" i="2"/>
  <c r="AI20" i="2"/>
  <c r="AJ20" i="2"/>
  <c r="AK20" i="2"/>
  <c r="W20" i="2"/>
  <c r="X20" i="2"/>
  <c r="Y20" i="2"/>
  <c r="Z20" i="2"/>
  <c r="AA2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V10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V9" i="2"/>
  <c r="H20" i="2"/>
  <c r="I20" i="2"/>
  <c r="J20" i="2"/>
  <c r="K20" i="2"/>
  <c r="L20" i="2"/>
  <c r="M20" i="2"/>
  <c r="N20" i="2"/>
  <c r="O20" i="2"/>
  <c r="D10" i="2"/>
  <c r="E10" i="2"/>
  <c r="F10" i="2"/>
  <c r="G10" i="2"/>
  <c r="H10" i="2"/>
  <c r="I10" i="2"/>
  <c r="J10" i="2"/>
  <c r="K10" i="2"/>
  <c r="L10" i="2"/>
  <c r="M10" i="2"/>
  <c r="N10" i="2"/>
  <c r="O10" i="2"/>
  <c r="D9" i="2"/>
  <c r="E9" i="2"/>
  <c r="F9" i="2"/>
  <c r="G9" i="2"/>
  <c r="H9" i="2"/>
  <c r="I9" i="2"/>
  <c r="J9" i="2"/>
  <c r="K9" i="2"/>
  <c r="L9" i="2"/>
  <c r="M9" i="2"/>
  <c r="N9" i="2"/>
  <c r="O9" i="2"/>
  <c r="P10" i="2"/>
  <c r="P9" i="2"/>
  <c r="N21" i="2"/>
  <c r="P58" i="2" l="1"/>
  <c r="P59" i="2"/>
  <c r="B8" i="2"/>
  <c r="P29" i="2"/>
  <c r="R7" i="4"/>
  <c r="P12" i="2"/>
  <c r="P72" i="2"/>
  <c r="P63" i="2"/>
  <c r="P50" i="2"/>
  <c r="P39" i="2"/>
  <c r="P35" i="2"/>
  <c r="P21" i="2"/>
  <c r="P18" i="2"/>
  <c r="P60" i="2" l="1"/>
  <c r="P74" i="2"/>
  <c r="P51" i="2"/>
  <c r="P22" i="2"/>
  <c r="P76" i="2"/>
  <c r="P54" i="2"/>
  <c r="P14" i="2"/>
  <c r="P16" i="2" s="1"/>
  <c r="Z66" i="2" l="1"/>
  <c r="Z67" i="2"/>
  <c r="Z68" i="2"/>
  <c r="Z69" i="2"/>
  <c r="Z70" i="2"/>
  <c r="Z71" i="2"/>
  <c r="Z65" i="2"/>
  <c r="Z62" i="2"/>
  <c r="Z63" i="2" s="1"/>
  <c r="Z56" i="2"/>
  <c r="Z57" i="2"/>
  <c r="Z55" i="2"/>
  <c r="Y59" i="2"/>
  <c r="Y60" i="2" s="1"/>
  <c r="Y76" i="2" s="1"/>
  <c r="X62" i="2"/>
  <c r="X63" i="2" s="1"/>
  <c r="X59" i="2"/>
  <c r="X60" i="2" s="1"/>
  <c r="V66" i="2"/>
  <c r="V72" i="2" s="1"/>
  <c r="V59" i="2"/>
  <c r="V60" i="2" s="1"/>
  <c r="W59" i="2"/>
  <c r="W60" i="2" s="1"/>
  <c r="V21" i="2"/>
  <c r="W21" i="2"/>
  <c r="W18" i="2"/>
  <c r="V12" i="2"/>
  <c r="V54" i="2" s="1"/>
  <c r="W12" i="2"/>
  <c r="W14" i="2" s="1"/>
  <c r="W16" i="2" s="1"/>
  <c r="Y72" i="2"/>
  <c r="X72" i="2"/>
  <c r="W72" i="2"/>
  <c r="V63" i="2"/>
  <c r="W63" i="2"/>
  <c r="Y63" i="2"/>
  <c r="D59" i="2"/>
  <c r="D60" i="2" s="1"/>
  <c r="E59" i="2"/>
  <c r="E60" i="2" s="1"/>
  <c r="E76" i="2" s="1"/>
  <c r="F59" i="2"/>
  <c r="F60" i="2" s="1"/>
  <c r="F76" i="2" s="1"/>
  <c r="G59" i="2"/>
  <c r="G60" i="2" s="1"/>
  <c r="G76" i="2" s="1"/>
  <c r="H59" i="2"/>
  <c r="H60" i="2" s="1"/>
  <c r="H76" i="2" s="1"/>
  <c r="L59" i="2"/>
  <c r="L60" i="2" s="1"/>
  <c r="L76" i="2" s="1"/>
  <c r="I59" i="2"/>
  <c r="I60" i="2" s="1"/>
  <c r="I76" i="2" s="1"/>
  <c r="M59" i="2"/>
  <c r="M60" i="2" s="1"/>
  <c r="M76" i="2" s="1"/>
  <c r="J59" i="2"/>
  <c r="J60" i="2" s="1"/>
  <c r="J76" i="2" s="1"/>
  <c r="N59" i="2"/>
  <c r="N58" i="2"/>
  <c r="K59" i="2"/>
  <c r="K60" i="2" s="1"/>
  <c r="K76" i="2" s="1"/>
  <c r="D72" i="2"/>
  <c r="E72" i="2"/>
  <c r="F72" i="2"/>
  <c r="G72" i="2"/>
  <c r="H72" i="2"/>
  <c r="I72" i="2"/>
  <c r="J72" i="2"/>
  <c r="K72" i="2"/>
  <c r="L72" i="2"/>
  <c r="M72" i="2"/>
  <c r="N72" i="2"/>
  <c r="D63" i="2"/>
  <c r="E63" i="2"/>
  <c r="F63" i="2"/>
  <c r="G63" i="2"/>
  <c r="H63" i="2"/>
  <c r="I63" i="2"/>
  <c r="J63" i="2"/>
  <c r="K63" i="2"/>
  <c r="L63" i="2"/>
  <c r="M63" i="2"/>
  <c r="N63" i="2"/>
  <c r="O72" i="2"/>
  <c r="O63" i="2"/>
  <c r="O59" i="2"/>
  <c r="O60" i="2" s="1"/>
  <c r="O76" i="2" s="1"/>
  <c r="D50" i="2"/>
  <c r="E50" i="2"/>
  <c r="F50" i="2"/>
  <c r="G50" i="2"/>
  <c r="H50" i="2"/>
  <c r="I50" i="2"/>
  <c r="J50" i="2"/>
  <c r="K50" i="2"/>
  <c r="L50" i="2"/>
  <c r="M50" i="2"/>
  <c r="N50" i="2"/>
  <c r="D39" i="2"/>
  <c r="E39" i="2"/>
  <c r="F39" i="2"/>
  <c r="G39" i="2"/>
  <c r="H39" i="2"/>
  <c r="I39" i="2"/>
  <c r="J39" i="2"/>
  <c r="K39" i="2"/>
  <c r="L39" i="2"/>
  <c r="M39" i="2"/>
  <c r="N39" i="2"/>
  <c r="D35" i="2"/>
  <c r="E35" i="2"/>
  <c r="F35" i="2"/>
  <c r="G35" i="2"/>
  <c r="H35" i="2"/>
  <c r="I35" i="2"/>
  <c r="J35" i="2"/>
  <c r="K35" i="2"/>
  <c r="L35" i="2"/>
  <c r="M35" i="2"/>
  <c r="N35" i="2"/>
  <c r="P20" i="4"/>
  <c r="O21" i="2"/>
  <c r="O20" i="4"/>
  <c r="N20" i="4"/>
  <c r="M20" i="4"/>
  <c r="K20" i="4"/>
  <c r="J20" i="4"/>
  <c r="I7" i="4"/>
  <c r="J7" i="4"/>
  <c r="K7" i="4"/>
  <c r="M7" i="4"/>
  <c r="N7" i="4"/>
  <c r="O7" i="4"/>
  <c r="P7" i="4"/>
  <c r="W22" i="2" l="1"/>
  <c r="N60" i="2"/>
  <c r="V22" i="2"/>
  <c r="Z58" i="2"/>
  <c r="Z59" i="2"/>
  <c r="Z60" i="2" s="1"/>
  <c r="Z76" i="2" s="1"/>
  <c r="X76" i="2"/>
  <c r="Z72" i="2"/>
  <c r="Y74" i="2"/>
  <c r="X74" i="2"/>
  <c r="W54" i="2"/>
  <c r="V74" i="2"/>
  <c r="V76" i="2"/>
  <c r="W74" i="2"/>
  <c r="W76" i="2"/>
  <c r="V14" i="2"/>
  <c r="V16" i="2" s="1"/>
  <c r="O74" i="2"/>
  <c r="N51" i="2"/>
  <c r="F51" i="2"/>
  <c r="H51" i="2"/>
  <c r="G51" i="2"/>
  <c r="D74" i="2"/>
  <c r="D76" i="2"/>
  <c r="E74" i="2"/>
  <c r="F74" i="2"/>
  <c r="G74" i="2"/>
  <c r="H74" i="2"/>
  <c r="L74" i="2"/>
  <c r="I74" i="2"/>
  <c r="M74" i="2"/>
  <c r="J74" i="2"/>
  <c r="N74" i="2"/>
  <c r="N76" i="2"/>
  <c r="K74" i="2"/>
  <c r="L51" i="2"/>
  <c r="D51" i="2"/>
  <c r="E51" i="2"/>
  <c r="K51" i="2"/>
  <c r="J51" i="2"/>
  <c r="I51" i="2"/>
  <c r="M51" i="2"/>
  <c r="Z74" i="2" l="1"/>
  <c r="D21" i="2"/>
  <c r="E21" i="2"/>
  <c r="F21" i="2"/>
  <c r="G21" i="2"/>
  <c r="H21" i="2"/>
  <c r="I21" i="2"/>
  <c r="J21" i="2"/>
  <c r="K21" i="2"/>
  <c r="L21" i="2"/>
  <c r="M21" i="2"/>
  <c r="P27" i="4"/>
  <c r="P25" i="4"/>
  <c r="P22" i="4"/>
  <c r="P14" i="4"/>
  <c r="P12" i="4"/>
  <c r="P9" i="4"/>
  <c r="P10" i="4" s="1"/>
  <c r="L18" i="2"/>
  <c r="X11" i="2"/>
  <c r="X13" i="2"/>
  <c r="Y13" i="2"/>
  <c r="Y11" i="2"/>
  <c r="Y5" i="2"/>
  <c r="X5" i="2"/>
  <c r="X6" i="2"/>
  <c r="X7" i="2"/>
  <c r="Y6" i="2"/>
  <c r="Y7" i="2"/>
  <c r="Y8" i="2"/>
  <c r="X4" i="2"/>
  <c r="X18" i="2" s="1"/>
  <c r="Y4" i="2"/>
  <c r="Y21" i="2" s="1"/>
  <c r="Z13" i="2"/>
  <c r="Z11" i="2"/>
  <c r="Z8" i="2"/>
  <c r="Z5" i="2"/>
  <c r="AA5" i="2" s="1"/>
  <c r="AB5" i="2" s="1"/>
  <c r="AC5" i="2" s="1"/>
  <c r="Z6" i="2"/>
  <c r="Z7" i="2"/>
  <c r="AA7" i="2" s="1"/>
  <c r="Z4" i="2"/>
  <c r="O50" i="2"/>
  <c r="O39" i="2"/>
  <c r="O35" i="2"/>
  <c r="H18" i="2"/>
  <c r="I18" i="2"/>
  <c r="J18" i="2"/>
  <c r="K18" i="2"/>
  <c r="M18" i="2"/>
  <c r="N18" i="2"/>
  <c r="O18" i="2"/>
  <c r="D22" i="2"/>
  <c r="E22" i="2"/>
  <c r="F22" i="2"/>
  <c r="G22" i="2"/>
  <c r="H22" i="2"/>
  <c r="I22" i="2"/>
  <c r="J12" i="2"/>
  <c r="K12" i="2"/>
  <c r="L12" i="2"/>
  <c r="M22" i="2"/>
  <c r="N22" i="2"/>
  <c r="O22" i="2"/>
  <c r="B6" i="2"/>
  <c r="K22" i="2" l="1"/>
  <c r="AB7" i="2"/>
  <c r="AC7" i="2" s="1"/>
  <c r="AD7" i="2" s="1"/>
  <c r="AE7" i="2" s="1"/>
  <c r="AF7" i="2" s="1"/>
  <c r="AG7" i="2" s="1"/>
  <c r="AH7" i="2" s="1"/>
  <c r="AI7" i="2" s="1"/>
  <c r="AJ7" i="2" s="1"/>
  <c r="AK7" i="2" s="1"/>
  <c r="Z21" i="2"/>
  <c r="AA4" i="2"/>
  <c r="AD5" i="2"/>
  <c r="AE5" i="2" s="1"/>
  <c r="AF5" i="2" s="1"/>
  <c r="AG5" i="2" s="1"/>
  <c r="AH5" i="2" s="1"/>
  <c r="AI5" i="2" s="1"/>
  <c r="AJ5" i="2" s="1"/>
  <c r="AK5" i="2" s="1"/>
  <c r="AA6" i="2"/>
  <c r="K14" i="2"/>
  <c r="K16" i="2" s="1"/>
  <c r="K54" i="2"/>
  <c r="L14" i="2"/>
  <c r="L16" i="2" s="1"/>
  <c r="L54" i="2"/>
  <c r="J14" i="2"/>
  <c r="J16" i="2" s="1"/>
  <c r="J54" i="2"/>
  <c r="X21" i="2"/>
  <c r="O12" i="2"/>
  <c r="Z22" i="2"/>
  <c r="Y22" i="2"/>
  <c r="Z18" i="2"/>
  <c r="Y18" i="2"/>
  <c r="D12" i="2"/>
  <c r="E12" i="2"/>
  <c r="F12" i="2"/>
  <c r="G12" i="2"/>
  <c r="H12" i="2"/>
  <c r="L22" i="2"/>
  <c r="I12" i="2"/>
  <c r="M12" i="2"/>
  <c r="J22" i="2"/>
  <c r="N12" i="2"/>
  <c r="O51" i="2"/>
  <c r="B9" i="2"/>
  <c r="AB4" i="2" l="1"/>
  <c r="AA21" i="2"/>
  <c r="AB6" i="2"/>
  <c r="AC6" i="2" s="1"/>
  <c r="AD6" i="2" s="1"/>
  <c r="AE6" i="2" s="1"/>
  <c r="AF6" i="2" s="1"/>
  <c r="AG6" i="2" s="1"/>
  <c r="AH6" i="2" s="1"/>
  <c r="AI6" i="2" s="1"/>
  <c r="AJ6" i="2" s="1"/>
  <c r="AK6" i="2" s="1"/>
  <c r="Y12" i="2"/>
  <c r="Z12" i="2"/>
  <c r="H14" i="2"/>
  <c r="H16" i="2" s="1"/>
  <c r="H54" i="2"/>
  <c r="E14" i="2"/>
  <c r="E16" i="2" s="1"/>
  <c r="E54" i="2"/>
  <c r="M14" i="2"/>
  <c r="M16" i="2" s="1"/>
  <c r="M54" i="2"/>
  <c r="O14" i="2"/>
  <c r="O16" i="2" s="1"/>
  <c r="O54" i="2"/>
  <c r="G14" i="2"/>
  <c r="G16" i="2" s="1"/>
  <c r="G54" i="2"/>
  <c r="F14" i="2"/>
  <c r="F16" i="2" s="1"/>
  <c r="F54" i="2"/>
  <c r="N14" i="2"/>
  <c r="N16" i="2" s="1"/>
  <c r="N54" i="2"/>
  <c r="D14" i="2"/>
  <c r="D16" i="2" s="1"/>
  <c r="D54" i="2"/>
  <c r="I14" i="2"/>
  <c r="I16" i="2" s="1"/>
  <c r="I54" i="2"/>
  <c r="F8" i="3"/>
  <c r="AA18" i="2"/>
  <c r="X22" i="2"/>
  <c r="X12" i="2"/>
  <c r="Y54" i="2" l="1"/>
  <c r="Y14" i="2"/>
  <c r="Y16" i="2" s="1"/>
  <c r="X14" i="2"/>
  <c r="X16" i="2" s="1"/>
  <c r="X54" i="2"/>
  <c r="Z14" i="2"/>
  <c r="Z16" i="2" s="1"/>
  <c r="Z54" i="2"/>
  <c r="AA12" i="2"/>
  <c r="AA13" i="2" s="1"/>
  <c r="AA14" i="2" s="1"/>
  <c r="AA16" i="2" s="1"/>
  <c r="F9" i="3" s="1"/>
  <c r="AA22" i="2"/>
  <c r="AC4" i="2"/>
  <c r="AB21" i="2"/>
  <c r="AB18" i="2"/>
  <c r="AB12" i="2" l="1"/>
  <c r="AB13" i="2" s="1"/>
  <c r="AB14" i="2" s="1"/>
  <c r="AB16" i="2" s="1"/>
  <c r="G9" i="3" s="1"/>
  <c r="AB22" i="2"/>
  <c r="G8" i="3"/>
  <c r="AD4" i="2"/>
  <c r="AC21" i="2"/>
  <c r="AC18" i="2"/>
  <c r="AC12" i="2" l="1"/>
  <c r="AC13" i="2" s="1"/>
  <c r="AC14" i="2" s="1"/>
  <c r="AC16" i="2" s="1"/>
  <c r="H9" i="3" s="1"/>
  <c r="AC22" i="2"/>
  <c r="H8" i="3"/>
  <c r="AE4" i="2"/>
  <c r="AD21" i="2"/>
  <c r="AD18" i="2"/>
  <c r="AF4" i="2" l="1"/>
  <c r="AE21" i="2"/>
  <c r="AE18" i="2"/>
  <c r="AD12" i="2"/>
  <c r="AD13" i="2" s="1"/>
  <c r="AD14" i="2" s="1"/>
  <c r="AD16" i="2" s="1"/>
  <c r="AD22" i="2"/>
  <c r="AE12" i="2" l="1"/>
  <c r="AE13" i="2" s="1"/>
  <c r="AE14" i="2" s="1"/>
  <c r="AE16" i="2" s="1"/>
  <c r="AE22" i="2"/>
  <c r="AG4" i="2"/>
  <c r="AF21" i="2"/>
  <c r="AF18" i="2"/>
  <c r="AF12" i="2" l="1"/>
  <c r="AF13" i="2" s="1"/>
  <c r="AF14" i="2" s="1"/>
  <c r="AF16" i="2" s="1"/>
  <c r="AF22" i="2"/>
  <c r="AH4" i="2"/>
  <c r="AG21" i="2"/>
  <c r="AG18" i="2"/>
  <c r="AG12" i="2" l="1"/>
  <c r="AG13" i="2" s="1"/>
  <c r="AG14" i="2" s="1"/>
  <c r="AG16" i="2" s="1"/>
  <c r="AG22" i="2"/>
  <c r="AI4" i="2"/>
  <c r="AH21" i="2"/>
  <c r="AH18" i="2"/>
  <c r="AH12" i="2" l="1"/>
  <c r="AH13" i="2" s="1"/>
  <c r="AH14" i="2" s="1"/>
  <c r="AH16" i="2" s="1"/>
  <c r="AH22" i="2"/>
  <c r="AJ4" i="2"/>
  <c r="AI21" i="2"/>
  <c r="AI18" i="2"/>
  <c r="AI12" i="2" l="1"/>
  <c r="AI13" i="2" s="1"/>
  <c r="AI14" i="2" s="1"/>
  <c r="AI16" i="2" s="1"/>
  <c r="AI22" i="2"/>
  <c r="AK4" i="2"/>
  <c r="AJ21" i="2"/>
  <c r="AJ18" i="2"/>
  <c r="AJ12" i="2" l="1"/>
  <c r="AJ13" i="2" s="1"/>
  <c r="AJ14" i="2" s="1"/>
  <c r="AJ16" i="2" s="1"/>
  <c r="AJ22" i="2"/>
  <c r="AK21" i="2"/>
  <c r="AK18" i="2"/>
  <c r="AK12" i="2" l="1"/>
  <c r="AK13" i="2" s="1"/>
  <c r="AK14" i="2" s="1"/>
  <c r="AK22" i="2"/>
  <c r="AK16" i="2" l="1"/>
  <c r="AL13" i="2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AN18" i="2" s="1"/>
  <c r="AN20" i="2" s="1"/>
  <c r="AN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tc={93E22D53-01EB-0F46-9B53-EA72878E4341}</author>
  </authors>
  <commentList>
    <comment ref="X62" authorId="0" shapeId="0" xr:uid="{93E22D53-01EB-0F46-9B53-EA72878E4341}">
      <text>
        <t xml:space="preserve">[Kommentartråd]
Din versjon av Excel lar deg lese denne kommentartråden. Eventuelle endringer i den vil imidlertid bli fjernet hvis filen åpnes i en nyere versjon av Excel. Finn ut mer: https://go.microsoft.com/fwlink/?linkid=870924
Kommentar:
    Kjøpte Elbutiken for 152,954
</t>
      </text>
    </comment>
  </commentList>
</comments>
</file>

<file path=xl/sharedStrings.xml><?xml version="1.0" encoding="utf-8"?>
<sst xmlns="http://schemas.openxmlformats.org/spreadsheetml/2006/main" count="167" uniqueCount="132">
  <si>
    <t>Kapitalstruktur</t>
  </si>
  <si>
    <t>Price</t>
  </si>
  <si>
    <t>S/O</t>
  </si>
  <si>
    <t>MC NOKm</t>
  </si>
  <si>
    <t>Cash NOKm</t>
  </si>
  <si>
    <t>Debt NOKm</t>
  </si>
  <si>
    <t>EV NOKm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</si>
  <si>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</si>
  <si>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</si>
  <si>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</si>
  <si>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</si>
  <si>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</si>
  <si>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</si>
  <si>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</si>
  <si>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</si>
  <si>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</si>
  <si>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</si>
  <si>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</si>
  <si>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</si>
  <si>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NOK million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</si>
  <si>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</si>
  <si>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</si>
  <si>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</si>
  <si>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</si>
  <si>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</si>
  <si>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</si>
  <si>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</si>
  <si>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</si>
  <si>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</si>
  <si>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</si>
  <si>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</si>
  <si>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</si>
  <si>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</si>
  <si>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</si>
  <si>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Revenue y/y</t>
  </si>
  <si>
    <t>Balanse NOKm</t>
  </si>
  <si>
    <t>Cash flow NOKm</t>
  </si>
  <si>
    <t>Revenue</t>
  </si>
  <si>
    <t>COGS</t>
  </si>
  <si>
    <t>Employee benefits exp</t>
  </si>
  <si>
    <t>D/A</t>
  </si>
  <si>
    <t>Other opex</t>
  </si>
  <si>
    <t>Operating profit (EBIT)</t>
  </si>
  <si>
    <t>Net financials</t>
  </si>
  <si>
    <t>PTP</t>
  </si>
  <si>
    <t>Tax</t>
  </si>
  <si>
    <t>Net income</t>
  </si>
  <si>
    <t>Shares</t>
  </si>
  <si>
    <t>EPS</t>
  </si>
  <si>
    <t>Q125</t>
  </si>
  <si>
    <t>Q225</t>
  </si>
  <si>
    <t>Q325</t>
  </si>
  <si>
    <t>Q425</t>
  </si>
  <si>
    <t>EBIT margin</t>
  </si>
  <si>
    <t>Goodwill</t>
  </si>
  <si>
    <t>Trademark and intang assets</t>
  </si>
  <si>
    <t>Deferred tax assets</t>
  </si>
  <si>
    <t>Other non-current assets</t>
  </si>
  <si>
    <t>PP&amp;E</t>
  </si>
  <si>
    <t>Inventories</t>
  </si>
  <si>
    <t>Trade receivables</t>
  </si>
  <si>
    <t>Other current assets</t>
  </si>
  <si>
    <t>cash</t>
  </si>
  <si>
    <t>Total assets</t>
  </si>
  <si>
    <t>Total paid-in equity</t>
  </si>
  <si>
    <t>Retained earnings</t>
  </si>
  <si>
    <t>Non-controlling interests</t>
  </si>
  <si>
    <t>Total Equity</t>
  </si>
  <si>
    <t>Non-current lease lia</t>
  </si>
  <si>
    <t>Other non-current lia</t>
  </si>
  <si>
    <t>Current lease lia</t>
  </si>
  <si>
    <t>Non-current lia to financials</t>
  </si>
  <si>
    <t>Liabilties to fiancials</t>
  </si>
  <si>
    <t>Trade creditors</t>
  </si>
  <si>
    <t>Taxes payable</t>
  </si>
  <si>
    <t>Public duties payable</t>
  </si>
  <si>
    <t>Other currrent liabilties</t>
  </si>
  <si>
    <t>Total Debt</t>
  </si>
  <si>
    <t>Total E/D</t>
  </si>
  <si>
    <t>CFFI</t>
  </si>
  <si>
    <t>CFFF</t>
  </si>
  <si>
    <t>CFFO</t>
  </si>
  <si>
    <t>EV/EBIT</t>
  </si>
  <si>
    <t>P/E</t>
  </si>
  <si>
    <t>NOKm</t>
  </si>
  <si>
    <t>Norge</t>
  </si>
  <si>
    <t>Gross Profit</t>
  </si>
  <si>
    <t>Gross margin</t>
  </si>
  <si>
    <t>Opex</t>
  </si>
  <si>
    <t>Opex to sales %</t>
  </si>
  <si>
    <t>EBIT</t>
  </si>
  <si>
    <t>EBIT %</t>
  </si>
  <si>
    <t>Net profit</t>
  </si>
  <si>
    <t>Sverige</t>
  </si>
  <si>
    <t>Revenue Y/Y</t>
  </si>
  <si>
    <t>Discount</t>
  </si>
  <si>
    <t>TV</t>
  </si>
  <si>
    <t>NPV</t>
  </si>
  <si>
    <t>NPV/Share</t>
  </si>
  <si>
    <t>Opp-/nedside</t>
  </si>
  <si>
    <t>De har 29 butikker i Norge og 1 i Sverige gjennom oppkjøpet av Elbutik AB</t>
  </si>
  <si>
    <t xml:space="preserve">Namron er Elimp sitt eget varemerke og ble etablert i 2007. </t>
  </si>
  <si>
    <t>Namron har raskt blitt en markedaleder innenfor lys, varme kabler, elektromateriell og smarthusløsninger</t>
  </si>
  <si>
    <t>SpotOn er Elimp sin unike tjeneste som gjør det enkelt å få jobben gjort trygt og effektivt. Spoton lar kunden bestille produjter og tjenseter, inkludert montering, til en fast pris</t>
  </si>
  <si>
    <t>Spoton leverer fagmessig arbeid utføert av sertifiserte elektrikere</t>
  </si>
  <si>
    <t>Spoton ble integrert inn i Elimp fra Q424</t>
  </si>
  <si>
    <t>Dividends payable</t>
  </si>
  <si>
    <t xml:space="preserve">Press releases: </t>
  </si>
  <si>
    <t>14.02.24: hentet 150m til 7,5kr</t>
  </si>
  <si>
    <t>19.03.24: Kjørte en rep-emi og fikk inn 30m</t>
  </si>
  <si>
    <t xml:space="preserve">Elektroimportøren er Norges 4 største el-grossist. </t>
  </si>
  <si>
    <t>Model PTP</t>
  </si>
  <si>
    <t>Reported PTP</t>
  </si>
  <si>
    <t>Taxes paid</t>
  </si>
  <si>
    <t>Interest</t>
  </si>
  <si>
    <t>WC</t>
  </si>
  <si>
    <t>Capex</t>
  </si>
  <si>
    <t>Repayment of borrowings</t>
  </si>
  <si>
    <t>Change in liabilities to financial institutions</t>
  </si>
  <si>
    <t>Proceeds for issue of shares</t>
  </si>
  <si>
    <t>Change in non-controling interst share purchase</t>
  </si>
  <si>
    <t>Net interest paid</t>
  </si>
  <si>
    <t>Lease payments</t>
  </si>
  <si>
    <t>Dividend</t>
  </si>
  <si>
    <t>CIC</t>
  </si>
  <si>
    <t>FCF</t>
  </si>
  <si>
    <t>FY 2021</t>
  </si>
  <si>
    <t>FY 2020</t>
  </si>
  <si>
    <t>Like-for-like y/y</t>
  </si>
  <si>
    <t>Total opex</t>
  </si>
  <si>
    <t>Opex y/y</t>
  </si>
  <si>
    <t>Organisk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</si>
</sst>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6"/>
      <color rgb="FF1A1A1A"/>
      <name val="Helvetic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165" fontId="2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166" fontId="2" fillId="0" borderId="1" xfId="0" applyNumberFormat="1" applyFont="1" applyBorder="1"/>
    <xf numFmtId="166" fontId="1" fillId="0" borderId="0" xfId="0" applyNumberFormat="1" applyFont="1"/>
    <xf numFmtId="166" fontId="1" fillId="0" borderId="1" xfId="0" applyNumberFormat="1" applyFont="1" applyBorder="1"/>
    <xf numFmtId="0" fontId="4" fillId="0" borderId="0" xfId="0" applyFont="1"/>
    <xf numFmtId="10" fontId="1" fillId="0" borderId="0" xfId="0" applyNumberFormat="1" applyFont="1"/>
    <xf numFmtId="166" fontId="4" fillId="0" borderId="0" xfId="0" applyNumberFormat="1" applyFont="1"/>
    <xf numFmtId="0" fontId="1" fillId="0" borderId="3" xfId="0" applyFont="1" applyBorder="1"/>
    <xf numFmtId="0" fontId="2" fillId="0" borderId="3" xfId="0" applyFont="1" applyBorder="1"/>
    <xf numFmtId="10" fontId="2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0" fontId="5" fillId="0" borderId="2" xfId="0" applyFont="1" applyBorder="1"/>
    <xf numFmtId="165" fontId="6" fillId="0" borderId="2" xfId="0" applyNumberFormat="1" applyFont="1" applyBorder="1"/>
    <xf numFmtId="10" fontId="3" fillId="0" borderId="0" xfId="0" applyNumberFormat="1" applyFont="1"/>
    <xf numFmtId="9" fontId="2" fillId="0" borderId="0" xfId="0" applyNumberFormat="1" applyFont="1"/>
    <xf numFmtId="1" fontId="1" fillId="0" borderId="0" xfId="0" applyNumberFormat="1" applyFont="1"/>
    <xf numFmtId="8" fontId="2" fillId="0" borderId="3" xfId="0" applyNumberFormat="1" applyFont="1" applyBorder="1"/>
    <xf numFmtId="8" fontId="1" fillId="0" borderId="0" xfId="0" applyNumberFormat="1" applyFont="1"/>
    <xf numFmtId="0" fontId="7" fillId="0" borderId="0" xfId="0" applyFont="1"/>
    <xf numFmtId="3" fontId="4" fillId="0" borderId="0" xfId="0" applyNumberFormat="1" applyFont="1"/>
    <xf numFmtId="1" fontId="2" fillId="0" borderId="0" xfId="0" applyNumberFormat="1" applyFont="1"/>
    <xf numFmtId="3" fontId="1" fillId="0" borderId="1" xfId="0" applyNumberFormat="1" applyFont="1" applyBorder="1"/>
    <xf numFmtId="3" fontId="2" fillId="0" borderId="1" xfId="0" applyNumberFormat="1" applyFont="1" applyBorder="1"/>
    <xf numFmtId="10" fontId="1" fillId="0" borderId="1" xfId="0" applyNumberFormat="1" applyFont="1" applyBorder="1"/>
    <xf numFmtId="3" fontId="4" fillId="0" borderId="1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166" fontId="3" fillId="0" borderId="5" xfId="0" applyNumberFormat="1" applyFont="1" applyBorder="1"/>
    <xf numFmtId="0" fontId="1" fillId="0" borderId="4" xfId="0" applyFont="1" applyBorder="1"/>
    <xf numFmtId="0" fontId="2" fillId="0" borderId="5" xfId="0" applyFont="1" applyBorder="1"/>
    <xf numFmtId="166" fontId="4" fillId="0" borderId="5" xfId="0" applyNumberFormat="1" applyFont="1" applyBorder="1"/>
    <xf numFmtId="0" fontId="2" fillId="0" borderId="4" xfId="0" applyFont="1" applyBorder="1"/>
    <xf numFmtId="1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12700</xdr:rowOff>
    </xdr:from>
    <xdr:to>
      <xdr:col>10</xdr:col>
      <xdr:colOff>489496</xdr:colOff>
      <xdr:row>28</xdr:row>
      <xdr:rowOff>38100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5B546504-AFB7-5D1A-D907-FF988DA7A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25700"/>
          <a:ext cx="8744496" cy="4419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228599</xdr:colOff>
      <xdr:row>0</xdr:row>
      <xdr:rowOff>88900</xdr:rowOff>
    </xdr:from>
    <xdr:to>
      <xdr:col>28</xdr:col>
      <xdr:colOff>94496</xdr:colOff>
      <xdr:row>14</xdr:row>
      <xdr:rowOff>165100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A042803D-21A2-737F-CCEE-D99D87854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11099" y="88900"/>
          <a:ext cx="10597397" cy="3454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gust hodt" id="{EFB05843-9F5D-6946-9763-F386379D49EF}" userId="a530012ce760c12d" providerId="Windows Live"/>
</personList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62" dT="2025-03-30T19:01:34.72" personId="{EFB05843-9F5D-6946-9763-F386379D49EF}" id="{93E22D53-01EB-0F46-9B53-EA72878E4341}">
    <text xml:space="preserve">Kjøpte Elbutiken for 152,954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1:A33"/>
  <sheetViews>
    <sheetView showGridLines="0" zoomScale="85" zoomScaleNormal="85" workbookViewId="0">
      <selection activeCell="S24" sqref="S24"/>
    </sheetView>
  </sheetViews>
  <sheetFormatPr baseColWidth="10" defaultRowHeight="19" x14ac:dyDescent="0.25"/>
  <cols>
    <col min="1" max="16384" width="10.83203125" style="2"/>
  </cols>
  <sheetData>
    <row r="1" spans="1:1" x14ac:dyDescent="0.25">
      <c r="A1" s="2" t="s">
        <v>110</v>
      </c>
    </row>
    <row r="2" spans="1:1" x14ac:dyDescent="0.25">
      <c r="A2" s="2" t="s">
        <v>100</v>
      </c>
    </row>
    <row r="5" spans="1:1" x14ac:dyDescent="0.25">
      <c r="A5" s="2" t="s">
        <v>101</v>
      </c>
    </row>
    <row r="6" spans="1:1" x14ac:dyDescent="0.25">
      <c r="A6" s="2" t="s">
        <v>102</v>
      </c>
    </row>
    <row r="8" spans="1:1" x14ac:dyDescent="0.25">
      <c r="A8" s="2" t="s">
        <v>103</v>
      </c>
    </row>
    <row r="9" spans="1:1" x14ac:dyDescent="0.25">
      <c r="A9" s="2" t="s">
        <v>104</v>
      </c>
    </row>
    <row r="10" spans="1:1" x14ac:dyDescent="0.25">
      <c r="A10" s="2" t="s">
        <v>105</v>
      </c>
    </row>
    <row r="17" spans="1:1" ht="21" x14ac:dyDescent="0.25">
      <c r="A17" s="33"/>
    </row>
    <row r="18" spans="1:1" ht="21" x14ac:dyDescent="0.25">
      <c r="A18" s="33"/>
    </row>
    <row r="30" spans="1:1" x14ac:dyDescent="0.25">
      <c r="A30" s="1" t="s">
        <v>107</v>
      </c>
    </row>
    <row r="31" spans="1:1" x14ac:dyDescent="0.25">
      <c r="A31" s="1"/>
    </row>
    <row r="32" spans="1:1" x14ac:dyDescent="0.25">
      <c r="A32" s="2" t="s">
        <v>109</v>
      </c>
    </row>
    <row r="33" spans="1:1" x14ac:dyDescent="0.25">
      <c r="A33" s="2" t="s">
        <v>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3:EB77"/>
  <sheetViews>
    <sheetView showGridLines="0" tabSelected="1" zoomScaleNormal="100" workbookViewId="0">
      <pane xSplit="3" ySplit="3" topLeftCell="U4" activePane="bottomRight" state="frozen"/>
      <selection pane="topRight" activeCell="D1" sqref="D1"/>
      <selection pane="bottomLeft" activeCell="A4" sqref="A4"/>
      <selection pane="bottomRight" activeCell="Y34" sqref="Y34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26.6640625" style="2" customWidth="1"/>
    <col min="4" max="15" width="10.83203125" style="2"/>
    <col min="16" max="16" width="10.83203125" style="4"/>
    <col min="17" max="26" width="10.83203125" style="2"/>
    <col min="27" max="27" width="10.83203125" style="4"/>
    <col min="28" max="38" width="10.83203125" style="2"/>
    <col min="39" max="39" width="14.83203125" style="2" bestFit="1" customWidth="1"/>
    <col min="40" max="40" width="12.1640625" style="2" bestFit="1" customWidth="1"/>
    <col min="41" max="16384" width="10.83203125" style="2"/>
  </cols>
  <sheetData>
    <row r="3" spans="1:132" x14ac:dyDescent="0.25">
      <c r="A3" s="1" t="s">
        <v>0</v>
      </c>
      <c r="C3" s="2" t="s">
        <v>19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8" t="s">
        <v>49</v>
      </c>
      <c r="Q3" s="7" t="s">
        <v>50</v>
      </c>
      <c r="R3" s="7" t="s">
        <v>51</v>
      </c>
      <c r="S3" s="7" t="s">
        <v>52</v>
      </c>
      <c r="T3" s="7"/>
      <c r="V3" s="7" t="s">
        <v>127</v>
      </c>
      <c r="W3" s="7" t="s">
        <v>126</v>
      </c>
      <c r="X3" s="7" t="s">
        <v>20</v>
      </c>
      <c r="Y3" s="7" t="s">
        <v>21</v>
      </c>
      <c r="Z3" s="7" t="s">
        <v>22</v>
      </c>
      <c r="AA3" s="8" t="s">
        <v>23</v>
      </c>
      <c r="AB3" s="7" t="s">
        <v>24</v>
      </c>
      <c r="AC3" s="7" t="s">
        <v>25</v>
      </c>
      <c r="AD3" s="7" t="s">
        <v>26</v>
      </c>
      <c r="AE3" s="7" t="s">
        <v>27</v>
      </c>
      <c r="AF3" s="7" t="s">
        <v>28</v>
      </c>
      <c r="AG3" s="7" t="s">
        <v>29</v>
      </c>
      <c r="AH3" s="7" t="s">
        <v>30</v>
      </c>
      <c r="AI3" s="7" t="s">
        <v>31</v>
      </c>
      <c r="AJ3" s="7" t="s">
        <v>32</v>
      </c>
      <c r="AK3" s="7" t="s">
        <v>33</v>
      </c>
    </row>
    <row r="4" spans="1:132" x14ac:dyDescent="0.25">
      <c r="A4" s="2" t="s">
        <v>1</v>
      </c>
      <c r="B4" s="4">
        <v>5</v>
      </c>
      <c r="C4" s="1" t="s">
        <v>37</v>
      </c>
      <c r="D4" s="1">
        <v>367</v>
      </c>
      <c r="E4" s="1">
        <v>358</v>
      </c>
      <c r="F4" s="1">
        <v>398</v>
      </c>
      <c r="G4" s="1">
        <v>502</v>
      </c>
      <c r="H4" s="1">
        <v>383</v>
      </c>
      <c r="I4" s="1">
        <v>326</v>
      </c>
      <c r="J4" s="1">
        <v>401</v>
      </c>
      <c r="K4" s="1">
        <v>495</v>
      </c>
      <c r="L4" s="1">
        <v>350</v>
      </c>
      <c r="M4" s="1">
        <v>349</v>
      </c>
      <c r="N4" s="1">
        <v>407</v>
      </c>
      <c r="O4" s="1">
        <v>520</v>
      </c>
      <c r="P4" s="9">
        <v>396</v>
      </c>
      <c r="Q4" s="1"/>
      <c r="R4" s="1"/>
      <c r="S4" s="1"/>
      <c r="T4" s="1"/>
      <c r="U4" s="1"/>
      <c r="V4" s="24">
        <v>1315.894</v>
      </c>
      <c r="W4" s="24">
        <v>1485.33</v>
      </c>
      <c r="X4" s="24">
        <f>SUM(D4:G4)</f>
        <v>1625</v>
      </c>
      <c r="Y4" s="24">
        <f>SUM(H4:K4)</f>
        <v>1605</v>
      </c>
      <c r="Z4" s="24">
        <f>SUM(L4:O4)</f>
        <v>1626</v>
      </c>
      <c r="AA4" s="36">
        <f>Z4*1.1</f>
        <v>1788.6000000000001</v>
      </c>
      <c r="AB4" s="24">
        <f>AA4*1.085</f>
        <v>1940.6310000000001</v>
      </c>
      <c r="AC4" s="24">
        <f t="shared" ref="AC4:AK4" si="0">AB4*1.08</f>
        <v>2095.88148</v>
      </c>
      <c r="AD4" s="24">
        <f t="shared" si="0"/>
        <v>2263.5519984000002</v>
      </c>
      <c r="AE4" s="24">
        <f t="shared" si="0"/>
        <v>2444.6361582720006</v>
      </c>
      <c r="AF4" s="24">
        <f t="shared" si="0"/>
        <v>2640.2070509337609</v>
      </c>
      <c r="AG4" s="24">
        <f t="shared" si="0"/>
        <v>2851.4236150084621</v>
      </c>
      <c r="AH4" s="24">
        <f t="shared" si="0"/>
        <v>3079.5375042091391</v>
      </c>
      <c r="AI4" s="24">
        <f t="shared" si="0"/>
        <v>3325.9005045458703</v>
      </c>
      <c r="AJ4" s="24">
        <f t="shared" si="0"/>
        <v>3591.9725449095399</v>
      </c>
      <c r="AK4" s="24">
        <f t="shared" si="0"/>
        <v>3879.3303485023034</v>
      </c>
    </row>
    <row r="5" spans="1:132" x14ac:dyDescent="0.25">
      <c r="A5" s="2" t="s">
        <v>2</v>
      </c>
      <c r="B5" s="11">
        <v>50.782200000000003</v>
      </c>
      <c r="C5" s="2" t="s">
        <v>38</v>
      </c>
      <c r="D5" s="2">
        <v>-230</v>
      </c>
      <c r="E5" s="2">
        <v>-232</v>
      </c>
      <c r="F5" s="2">
        <v>-248</v>
      </c>
      <c r="G5" s="2">
        <v>-308</v>
      </c>
      <c r="H5" s="2">
        <v>-246</v>
      </c>
      <c r="I5" s="2">
        <v>-213</v>
      </c>
      <c r="J5" s="2">
        <v>-259</v>
      </c>
      <c r="K5" s="2">
        <v>-332</v>
      </c>
      <c r="L5" s="2">
        <v>-229</v>
      </c>
      <c r="M5" s="2">
        <v>-236</v>
      </c>
      <c r="N5" s="2">
        <v>-271</v>
      </c>
      <c r="O5" s="2">
        <v>-338</v>
      </c>
      <c r="P5" s="4">
        <v>-253</v>
      </c>
      <c r="V5" s="25">
        <v>-798.38900000000001</v>
      </c>
      <c r="W5" s="25">
        <v>-912.30499999999995</v>
      </c>
      <c r="X5" s="25">
        <f>SUM(D5:G5)</f>
        <v>-1018</v>
      </c>
      <c r="Y5" s="25">
        <f>SUM(H5:K5)</f>
        <v>-1050</v>
      </c>
      <c r="Z5" s="25">
        <f>SUM(L5:O5)</f>
        <v>-1074</v>
      </c>
      <c r="AA5" s="37">
        <f>Z5*1.08</f>
        <v>-1159.92</v>
      </c>
      <c r="AB5" s="25">
        <f>AA5*1.08</f>
        <v>-1252.7136000000003</v>
      </c>
      <c r="AC5" s="25">
        <f>AB5*1.08</f>
        <v>-1352.9306880000004</v>
      </c>
      <c r="AD5" s="25">
        <f t="shared" ref="AD5:AK5" si="1">AC5*1.07</f>
        <v>-1447.6358361600005</v>
      </c>
      <c r="AE5" s="25">
        <f t="shared" si="1"/>
        <v>-1548.9703446912006</v>
      </c>
      <c r="AF5" s="25">
        <f t="shared" si="1"/>
        <v>-1657.3982688195847</v>
      </c>
      <c r="AG5" s="25">
        <f t="shared" si="1"/>
        <v>-1773.4161476369557</v>
      </c>
      <c r="AH5" s="25">
        <f t="shared" si="1"/>
        <v>-1897.5552779715426</v>
      </c>
      <c r="AI5" s="25">
        <f t="shared" si="1"/>
        <v>-2030.3841474295507</v>
      </c>
      <c r="AJ5" s="25">
        <f t="shared" si="1"/>
        <v>-2172.5110377496194</v>
      </c>
      <c r="AK5" s="25">
        <f t="shared" si="1"/>
        <v>-2324.586810392093</v>
      </c>
    </row>
    <row r="6" spans="1:132" x14ac:dyDescent="0.25">
      <c r="A6" s="2" t="s">
        <v>3</v>
      </c>
      <c r="B6" s="5">
        <f>B4*B5</f>
        <v>253.911</v>
      </c>
      <c r="C6" s="2" t="s">
        <v>39</v>
      </c>
      <c r="D6" s="2">
        <v>-63</v>
      </c>
      <c r="E6" s="2">
        <v>-47</v>
      </c>
      <c r="F6" s="35">
        <v>-70.543000000000006</v>
      </c>
      <c r="G6" s="2">
        <v>-74</v>
      </c>
      <c r="H6" s="2">
        <v>-68</v>
      </c>
      <c r="I6" s="2">
        <v>-52</v>
      </c>
      <c r="J6" s="2">
        <v>-75</v>
      </c>
      <c r="K6" s="2">
        <v>-77</v>
      </c>
      <c r="L6" s="2">
        <v>-65</v>
      </c>
      <c r="M6" s="2">
        <v>-48</v>
      </c>
      <c r="N6" s="2">
        <v>-74</v>
      </c>
      <c r="O6" s="2">
        <v>-79</v>
      </c>
      <c r="P6" s="4">
        <v>-73</v>
      </c>
      <c r="V6" s="25">
        <v>-219.29400000000001</v>
      </c>
      <c r="W6" s="25">
        <v>-243.321</v>
      </c>
      <c r="X6" s="25">
        <f>SUM(D6:G6)</f>
        <v>-254.54300000000001</v>
      </c>
      <c r="Y6" s="25">
        <f>SUM(H6:K6)</f>
        <v>-272</v>
      </c>
      <c r="Z6" s="25">
        <f>SUM(L6:O6)</f>
        <v>-266</v>
      </c>
      <c r="AA6" s="37">
        <f>Z6*1.02</f>
        <v>-271.32</v>
      </c>
      <c r="AB6" s="25">
        <f>AA6*1.03</f>
        <v>-279.45960000000002</v>
      </c>
      <c r="AC6" s="25">
        <f>AB6*1.04</f>
        <v>-290.63798400000002</v>
      </c>
      <c r="AD6" s="25">
        <f t="shared" ref="AD6:AK6" si="2">AC6*1.02</f>
        <v>-296.45074368000002</v>
      </c>
      <c r="AE6" s="25">
        <f t="shared" si="2"/>
        <v>-302.37975855360003</v>
      </c>
      <c r="AF6" s="25">
        <f t="shared" si="2"/>
        <v>-308.42735372467206</v>
      </c>
      <c r="AG6" s="25">
        <f t="shared" si="2"/>
        <v>-314.59590079916552</v>
      </c>
      <c r="AH6" s="25">
        <f t="shared" si="2"/>
        <v>-320.88781881514882</v>
      </c>
      <c r="AI6" s="25">
        <f t="shared" si="2"/>
        <v>-327.30557519145179</v>
      </c>
      <c r="AJ6" s="25">
        <f t="shared" si="2"/>
        <v>-333.85168669528082</v>
      </c>
      <c r="AK6" s="25">
        <f t="shared" si="2"/>
        <v>-340.52872042918642</v>
      </c>
    </row>
    <row r="7" spans="1:132" x14ac:dyDescent="0.25">
      <c r="A7" s="2" t="s">
        <v>4</v>
      </c>
      <c r="B7" s="5">
        <v>95</v>
      </c>
      <c r="C7" s="2" t="s">
        <v>40</v>
      </c>
      <c r="D7" s="2">
        <v>-22</v>
      </c>
      <c r="E7" s="2">
        <v>-23</v>
      </c>
      <c r="F7" s="35">
        <v>-23.71</v>
      </c>
      <c r="G7" s="2">
        <v>-23</v>
      </c>
      <c r="H7" s="2">
        <v>-25</v>
      </c>
      <c r="I7" s="2">
        <v>-26</v>
      </c>
      <c r="J7" s="2">
        <v>-26</v>
      </c>
      <c r="K7" s="2">
        <v>-19</v>
      </c>
      <c r="L7" s="2">
        <v>-28</v>
      </c>
      <c r="M7" s="2">
        <v>-25</v>
      </c>
      <c r="N7" s="2">
        <v>-29</v>
      </c>
      <c r="O7" s="2">
        <v>-29</v>
      </c>
      <c r="P7" s="4">
        <v>-29</v>
      </c>
      <c r="V7" s="25">
        <v>-70.739999999999995</v>
      </c>
      <c r="W7" s="25">
        <v>-77.325000000000003</v>
      </c>
      <c r="X7" s="25">
        <f>SUM(D7:G7)</f>
        <v>-91.710000000000008</v>
      </c>
      <c r="Y7" s="25">
        <f>SUM(H7:K7)</f>
        <v>-96</v>
      </c>
      <c r="Z7" s="25">
        <f>SUM(L7:O7)</f>
        <v>-111</v>
      </c>
      <c r="AA7" s="37">
        <f>Z7*1.02</f>
        <v>-113.22</v>
      </c>
      <c r="AB7" s="25">
        <f>AA7*1.03</f>
        <v>-116.61660000000001</v>
      </c>
      <c r="AC7" s="25">
        <f>AB7*1.04</f>
        <v>-121.28126400000001</v>
      </c>
      <c r="AD7" s="25">
        <f t="shared" ref="AD7:AK7" si="3">AC7*1.02</f>
        <v>-123.70688928000001</v>
      </c>
      <c r="AE7" s="25">
        <f t="shared" si="3"/>
        <v>-126.18102706560002</v>
      </c>
      <c r="AF7" s="25">
        <f t="shared" si="3"/>
        <v>-128.70464760691203</v>
      </c>
      <c r="AG7" s="25">
        <f t="shared" si="3"/>
        <v>-131.27874055905028</v>
      </c>
      <c r="AH7" s="25">
        <f t="shared" si="3"/>
        <v>-133.90431537023127</v>
      </c>
      <c r="AI7" s="25">
        <f t="shared" si="3"/>
        <v>-136.58240167763591</v>
      </c>
      <c r="AJ7" s="25">
        <f t="shared" si="3"/>
        <v>-139.31404971118863</v>
      </c>
      <c r="AK7" s="25">
        <f t="shared" si="3"/>
        <v>-142.1003307054124</v>
      </c>
    </row>
    <row r="8" spans="1:132" x14ac:dyDescent="0.25">
      <c r="A8" s="2" t="s">
        <v>5</v>
      </c>
      <c r="B8" s="5">
        <f>P41+P44</f>
        <v>220</v>
      </c>
      <c r="C8" s="2" t="s">
        <v>41</v>
      </c>
      <c r="D8" s="2">
        <v>-30</v>
      </c>
      <c r="E8" s="2">
        <v>-29</v>
      </c>
      <c r="F8" s="2">
        <v>-34</v>
      </c>
      <c r="G8" s="2">
        <v>-50</v>
      </c>
      <c r="H8" s="2">
        <v>-37</v>
      </c>
      <c r="I8" s="2">
        <v>-30</v>
      </c>
      <c r="J8" s="2">
        <v>-38</v>
      </c>
      <c r="K8" s="2">
        <v>-40</v>
      </c>
      <c r="L8" s="2">
        <v>-32</v>
      </c>
      <c r="M8" s="2">
        <v>-35</v>
      </c>
      <c r="N8" s="2">
        <v>-33</v>
      </c>
      <c r="O8" s="2">
        <v>-38</v>
      </c>
      <c r="P8" s="4">
        <v>-34</v>
      </c>
      <c r="V8" s="25">
        <v>-94.081000000000003</v>
      </c>
      <c r="W8" s="25">
        <v>-107.446</v>
      </c>
      <c r="X8" s="25">
        <v>-145.80000000000001</v>
      </c>
      <c r="Y8" s="25">
        <f>SUM(H8:K8)</f>
        <v>-145</v>
      </c>
      <c r="Z8" s="25">
        <f>SUM(L8:O8)</f>
        <v>-138</v>
      </c>
      <c r="AA8" s="37">
        <v>-140</v>
      </c>
      <c r="AB8" s="25">
        <v>-150</v>
      </c>
      <c r="AC8" s="25">
        <v>-150</v>
      </c>
      <c r="AD8" s="25">
        <v>-150</v>
      </c>
      <c r="AE8" s="25">
        <v>-150</v>
      </c>
      <c r="AF8" s="25">
        <v>-150</v>
      </c>
      <c r="AG8" s="25">
        <v>-150</v>
      </c>
      <c r="AH8" s="25">
        <v>-150</v>
      </c>
      <c r="AI8" s="25">
        <v>-150</v>
      </c>
      <c r="AJ8" s="25">
        <v>-150</v>
      </c>
      <c r="AK8" s="25">
        <v>-150</v>
      </c>
    </row>
    <row r="9" spans="1:132" x14ac:dyDescent="0.25">
      <c r="A9" s="3" t="s">
        <v>6</v>
      </c>
      <c r="B9" s="6">
        <f>B6-B7+B8</f>
        <v>378.911</v>
      </c>
      <c r="C9" s="2" t="s">
        <v>129</v>
      </c>
      <c r="D9" s="2">
        <f t="shared" ref="D9:O9" si="4">SUM(D5:D8)</f>
        <v>-345</v>
      </c>
      <c r="E9" s="2">
        <f t="shared" si="4"/>
        <v>-331</v>
      </c>
      <c r="F9" s="35">
        <f t="shared" si="4"/>
        <v>-376.25299999999999</v>
      </c>
      <c r="G9" s="2">
        <f t="shared" si="4"/>
        <v>-455</v>
      </c>
      <c r="H9" s="2">
        <f t="shared" si="4"/>
        <v>-376</v>
      </c>
      <c r="I9" s="2">
        <f t="shared" si="4"/>
        <v>-321</v>
      </c>
      <c r="J9" s="2">
        <f t="shared" si="4"/>
        <v>-398</v>
      </c>
      <c r="K9" s="2">
        <f t="shared" si="4"/>
        <v>-468</v>
      </c>
      <c r="L9" s="2">
        <f t="shared" si="4"/>
        <v>-354</v>
      </c>
      <c r="M9" s="2">
        <f t="shared" si="4"/>
        <v>-344</v>
      </c>
      <c r="N9" s="2">
        <f t="shared" si="4"/>
        <v>-407</v>
      </c>
      <c r="O9" s="2">
        <f t="shared" si="4"/>
        <v>-484</v>
      </c>
      <c r="P9" s="4">
        <f>SUM(P5:P8)</f>
        <v>-389</v>
      </c>
      <c r="V9" s="25">
        <f>SUM(V5:V8)</f>
        <v>-1182.5039999999999</v>
      </c>
      <c r="W9" s="25">
        <f t="shared" ref="W9:AK9" si="5">SUM(W5:W8)</f>
        <v>-1340.3969999999999</v>
      </c>
      <c r="X9" s="25">
        <f t="shared" si="5"/>
        <v>-1510.0530000000001</v>
      </c>
      <c r="Y9" s="25">
        <f t="shared" si="5"/>
        <v>-1563</v>
      </c>
      <c r="Z9" s="25">
        <f t="shared" si="5"/>
        <v>-1589</v>
      </c>
      <c r="AA9" s="37">
        <f t="shared" si="5"/>
        <v>-1684.46</v>
      </c>
      <c r="AB9" s="25">
        <f t="shared" si="5"/>
        <v>-1798.7898000000002</v>
      </c>
      <c r="AC9" s="25">
        <f t="shared" si="5"/>
        <v>-1914.8499360000003</v>
      </c>
      <c r="AD9" s="25">
        <f t="shared" si="5"/>
        <v>-2017.7934691200005</v>
      </c>
      <c r="AE9" s="25">
        <f t="shared" si="5"/>
        <v>-2127.5311303104008</v>
      </c>
      <c r="AF9" s="25">
        <f t="shared" si="5"/>
        <v>-2244.5302701511687</v>
      </c>
      <c r="AG9" s="25">
        <f t="shared" si="5"/>
        <v>-2369.2907889951716</v>
      </c>
      <c r="AH9" s="25">
        <f t="shared" si="5"/>
        <v>-2502.3474121569229</v>
      </c>
      <c r="AI9" s="25">
        <f t="shared" si="5"/>
        <v>-2644.2721242986386</v>
      </c>
      <c r="AJ9" s="25">
        <f t="shared" si="5"/>
        <v>-2795.6767741560889</v>
      </c>
      <c r="AK9" s="25">
        <f t="shared" si="5"/>
        <v>-2957.2158615266917</v>
      </c>
    </row>
    <row r="10" spans="1:132" x14ac:dyDescent="0.25">
      <c r="C10" s="1" t="s">
        <v>42</v>
      </c>
      <c r="D10" s="1">
        <f t="shared" ref="D10:O10" si="6">D4+D9</f>
        <v>22</v>
      </c>
      <c r="E10" s="1">
        <f t="shared" si="6"/>
        <v>27</v>
      </c>
      <c r="F10" s="30">
        <f t="shared" si="6"/>
        <v>21.747000000000014</v>
      </c>
      <c r="G10" s="1">
        <f t="shared" si="6"/>
        <v>47</v>
      </c>
      <c r="H10" s="1">
        <f t="shared" si="6"/>
        <v>7</v>
      </c>
      <c r="I10" s="1">
        <f t="shared" si="6"/>
        <v>5</v>
      </c>
      <c r="J10" s="1">
        <f t="shared" si="6"/>
        <v>3</v>
      </c>
      <c r="K10" s="1">
        <f t="shared" si="6"/>
        <v>27</v>
      </c>
      <c r="L10" s="1">
        <f t="shared" si="6"/>
        <v>-4</v>
      </c>
      <c r="M10" s="1">
        <f t="shared" si="6"/>
        <v>5</v>
      </c>
      <c r="N10" s="1">
        <f t="shared" si="6"/>
        <v>0</v>
      </c>
      <c r="O10" s="1">
        <f t="shared" si="6"/>
        <v>36</v>
      </c>
      <c r="P10" s="9">
        <f>P4+P9</f>
        <v>7</v>
      </c>
      <c r="V10" s="24">
        <f>V4+V9</f>
        <v>133.3900000000001</v>
      </c>
      <c r="W10" s="24">
        <f t="shared" ref="W10:AK10" si="7">W4+W9</f>
        <v>144.93299999999999</v>
      </c>
      <c r="X10" s="24">
        <f t="shared" si="7"/>
        <v>114.94699999999989</v>
      </c>
      <c r="Y10" s="24">
        <f t="shared" si="7"/>
        <v>42</v>
      </c>
      <c r="Z10" s="24">
        <f t="shared" si="7"/>
        <v>37</v>
      </c>
      <c r="AA10" s="36">
        <f t="shared" si="7"/>
        <v>104.1400000000001</v>
      </c>
      <c r="AB10" s="24">
        <f t="shared" si="7"/>
        <v>141.84119999999984</v>
      </c>
      <c r="AC10" s="24">
        <f t="shared" si="7"/>
        <v>181.03154399999971</v>
      </c>
      <c r="AD10" s="24">
        <f t="shared" si="7"/>
        <v>245.75852927999972</v>
      </c>
      <c r="AE10" s="24">
        <f t="shared" si="7"/>
        <v>317.10502796159972</v>
      </c>
      <c r="AF10" s="24">
        <f t="shared" si="7"/>
        <v>395.67678078259223</v>
      </c>
      <c r="AG10" s="24">
        <f t="shared" si="7"/>
        <v>482.13282601329047</v>
      </c>
      <c r="AH10" s="24">
        <f t="shared" si="7"/>
        <v>577.19009205221619</v>
      </c>
      <c r="AI10" s="24">
        <f t="shared" si="7"/>
        <v>681.62838024723169</v>
      </c>
      <c r="AJ10" s="24">
        <f t="shared" si="7"/>
        <v>796.29577075345105</v>
      </c>
      <c r="AK10" s="24">
        <f t="shared" si="7"/>
        <v>922.11448697561173</v>
      </c>
    </row>
    <row r="11" spans="1:132" x14ac:dyDescent="0.25">
      <c r="C11" s="2" t="s">
        <v>43</v>
      </c>
      <c r="D11" s="2">
        <v>-8</v>
      </c>
      <c r="E11" s="2">
        <v>-8</v>
      </c>
      <c r="F11" s="2">
        <v>-7</v>
      </c>
      <c r="G11" s="2">
        <v>-23</v>
      </c>
      <c r="H11" s="2">
        <v>-12</v>
      </c>
      <c r="I11" s="2">
        <v>-14</v>
      </c>
      <c r="J11" s="2">
        <v>-12</v>
      </c>
      <c r="K11" s="2">
        <v>-18</v>
      </c>
      <c r="L11" s="2">
        <v>-8</v>
      </c>
      <c r="M11" s="2">
        <v>-12</v>
      </c>
      <c r="N11" s="2">
        <v>30</v>
      </c>
      <c r="O11" s="2">
        <v>-5</v>
      </c>
      <c r="P11" s="4">
        <v>-16</v>
      </c>
      <c r="V11" s="25">
        <v>-29.196000000000002</v>
      </c>
      <c r="W11" s="25">
        <v>-20.353999999999999</v>
      </c>
      <c r="X11" s="25">
        <f>SUM(D11:G11)</f>
        <v>-46</v>
      </c>
      <c r="Y11" s="25">
        <f>SUM(H11:K11)</f>
        <v>-56</v>
      </c>
      <c r="Z11" s="25">
        <f>SUM(L11:O11)</f>
        <v>5</v>
      </c>
      <c r="AA11" s="37">
        <v>-30</v>
      </c>
      <c r="AB11" s="25">
        <v>-30</v>
      </c>
      <c r="AC11" s="25">
        <v>-30</v>
      </c>
      <c r="AD11" s="25">
        <v>-30</v>
      </c>
      <c r="AE11" s="25">
        <v>-30</v>
      </c>
      <c r="AF11" s="25">
        <v>-30</v>
      </c>
      <c r="AG11" s="25">
        <v>-30</v>
      </c>
      <c r="AH11" s="25">
        <v>-30</v>
      </c>
      <c r="AI11" s="25">
        <v>-30</v>
      </c>
      <c r="AJ11" s="25">
        <v>-30</v>
      </c>
      <c r="AK11" s="25">
        <v>-30</v>
      </c>
    </row>
    <row r="12" spans="1:132" x14ac:dyDescent="0.25">
      <c r="C12" s="2" t="s">
        <v>44</v>
      </c>
      <c r="D12" s="2">
        <f t="shared" ref="D12:N12" si="8">SUM(D10:D11)</f>
        <v>14</v>
      </c>
      <c r="E12" s="2">
        <f t="shared" si="8"/>
        <v>19</v>
      </c>
      <c r="F12" s="35">
        <f t="shared" si="8"/>
        <v>14.747000000000014</v>
      </c>
      <c r="G12" s="2">
        <f t="shared" si="8"/>
        <v>24</v>
      </c>
      <c r="H12" s="2">
        <f t="shared" si="8"/>
        <v>-5</v>
      </c>
      <c r="I12" s="2">
        <f t="shared" si="8"/>
        <v>-9</v>
      </c>
      <c r="J12" s="2">
        <f t="shared" si="8"/>
        <v>-9</v>
      </c>
      <c r="K12" s="2">
        <f t="shared" si="8"/>
        <v>9</v>
      </c>
      <c r="L12" s="2">
        <f t="shared" si="8"/>
        <v>-12</v>
      </c>
      <c r="M12" s="2">
        <f t="shared" si="8"/>
        <v>-7</v>
      </c>
      <c r="N12" s="2">
        <f t="shared" si="8"/>
        <v>30</v>
      </c>
      <c r="O12" s="2">
        <f>SUM(O10:O11)</f>
        <v>31</v>
      </c>
      <c r="P12" s="4">
        <f>SUM(P10:P11)</f>
        <v>-9</v>
      </c>
      <c r="V12" s="25">
        <f t="shared" ref="V12:W12" si="9">SUM(V10:V11)</f>
        <v>104.1940000000001</v>
      </c>
      <c r="W12" s="25">
        <f t="shared" si="9"/>
        <v>124.57899999999999</v>
      </c>
      <c r="X12" s="25">
        <f t="shared" ref="X12:Y12" si="10">SUM(X10:X11)</f>
        <v>68.946999999999889</v>
      </c>
      <c r="Y12" s="25">
        <f t="shared" si="10"/>
        <v>-14</v>
      </c>
      <c r="Z12" s="25">
        <f>SUM(Z10:Z11)</f>
        <v>42</v>
      </c>
      <c r="AA12" s="37">
        <f t="shared" ref="AA12:AK12" si="11">SUM(AA10:AA11)</f>
        <v>74.1400000000001</v>
      </c>
      <c r="AB12" s="25">
        <f t="shared" si="11"/>
        <v>111.84119999999984</v>
      </c>
      <c r="AC12" s="25">
        <f t="shared" si="11"/>
        <v>151.03154399999971</v>
      </c>
      <c r="AD12" s="25">
        <f t="shared" si="11"/>
        <v>215.75852927999972</v>
      </c>
      <c r="AE12" s="25">
        <f t="shared" si="11"/>
        <v>287.10502796159972</v>
      </c>
      <c r="AF12" s="25">
        <f t="shared" si="11"/>
        <v>365.67678078259223</v>
      </c>
      <c r="AG12" s="25">
        <f t="shared" si="11"/>
        <v>452.13282601329047</v>
      </c>
      <c r="AH12" s="25">
        <f t="shared" si="11"/>
        <v>547.19009205221619</v>
      </c>
      <c r="AI12" s="25">
        <f t="shared" si="11"/>
        <v>651.62838024723169</v>
      </c>
      <c r="AJ12" s="25">
        <f t="shared" si="11"/>
        <v>766.29577075345105</v>
      </c>
      <c r="AK12" s="25">
        <f t="shared" si="11"/>
        <v>892.11448697561173</v>
      </c>
    </row>
    <row r="13" spans="1:132" x14ac:dyDescent="0.25">
      <c r="C13" s="2" t="s">
        <v>45</v>
      </c>
      <c r="D13" s="2">
        <v>-3</v>
      </c>
      <c r="E13" s="2">
        <v>-4</v>
      </c>
      <c r="F13" s="2">
        <v>-3</v>
      </c>
      <c r="G13" s="2">
        <v>-7</v>
      </c>
      <c r="H13" s="2">
        <v>1</v>
      </c>
      <c r="I13" s="2">
        <v>2</v>
      </c>
      <c r="J13" s="2">
        <v>3</v>
      </c>
      <c r="K13" s="2">
        <v>-2</v>
      </c>
      <c r="L13" s="2">
        <v>1</v>
      </c>
      <c r="M13" s="2">
        <v>2</v>
      </c>
      <c r="N13" s="2">
        <v>2</v>
      </c>
      <c r="O13" s="2">
        <v>-9</v>
      </c>
      <c r="P13" s="4">
        <v>2</v>
      </c>
      <c r="V13" s="25">
        <v>-22.919</v>
      </c>
      <c r="W13" s="25">
        <v>-27.327999999999999</v>
      </c>
      <c r="X13" s="25">
        <f>SUM(D13:G13)</f>
        <v>-17</v>
      </c>
      <c r="Y13" s="25">
        <f>SUM(H13:K13)</f>
        <v>4</v>
      </c>
      <c r="Z13" s="25">
        <f>SUM(L13:O13)</f>
        <v>-4</v>
      </c>
      <c r="AA13" s="37">
        <f>AA12*-0.22</f>
        <v>-16.310800000000022</v>
      </c>
      <c r="AB13" s="25">
        <f t="shared" ref="AB13:AK13" si="12">AB12*-0.22</f>
        <v>-24.605063999999967</v>
      </c>
      <c r="AC13" s="25">
        <f t="shared" si="12"/>
        <v>-33.226939679999937</v>
      </c>
      <c r="AD13" s="25">
        <f t="shared" si="12"/>
        <v>-47.466876441599936</v>
      </c>
      <c r="AE13" s="25">
        <f t="shared" si="12"/>
        <v>-63.163106151551936</v>
      </c>
      <c r="AF13" s="25">
        <f t="shared" si="12"/>
        <v>-80.448891772170285</v>
      </c>
      <c r="AG13" s="25">
        <f t="shared" si="12"/>
        <v>-99.469221722923905</v>
      </c>
      <c r="AH13" s="25">
        <f t="shared" si="12"/>
        <v>-120.38182025148757</v>
      </c>
      <c r="AI13" s="25">
        <f t="shared" si="12"/>
        <v>-143.35824365439098</v>
      </c>
      <c r="AJ13" s="25">
        <f t="shared" si="12"/>
        <v>-168.58506956575923</v>
      </c>
      <c r="AK13" s="25">
        <f t="shared" si="12"/>
        <v>-196.26518713463457</v>
      </c>
      <c r="AL13" s="30">
        <f>AK14*(1+$AN$17)</f>
        <v>688.89080684256749</v>
      </c>
      <c r="AM13" s="30">
        <f t="shared" ref="AM13:CX13" si="13">AL13*(1+$AN$17)</f>
        <v>682.00189877414175</v>
      </c>
      <c r="AN13" s="30">
        <f t="shared" si="13"/>
        <v>675.18187978640037</v>
      </c>
      <c r="AO13" s="30">
        <f t="shared" si="13"/>
        <v>668.43006098853641</v>
      </c>
      <c r="AP13" s="30">
        <f t="shared" si="13"/>
        <v>661.74576037865108</v>
      </c>
      <c r="AQ13" s="30">
        <f t="shared" si="13"/>
        <v>655.12830277486455</v>
      </c>
      <c r="AR13" s="30">
        <f t="shared" si="13"/>
        <v>648.57701974711586</v>
      </c>
      <c r="AS13" s="30">
        <f t="shared" si="13"/>
        <v>642.09124954964466</v>
      </c>
      <c r="AT13" s="30">
        <f t="shared" si="13"/>
        <v>635.67033705414815</v>
      </c>
      <c r="AU13" s="30">
        <f t="shared" si="13"/>
        <v>629.31363368360667</v>
      </c>
      <c r="AV13" s="30">
        <f t="shared" si="13"/>
        <v>623.02049734677064</v>
      </c>
      <c r="AW13" s="30">
        <f t="shared" si="13"/>
        <v>616.79029237330292</v>
      </c>
      <c r="AX13" s="30">
        <f t="shared" si="13"/>
        <v>610.62238944956994</v>
      </c>
      <c r="AY13" s="30">
        <f t="shared" si="13"/>
        <v>604.51616555507428</v>
      </c>
      <c r="AZ13" s="30">
        <f t="shared" si="13"/>
        <v>598.47100389952357</v>
      </c>
      <c r="BA13" s="30">
        <f t="shared" si="13"/>
        <v>592.48629386052835</v>
      </c>
      <c r="BB13" s="30">
        <f t="shared" si="13"/>
        <v>586.56143092192303</v>
      </c>
      <c r="BC13" s="30">
        <f t="shared" si="13"/>
        <v>580.69581661270377</v>
      </c>
      <c r="BD13" s="30">
        <f t="shared" si="13"/>
        <v>574.88885844657671</v>
      </c>
      <c r="BE13" s="30">
        <f t="shared" si="13"/>
        <v>569.13996986211089</v>
      </c>
      <c r="BF13" s="30">
        <f t="shared" si="13"/>
        <v>563.44857016348976</v>
      </c>
      <c r="BG13" s="30">
        <f t="shared" si="13"/>
        <v>557.8140844618548</v>
      </c>
      <c r="BH13" s="30">
        <f t="shared" si="13"/>
        <v>552.23594361723622</v>
      </c>
      <c r="BI13" s="30">
        <f t="shared" si="13"/>
        <v>546.71358418106388</v>
      </c>
      <c r="BJ13" s="30">
        <f t="shared" si="13"/>
        <v>541.24644833925322</v>
      </c>
      <c r="BK13" s="30">
        <f t="shared" si="13"/>
        <v>535.83398385586065</v>
      </c>
      <c r="BL13" s="30">
        <f t="shared" si="13"/>
        <v>530.47564401730199</v>
      </c>
      <c r="BM13" s="30">
        <f t="shared" si="13"/>
        <v>525.17088757712895</v>
      </c>
      <c r="BN13" s="30">
        <f t="shared" si="13"/>
        <v>519.91917870135762</v>
      </c>
      <c r="BO13" s="30">
        <f t="shared" si="13"/>
        <v>514.71998691434408</v>
      </c>
      <c r="BP13" s="30">
        <f t="shared" si="13"/>
        <v>509.57278704520064</v>
      </c>
      <c r="BQ13" s="30">
        <f t="shared" si="13"/>
        <v>504.4770591747486</v>
      </c>
      <c r="BR13" s="30">
        <f t="shared" si="13"/>
        <v>499.43228858300114</v>
      </c>
      <c r="BS13" s="30">
        <f t="shared" si="13"/>
        <v>494.43796569717114</v>
      </c>
      <c r="BT13" s="30">
        <f t="shared" si="13"/>
        <v>489.49358604019943</v>
      </c>
      <c r="BU13" s="30">
        <f t="shared" si="13"/>
        <v>484.59865017979746</v>
      </c>
      <c r="BV13" s="30">
        <f t="shared" si="13"/>
        <v>479.75266367799946</v>
      </c>
      <c r="BW13" s="30">
        <f t="shared" si="13"/>
        <v>474.95513704121947</v>
      </c>
      <c r="BX13" s="30">
        <f t="shared" si="13"/>
        <v>470.2055856708073</v>
      </c>
      <c r="BY13" s="30">
        <f t="shared" si="13"/>
        <v>465.50352981409924</v>
      </c>
      <c r="BZ13" s="30">
        <f t="shared" si="13"/>
        <v>460.84849451595824</v>
      </c>
      <c r="CA13" s="30">
        <f t="shared" si="13"/>
        <v>456.24000957079863</v>
      </c>
      <c r="CB13" s="30">
        <f t="shared" si="13"/>
        <v>451.67760947509066</v>
      </c>
      <c r="CC13" s="30">
        <f t="shared" si="13"/>
        <v>447.16083338033974</v>
      </c>
      <c r="CD13" s="30">
        <f t="shared" si="13"/>
        <v>442.68922504653636</v>
      </c>
      <c r="CE13" s="30">
        <f t="shared" si="13"/>
        <v>438.26233279607101</v>
      </c>
      <c r="CF13" s="30">
        <f t="shared" si="13"/>
        <v>433.87970946811032</v>
      </c>
      <c r="CG13" s="30">
        <f t="shared" si="13"/>
        <v>429.54091237342919</v>
      </c>
      <c r="CH13" s="30">
        <f t="shared" si="13"/>
        <v>425.24550324969488</v>
      </c>
      <c r="CI13" s="30">
        <f t="shared" si="13"/>
        <v>420.99304821719795</v>
      </c>
      <c r="CJ13" s="30">
        <f t="shared" si="13"/>
        <v>416.783117735026</v>
      </c>
      <c r="CK13" s="30">
        <f t="shared" si="13"/>
        <v>412.61528655767574</v>
      </c>
      <c r="CL13" s="30">
        <f t="shared" si="13"/>
        <v>408.48913369209896</v>
      </c>
      <c r="CM13" s="30">
        <f t="shared" si="13"/>
        <v>404.40424235517798</v>
      </c>
      <c r="CN13" s="30">
        <f t="shared" si="13"/>
        <v>400.3601999316262</v>
      </c>
      <c r="CO13" s="30">
        <f t="shared" si="13"/>
        <v>396.35659793230991</v>
      </c>
      <c r="CP13" s="30">
        <f t="shared" si="13"/>
        <v>392.3930319529868</v>
      </c>
      <c r="CQ13" s="30">
        <f t="shared" si="13"/>
        <v>388.46910163345694</v>
      </c>
      <c r="CR13" s="30">
        <f t="shared" si="13"/>
        <v>384.58441061712239</v>
      </c>
      <c r="CS13" s="30">
        <f t="shared" si="13"/>
        <v>380.73856651095116</v>
      </c>
      <c r="CT13" s="30">
        <f t="shared" si="13"/>
        <v>376.93118084584165</v>
      </c>
      <c r="CU13" s="30">
        <f t="shared" si="13"/>
        <v>373.16186903738321</v>
      </c>
      <c r="CV13" s="30">
        <f t="shared" si="13"/>
        <v>369.43025034700941</v>
      </c>
      <c r="CW13" s="30">
        <f t="shared" si="13"/>
        <v>365.73594784353929</v>
      </c>
      <c r="CX13" s="30">
        <f t="shared" si="13"/>
        <v>362.07858836510388</v>
      </c>
      <c r="CY13" s="30">
        <f t="shared" ref="CY13:EB13" si="14">CX13*(1+$AN$17)</f>
        <v>358.45780248145286</v>
      </c>
      <c r="CZ13" s="30">
        <f t="shared" si="14"/>
        <v>354.87322445663835</v>
      </c>
      <c r="DA13" s="30">
        <f t="shared" si="14"/>
        <v>351.32449221207196</v>
      </c>
      <c r="DB13" s="30">
        <f t="shared" si="14"/>
        <v>347.81124728995121</v>
      </c>
      <c r="DC13" s="30">
        <f t="shared" si="14"/>
        <v>344.3331348170517</v>
      </c>
      <c r="DD13" s="30">
        <f t="shared" si="14"/>
        <v>340.88980346888115</v>
      </c>
      <c r="DE13" s="30">
        <f t="shared" si="14"/>
        <v>337.48090543419232</v>
      </c>
      <c r="DF13" s="30">
        <f t="shared" si="14"/>
        <v>334.10609637985038</v>
      </c>
      <c r="DG13" s="30">
        <f t="shared" si="14"/>
        <v>330.76503541605189</v>
      </c>
      <c r="DH13" s="30">
        <f t="shared" si="14"/>
        <v>327.45738506189139</v>
      </c>
      <c r="DI13" s="30">
        <f t="shared" si="14"/>
        <v>324.18281121127245</v>
      </c>
      <c r="DJ13" s="30">
        <f t="shared" si="14"/>
        <v>320.94098309915972</v>
      </c>
      <c r="DK13" s="30">
        <f t="shared" si="14"/>
        <v>317.73157326816812</v>
      </c>
      <c r="DL13" s="30">
        <f t="shared" si="14"/>
        <v>314.55425753548644</v>
      </c>
      <c r="DM13" s="30">
        <f t="shared" si="14"/>
        <v>311.40871496013159</v>
      </c>
      <c r="DN13" s="30">
        <f t="shared" si="14"/>
        <v>308.29462781053024</v>
      </c>
      <c r="DO13" s="30">
        <f t="shared" si="14"/>
        <v>305.21168153242496</v>
      </c>
      <c r="DP13" s="30">
        <f t="shared" si="14"/>
        <v>302.15956471710069</v>
      </c>
      <c r="DQ13" s="30">
        <f t="shared" si="14"/>
        <v>299.13796906992968</v>
      </c>
      <c r="DR13" s="30">
        <f t="shared" si="14"/>
        <v>296.14658937923036</v>
      </c>
      <c r="DS13" s="30">
        <f t="shared" si="14"/>
        <v>293.18512348543806</v>
      </c>
      <c r="DT13" s="30">
        <f t="shared" si="14"/>
        <v>290.25327225058368</v>
      </c>
      <c r="DU13" s="30">
        <f t="shared" si="14"/>
        <v>287.35073952807784</v>
      </c>
      <c r="DV13" s="30">
        <f t="shared" si="14"/>
        <v>284.47723213279704</v>
      </c>
      <c r="DW13" s="30">
        <f t="shared" si="14"/>
        <v>281.63245981146906</v>
      </c>
      <c r="DX13" s="30">
        <f t="shared" si="14"/>
        <v>278.81613521335436</v>
      </c>
      <c r="DY13" s="30">
        <f t="shared" si="14"/>
        <v>276.0279738612208</v>
      </c>
      <c r="DZ13" s="30">
        <f t="shared" si="14"/>
        <v>273.26769412260859</v>
      </c>
      <c r="EA13" s="30">
        <f t="shared" si="14"/>
        <v>270.5350171813825</v>
      </c>
      <c r="EB13" s="30">
        <f t="shared" si="14"/>
        <v>267.82966700956865</v>
      </c>
    </row>
    <row r="14" spans="1:132" x14ac:dyDescent="0.25">
      <c r="C14" s="1" t="s">
        <v>46</v>
      </c>
      <c r="D14" s="1">
        <f t="shared" ref="D14:N14" si="15">SUM(D12:D13)</f>
        <v>11</v>
      </c>
      <c r="E14" s="1">
        <f t="shared" si="15"/>
        <v>15</v>
      </c>
      <c r="F14" s="1">
        <f t="shared" si="15"/>
        <v>11.747000000000014</v>
      </c>
      <c r="G14" s="1">
        <f t="shared" si="15"/>
        <v>17</v>
      </c>
      <c r="H14" s="1">
        <f t="shared" si="15"/>
        <v>-4</v>
      </c>
      <c r="I14" s="1">
        <f t="shared" si="15"/>
        <v>-7</v>
      </c>
      <c r="J14" s="1">
        <f t="shared" si="15"/>
        <v>-6</v>
      </c>
      <c r="K14" s="1">
        <f t="shared" si="15"/>
        <v>7</v>
      </c>
      <c r="L14" s="1">
        <f t="shared" si="15"/>
        <v>-11</v>
      </c>
      <c r="M14" s="1">
        <f t="shared" si="15"/>
        <v>-5</v>
      </c>
      <c r="N14" s="1">
        <f t="shared" si="15"/>
        <v>32</v>
      </c>
      <c r="O14" s="1">
        <f>SUM(O12:O13)</f>
        <v>22</v>
      </c>
      <c r="P14" s="9">
        <f>SUM(P12:P13)</f>
        <v>-7</v>
      </c>
      <c r="V14" s="24">
        <f t="shared" ref="V14:W14" si="16">SUM(V12:V13)</f>
        <v>81.275000000000105</v>
      </c>
      <c r="W14" s="24">
        <f t="shared" si="16"/>
        <v>97.250999999999991</v>
      </c>
      <c r="X14" s="24">
        <f>SUM(X12:X13)</f>
        <v>51.946999999999889</v>
      </c>
      <c r="Y14" s="24">
        <f>SUM(Y12:Y13)</f>
        <v>-10</v>
      </c>
      <c r="Z14" s="24">
        <f>SUM(Z12:Z13)</f>
        <v>38</v>
      </c>
      <c r="AA14" s="36">
        <f t="shared" ref="AA14:AK14" si="17">SUM(AA12:AA13)</f>
        <v>57.829200000000078</v>
      </c>
      <c r="AB14" s="24">
        <f t="shared" si="17"/>
        <v>87.236135999999874</v>
      </c>
      <c r="AC14" s="24">
        <f t="shared" si="17"/>
        <v>117.80460431999978</v>
      </c>
      <c r="AD14" s="24">
        <f t="shared" si="17"/>
        <v>168.29165283839978</v>
      </c>
      <c r="AE14" s="24">
        <f t="shared" si="17"/>
        <v>223.94192181004777</v>
      </c>
      <c r="AF14" s="24">
        <f t="shared" si="17"/>
        <v>285.22788901042196</v>
      </c>
      <c r="AG14" s="24">
        <f t="shared" si="17"/>
        <v>352.66360429036655</v>
      </c>
      <c r="AH14" s="24">
        <f t="shared" si="17"/>
        <v>426.80827180072862</v>
      </c>
      <c r="AI14" s="24">
        <f t="shared" si="17"/>
        <v>508.27013659284069</v>
      </c>
      <c r="AJ14" s="24">
        <f t="shared" si="17"/>
        <v>597.71070118769182</v>
      </c>
      <c r="AK14" s="24">
        <f t="shared" si="17"/>
        <v>695.84929984097721</v>
      </c>
    </row>
    <row r="15" spans="1:132" x14ac:dyDescent="0.25">
      <c r="C15" s="2" t="s">
        <v>47</v>
      </c>
      <c r="D15" s="12">
        <v>22.7822</v>
      </c>
      <c r="E15" s="12">
        <v>22.7822</v>
      </c>
      <c r="F15" s="12">
        <v>25.7822</v>
      </c>
      <c r="G15" s="12">
        <v>20.7822</v>
      </c>
      <c r="H15" s="12">
        <v>22.7822</v>
      </c>
      <c r="I15" s="12">
        <v>22.7822</v>
      </c>
      <c r="J15" s="12">
        <v>25.7822</v>
      </c>
      <c r="K15" s="12">
        <v>25.7822</v>
      </c>
      <c r="L15" s="12">
        <v>50.8</v>
      </c>
      <c r="M15" s="12">
        <v>50.782200000000003</v>
      </c>
      <c r="N15" s="12">
        <v>50.782200000000003</v>
      </c>
      <c r="O15" s="12">
        <v>50.782200000000003</v>
      </c>
      <c r="P15" s="11">
        <v>50.782200000000003</v>
      </c>
      <c r="V15" s="12">
        <v>21.3</v>
      </c>
      <c r="W15" s="12">
        <v>21.3</v>
      </c>
      <c r="X15" s="12">
        <v>50.782200000000003</v>
      </c>
      <c r="Y15" s="12">
        <v>50.782200000000003</v>
      </c>
      <c r="Z15" s="12">
        <v>50.782200000000003</v>
      </c>
      <c r="AA15" s="11">
        <v>50.782200000000003</v>
      </c>
      <c r="AB15" s="12">
        <v>50.782200000000003</v>
      </c>
      <c r="AC15" s="12">
        <v>50.782200000000003</v>
      </c>
      <c r="AD15" s="12">
        <v>50.782200000000003</v>
      </c>
      <c r="AE15" s="12">
        <v>50.782200000000003</v>
      </c>
      <c r="AF15" s="12">
        <v>50.782200000000003</v>
      </c>
      <c r="AG15" s="12">
        <v>50.782200000000003</v>
      </c>
      <c r="AH15" s="12">
        <v>50.782200000000003</v>
      </c>
      <c r="AI15" s="12">
        <v>50.782200000000003</v>
      </c>
      <c r="AJ15" s="12">
        <v>50.782200000000003</v>
      </c>
      <c r="AK15" s="12">
        <v>50.782200000000003</v>
      </c>
    </row>
    <row r="16" spans="1:132" x14ac:dyDescent="0.25">
      <c r="C16" s="2" t="s">
        <v>48</v>
      </c>
      <c r="D16" s="13">
        <f t="shared" ref="D16:N16" si="18">D14/D15</f>
        <v>0.48283308899052768</v>
      </c>
      <c r="E16" s="13">
        <f t="shared" si="18"/>
        <v>0.65840875771435592</v>
      </c>
      <c r="F16" s="13">
        <f t="shared" si="18"/>
        <v>0.45562442305156325</v>
      </c>
      <c r="G16" s="13">
        <f t="shared" si="18"/>
        <v>0.81800771814341122</v>
      </c>
      <c r="H16" s="13">
        <f t="shared" si="18"/>
        <v>-0.17557566872382827</v>
      </c>
      <c r="I16" s="13">
        <f t="shared" si="18"/>
        <v>-0.30725742026669944</v>
      </c>
      <c r="J16" s="13">
        <f t="shared" si="18"/>
        <v>-0.23271869739587778</v>
      </c>
      <c r="K16" s="13">
        <f t="shared" si="18"/>
        <v>0.2715051469618574</v>
      </c>
      <c r="L16" s="13">
        <f t="shared" si="18"/>
        <v>-0.21653543307086615</v>
      </c>
      <c r="M16" s="13">
        <f t="shared" si="18"/>
        <v>-9.8459696507831485E-2</v>
      </c>
      <c r="N16" s="13">
        <f t="shared" si="18"/>
        <v>0.63014205765012143</v>
      </c>
      <c r="O16" s="13">
        <f>O14/O15</f>
        <v>0.43322266463445852</v>
      </c>
      <c r="P16" s="10">
        <f>P14/P15</f>
        <v>-0.13784357511096407</v>
      </c>
      <c r="V16" s="13">
        <f>V14/V15</f>
        <v>3.8157276995305214</v>
      </c>
      <c r="W16" s="13">
        <f>W14/W15</f>
        <v>4.5657746478873236</v>
      </c>
      <c r="X16" s="13">
        <f t="shared" ref="X16" si="19">X14/X15</f>
        <v>1.0229371708984623</v>
      </c>
      <c r="Y16" s="13">
        <f t="shared" ref="Y16:AK16" si="20">Y14/Y15</f>
        <v>-0.19691939301566297</v>
      </c>
      <c r="Z16" s="13">
        <f t="shared" ref="Z16" si="21">Z14/Z15</f>
        <v>0.74829369345951924</v>
      </c>
      <c r="AA16" s="10">
        <f t="shared" si="20"/>
        <v>1.1387690962581392</v>
      </c>
      <c r="AB16" s="13">
        <f t="shared" si="20"/>
        <v>1.7178486950151799</v>
      </c>
      <c r="AC16" s="13">
        <f t="shared" si="20"/>
        <v>2.3198011177144702</v>
      </c>
      <c r="AD16" s="13">
        <f t="shared" si="20"/>
        <v>3.3139890126540359</v>
      </c>
      <c r="AE16" s="13">
        <f t="shared" si="20"/>
        <v>4.4098507313595663</v>
      </c>
      <c r="AF16" s="13">
        <f t="shared" si="20"/>
        <v>5.6166902775071179</v>
      </c>
      <c r="AG16" s="13">
        <f t="shared" si="20"/>
        <v>6.9446302895574927</v>
      </c>
      <c r="AH16" s="13">
        <f t="shared" si="20"/>
        <v>8.4046825817063571</v>
      </c>
      <c r="AI16" s="13">
        <f t="shared" si="20"/>
        <v>10.008824678585029</v>
      </c>
      <c r="AJ16" s="13">
        <f t="shared" si="20"/>
        <v>11.770082847684657</v>
      </c>
      <c r="AK16" s="13">
        <f t="shared" si="20"/>
        <v>13.702622175505928</v>
      </c>
      <c r="AM16" s="2" t="s">
        <v>95</v>
      </c>
      <c r="AN16" s="29">
        <v>0.08</v>
      </c>
    </row>
    <row r="17" spans="2:40" x14ac:dyDescent="0.25">
      <c r="AM17" s="2" t="s">
        <v>96</v>
      </c>
      <c r="AN17" s="29">
        <v>-0.01</v>
      </c>
    </row>
    <row r="18" spans="2:40" x14ac:dyDescent="0.25">
      <c r="C18" s="1" t="s">
        <v>34</v>
      </c>
      <c r="D18" s="16">
        <v>6.3E-2</v>
      </c>
      <c r="E18" s="16">
        <v>0.11600000000000001</v>
      </c>
      <c r="F18" s="16">
        <v>0.106</v>
      </c>
      <c r="G18" s="16">
        <v>9.4E-2</v>
      </c>
      <c r="H18" s="16">
        <f t="shared" ref="H18:P18" si="22">(H4-D4)/D4</f>
        <v>4.3596730245231606E-2</v>
      </c>
      <c r="I18" s="16">
        <f t="shared" si="22"/>
        <v>-8.9385474860335198E-2</v>
      </c>
      <c r="J18" s="16">
        <f t="shared" si="22"/>
        <v>7.537688442211055E-3</v>
      </c>
      <c r="K18" s="16">
        <f t="shared" si="22"/>
        <v>-1.3944223107569721E-2</v>
      </c>
      <c r="L18" s="16">
        <f t="shared" si="22"/>
        <v>-8.6161879895561358E-2</v>
      </c>
      <c r="M18" s="16">
        <f t="shared" si="22"/>
        <v>7.0552147239263799E-2</v>
      </c>
      <c r="N18" s="16">
        <f t="shared" si="22"/>
        <v>1.4962593516209476E-2</v>
      </c>
      <c r="O18" s="16">
        <f t="shared" si="22"/>
        <v>5.0505050505050504E-2</v>
      </c>
      <c r="P18" s="17">
        <f t="shared" si="22"/>
        <v>0.13142857142857142</v>
      </c>
      <c r="Q18" s="16">
        <f t="shared" ref="Q18" si="23">(Q4-M4)/M4</f>
        <v>-1</v>
      </c>
      <c r="R18" s="16">
        <f t="shared" ref="R18" si="24">(R4-N4)/N4</f>
        <v>-1</v>
      </c>
      <c r="S18" s="16">
        <f t="shared" ref="S18" si="25">(S4-O4)/O4</f>
        <v>-1</v>
      </c>
      <c r="V18" s="16"/>
      <c r="W18" s="16">
        <f t="shared" ref="W18:AK18" si="26">(W4-V4)/V4</f>
        <v>0.12876113121573615</v>
      </c>
      <c r="X18" s="16">
        <f t="shared" si="26"/>
        <v>9.4032975837019431E-2</v>
      </c>
      <c r="Y18" s="16">
        <f t="shared" si="26"/>
        <v>-1.2307692307692308E-2</v>
      </c>
      <c r="Z18" s="16">
        <f t="shared" si="26"/>
        <v>1.3084112149532711E-2</v>
      </c>
      <c r="AA18" s="17">
        <f t="shared" si="26"/>
        <v>0.10000000000000009</v>
      </c>
      <c r="AB18" s="16">
        <f t="shared" si="26"/>
        <v>8.4999999999999964E-2</v>
      </c>
      <c r="AC18" s="16">
        <f t="shared" si="26"/>
        <v>7.999999999999996E-2</v>
      </c>
      <c r="AD18" s="16">
        <f t="shared" si="26"/>
        <v>8.0000000000000099E-2</v>
      </c>
      <c r="AE18" s="16">
        <f t="shared" si="26"/>
        <v>8.000000000000014E-2</v>
      </c>
      <c r="AF18" s="16">
        <f t="shared" si="26"/>
        <v>8.0000000000000127E-2</v>
      </c>
      <c r="AG18" s="16">
        <f t="shared" si="26"/>
        <v>8.0000000000000113E-2</v>
      </c>
      <c r="AH18" s="16">
        <f t="shared" si="26"/>
        <v>8.0000000000000016E-2</v>
      </c>
      <c r="AI18" s="16">
        <f t="shared" si="26"/>
        <v>0.08</v>
      </c>
      <c r="AJ18" s="16">
        <f t="shared" si="26"/>
        <v>8.0000000000000016E-2</v>
      </c>
      <c r="AK18" s="16">
        <f t="shared" si="26"/>
        <v>8.0000000000000085E-2</v>
      </c>
      <c r="AM18" s="22" t="s">
        <v>97</v>
      </c>
      <c r="AN18" s="31">
        <f>NPV(AN16,AA13:EB13)</f>
        <v>2733.7693942524593</v>
      </c>
    </row>
    <row r="19" spans="2:40" x14ac:dyDescent="0.25">
      <c r="B19" s="4" t="s">
        <v>131</v>
      </c>
      <c r="C19" s="1" t="s">
        <v>128</v>
      </c>
      <c r="D19" s="16">
        <v>-1.2E-2</v>
      </c>
      <c r="E19" s="16">
        <v>-2.4E-2</v>
      </c>
      <c r="F19" s="16">
        <v>-1.4E-2</v>
      </c>
      <c r="G19" s="16">
        <v>-2.5000000000000001E-2</v>
      </c>
      <c r="H19" s="16">
        <v>-3.2000000000000001E-2</v>
      </c>
      <c r="I19" s="16">
        <v>-0.107</v>
      </c>
      <c r="J19" s="16">
        <v>-3.3000000000000002E-2</v>
      </c>
      <c r="K19" s="16">
        <v>-4.1000000000000002E-2</v>
      </c>
      <c r="L19" s="16">
        <v>-0.10199999999999999</v>
      </c>
      <c r="M19" s="16">
        <v>4.3999999999999997E-2</v>
      </c>
      <c r="N19" s="16">
        <v>1.0999999999999999E-2</v>
      </c>
      <c r="O19" s="16">
        <v>1.7999999999999999E-2</v>
      </c>
      <c r="P19" s="17">
        <v>8.7999999999999995E-2</v>
      </c>
      <c r="Q19" s="16"/>
      <c r="R19" s="16"/>
      <c r="S19" s="16"/>
      <c r="T19" s="23"/>
      <c r="U19" s="23"/>
      <c r="V19" s="16"/>
      <c r="W19" s="16"/>
      <c r="X19" s="16"/>
      <c r="Y19" s="16"/>
      <c r="Z19" s="16"/>
      <c r="AA19" s="38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M19" s="2" t="s">
        <v>2</v>
      </c>
      <c r="AN19" s="12">
        <v>50.782200000000003</v>
      </c>
    </row>
    <row r="20" spans="2:40" x14ac:dyDescent="0.25">
      <c r="C20" s="2" t="s">
        <v>130</v>
      </c>
      <c r="H20" s="14">
        <f t="shared" ref="H20:O20" si="27">(H9-D9)/D9</f>
        <v>8.9855072463768115E-2</v>
      </c>
      <c r="I20" s="14">
        <f t="shared" si="27"/>
        <v>-3.0211480362537766E-2</v>
      </c>
      <c r="J20" s="14">
        <f t="shared" si="27"/>
        <v>5.7798874693357968E-2</v>
      </c>
      <c r="K20" s="14">
        <f t="shared" si="27"/>
        <v>2.8571428571428571E-2</v>
      </c>
      <c r="L20" s="14">
        <f t="shared" si="27"/>
        <v>-5.8510638297872342E-2</v>
      </c>
      <c r="M20" s="14">
        <f t="shared" si="27"/>
        <v>7.1651090342679122E-2</v>
      </c>
      <c r="N20" s="14">
        <f t="shared" si="27"/>
        <v>2.2613065326633167E-2</v>
      </c>
      <c r="O20" s="14">
        <f t="shared" si="27"/>
        <v>3.4188034188034191E-2</v>
      </c>
      <c r="P20" s="15">
        <f>(P9-L9)/L9</f>
        <v>9.8870056497175146E-2</v>
      </c>
      <c r="Q20" s="14">
        <f t="shared" ref="Q20:S20" si="28">(Q9-M9)/M9</f>
        <v>-1</v>
      </c>
      <c r="R20" s="14">
        <f t="shared" si="28"/>
        <v>-1</v>
      </c>
      <c r="S20" s="14">
        <f t="shared" si="28"/>
        <v>-1</v>
      </c>
      <c r="W20" s="14">
        <f t="shared" ref="W20:Z20" si="29">(W9-V9)/V9</f>
        <v>0.13352428406161843</v>
      </c>
      <c r="X20" s="14">
        <f t="shared" si="29"/>
        <v>0.12657145606861264</v>
      </c>
      <c r="Y20" s="14">
        <f t="shared" si="29"/>
        <v>3.5063007722245437E-2</v>
      </c>
      <c r="Z20" s="14">
        <f t="shared" si="29"/>
        <v>1.6634676903390915E-2</v>
      </c>
      <c r="AA20" s="15">
        <f>(AA9-Z9)/Z9</f>
        <v>6.0075519194461947E-2</v>
      </c>
      <c r="AB20" s="14">
        <f t="shared" ref="AB20:AK20" si="30">(AB9-AA9)/AA9</f>
        <v>6.7873265022618645E-2</v>
      </c>
      <c r="AC20" s="14">
        <f t="shared" si="30"/>
        <v>6.4521233109060341E-2</v>
      </c>
      <c r="AD20" s="14">
        <f t="shared" si="30"/>
        <v>5.3760626973747457E-2</v>
      </c>
      <c r="AE20" s="14">
        <f t="shared" si="30"/>
        <v>5.4384981847651184E-2</v>
      </c>
      <c r="AF20" s="14">
        <f t="shared" si="30"/>
        <v>5.4992915578959349E-2</v>
      </c>
      <c r="AG20" s="14">
        <f t="shared" si="30"/>
        <v>5.5584244286266786E-2</v>
      </c>
      <c r="AH20" s="14">
        <f t="shared" si="30"/>
        <v>5.6158840349934971E-2</v>
      </c>
      <c r="AI20" s="14">
        <f t="shared" si="30"/>
        <v>5.6716629934043507E-2</v>
      </c>
      <c r="AJ20" s="14">
        <f t="shared" si="30"/>
        <v>5.7257590270747401E-2</v>
      </c>
      <c r="AK20" s="14">
        <f t="shared" si="30"/>
        <v>5.7781746754098744E-2</v>
      </c>
      <c r="AM20" s="1" t="s">
        <v>98</v>
      </c>
      <c r="AN20" s="32">
        <f>AN18/AN19</f>
        <v>53.833220976099085</v>
      </c>
    </row>
    <row r="21" spans="2:40" x14ac:dyDescent="0.25">
      <c r="C21" s="2" t="s">
        <v>87</v>
      </c>
      <c r="D21" s="14">
        <f t="shared" ref="D21:P21" si="31">(D4+D5)/D4</f>
        <v>0.37329700272479566</v>
      </c>
      <c r="E21" s="14">
        <f t="shared" si="31"/>
        <v>0.35195530726256985</v>
      </c>
      <c r="F21" s="14">
        <f t="shared" si="31"/>
        <v>0.37688442211055279</v>
      </c>
      <c r="G21" s="14">
        <f t="shared" si="31"/>
        <v>0.38645418326693226</v>
      </c>
      <c r="H21" s="14">
        <f t="shared" si="31"/>
        <v>0.35770234986945171</v>
      </c>
      <c r="I21" s="14">
        <f t="shared" si="31"/>
        <v>0.34662576687116564</v>
      </c>
      <c r="J21" s="14">
        <f t="shared" si="31"/>
        <v>0.35411471321695759</v>
      </c>
      <c r="K21" s="14">
        <f t="shared" si="31"/>
        <v>0.3292929292929293</v>
      </c>
      <c r="L21" s="14">
        <f t="shared" si="31"/>
        <v>0.3457142857142857</v>
      </c>
      <c r="M21" s="14">
        <f t="shared" si="31"/>
        <v>0.32378223495702008</v>
      </c>
      <c r="N21" s="14">
        <f t="shared" si="31"/>
        <v>0.33415233415233414</v>
      </c>
      <c r="O21" s="14">
        <f t="shared" si="31"/>
        <v>0.35</v>
      </c>
      <c r="P21" s="15">
        <f t="shared" si="31"/>
        <v>0.3611111111111111</v>
      </c>
      <c r="Q21" s="14" t="e">
        <f t="shared" ref="Q21:S21" si="32">(Q4+Q5)/Q4</f>
        <v>#DIV/0!</v>
      </c>
      <c r="R21" s="14" t="e">
        <f t="shared" si="32"/>
        <v>#DIV/0!</v>
      </c>
      <c r="S21" s="14" t="e">
        <f t="shared" si="32"/>
        <v>#DIV/0!</v>
      </c>
      <c r="V21" s="14">
        <f t="shared" ref="V21:AK21" si="33">(V4+V5)/V4</f>
        <v>0.3932725584279585</v>
      </c>
      <c r="W21" s="14">
        <f t="shared" si="33"/>
        <v>0.38578968983323569</v>
      </c>
      <c r="X21" s="14">
        <f t="shared" si="33"/>
        <v>0.37353846153846154</v>
      </c>
      <c r="Y21" s="14">
        <f t="shared" si="33"/>
        <v>0.34579439252336447</v>
      </c>
      <c r="Z21" s="14">
        <f t="shared" si="33"/>
        <v>0.33948339483394835</v>
      </c>
      <c r="AA21" s="15">
        <f t="shared" si="33"/>
        <v>0.3514927876551493</v>
      </c>
      <c r="AB21" s="14">
        <f t="shared" si="33"/>
        <v>0.35448130015443419</v>
      </c>
      <c r="AC21" s="14">
        <f t="shared" si="33"/>
        <v>0.35448130015443413</v>
      </c>
      <c r="AD21" s="14">
        <f t="shared" si="33"/>
        <v>0.36045832515300419</v>
      </c>
      <c r="AE21" s="14">
        <f t="shared" si="33"/>
        <v>0.36638000732751347</v>
      </c>
      <c r="AF21" s="14">
        <f t="shared" si="33"/>
        <v>0.37224685911151806</v>
      </c>
      <c r="AG21" s="14">
        <f t="shared" si="33"/>
        <v>0.37805938819381885</v>
      </c>
      <c r="AH21" s="14">
        <f t="shared" si="33"/>
        <v>0.3838180975623946</v>
      </c>
      <c r="AI21" s="14">
        <f t="shared" si="33"/>
        <v>0.38952348554792793</v>
      </c>
      <c r="AJ21" s="14">
        <f t="shared" si="33"/>
        <v>0.39517604586692856</v>
      </c>
      <c r="AK21" s="14">
        <f t="shared" si="33"/>
        <v>0.40077626766445701</v>
      </c>
      <c r="AM21" s="1" t="s">
        <v>99</v>
      </c>
      <c r="AN21" s="16">
        <f>(AN20-B4)/B4</f>
        <v>9.7666441952198166</v>
      </c>
    </row>
    <row r="22" spans="2:40" x14ac:dyDescent="0.25">
      <c r="C22" s="2" t="s">
        <v>53</v>
      </c>
      <c r="D22" s="14">
        <f t="shared" ref="D22:P22" si="34">D10/D4</f>
        <v>5.9945504087193457E-2</v>
      </c>
      <c r="E22" s="14">
        <f t="shared" si="34"/>
        <v>7.5418994413407825E-2</v>
      </c>
      <c r="F22" s="14">
        <f t="shared" si="34"/>
        <v>5.4640703517587978E-2</v>
      </c>
      <c r="G22" s="14">
        <f t="shared" si="34"/>
        <v>9.3625498007968128E-2</v>
      </c>
      <c r="H22" s="14">
        <f t="shared" si="34"/>
        <v>1.8276762402088774E-2</v>
      </c>
      <c r="I22" s="14">
        <f t="shared" si="34"/>
        <v>1.5337423312883436E-2</v>
      </c>
      <c r="J22" s="14">
        <f t="shared" si="34"/>
        <v>7.481296758104738E-3</v>
      </c>
      <c r="K22" s="14">
        <f t="shared" si="34"/>
        <v>5.4545454545454543E-2</v>
      </c>
      <c r="L22" s="14">
        <f t="shared" si="34"/>
        <v>-1.1428571428571429E-2</v>
      </c>
      <c r="M22" s="14">
        <f t="shared" si="34"/>
        <v>1.4326647564469915E-2</v>
      </c>
      <c r="N22" s="14">
        <f t="shared" si="34"/>
        <v>0</v>
      </c>
      <c r="O22" s="14">
        <f t="shared" si="34"/>
        <v>6.9230769230769235E-2</v>
      </c>
      <c r="P22" s="15">
        <f t="shared" si="34"/>
        <v>1.7676767676767676E-2</v>
      </c>
      <c r="Q22" s="14" t="e">
        <f t="shared" ref="Q22:S22" si="35">Q10/Q4</f>
        <v>#DIV/0!</v>
      </c>
      <c r="R22" s="14" t="e">
        <f t="shared" si="35"/>
        <v>#DIV/0!</v>
      </c>
      <c r="S22" s="14" t="e">
        <f t="shared" si="35"/>
        <v>#DIV/0!</v>
      </c>
      <c r="V22" s="14">
        <f t="shared" ref="V22:AK22" si="36">V10/V4</f>
        <v>0.10136834729849069</v>
      </c>
      <c r="W22" s="14">
        <f t="shared" si="36"/>
        <v>9.7576296176607222E-2</v>
      </c>
      <c r="X22" s="14">
        <f t="shared" si="36"/>
        <v>7.0736615384615315E-2</v>
      </c>
      <c r="Y22" s="14">
        <f t="shared" si="36"/>
        <v>2.6168224299065422E-2</v>
      </c>
      <c r="Z22" s="14">
        <f t="shared" si="36"/>
        <v>2.2755227552275523E-2</v>
      </c>
      <c r="AA22" s="15">
        <f t="shared" si="36"/>
        <v>5.8224309515822484E-2</v>
      </c>
      <c r="AB22" s="14">
        <f t="shared" si="36"/>
        <v>7.3090247450442583E-2</v>
      </c>
      <c r="AC22" s="14">
        <f t="shared" si="36"/>
        <v>8.6374895588084352E-2</v>
      </c>
      <c r="AD22" s="14">
        <f t="shared" si="36"/>
        <v>0.10857207144068924</v>
      </c>
      <c r="AE22" s="14">
        <f t="shared" si="36"/>
        <v>0.1297146108587981</v>
      </c>
      <c r="AF22" s="14">
        <f t="shared" si="36"/>
        <v>0.14986581474458732</v>
      </c>
      <c r="AG22" s="14">
        <f t="shared" si="36"/>
        <v>0.16908495232892978</v>
      </c>
      <c r="AH22" s="14">
        <f t="shared" si="36"/>
        <v>0.18742752483556627</v>
      </c>
      <c r="AI22" s="14">
        <f t="shared" si="36"/>
        <v>0.20494551154358825</v>
      </c>
      <c r="AJ22" s="14">
        <f t="shared" si="36"/>
        <v>0.22168759944502997</v>
      </c>
      <c r="AK22" s="14">
        <f t="shared" si="36"/>
        <v>0.23769939761165565</v>
      </c>
    </row>
    <row r="24" spans="2:40" x14ac:dyDescent="0.25">
      <c r="C24" s="3" t="s">
        <v>35</v>
      </c>
    </row>
    <row r="26" spans="2:40" x14ac:dyDescent="0.25">
      <c r="C26" s="2" t="s">
        <v>54</v>
      </c>
      <c r="D26" s="25">
        <v>413.17899999999997</v>
      </c>
      <c r="E26" s="25">
        <v>395.15300000000002</v>
      </c>
      <c r="F26" s="25">
        <v>395.15300000000002</v>
      </c>
      <c r="G26" s="25">
        <v>432</v>
      </c>
      <c r="H26" s="25">
        <v>432</v>
      </c>
      <c r="I26" s="25">
        <v>432</v>
      </c>
      <c r="J26" s="25">
        <v>432</v>
      </c>
      <c r="K26" s="25">
        <v>432</v>
      </c>
      <c r="L26" s="25">
        <v>452</v>
      </c>
      <c r="M26" s="25">
        <v>449</v>
      </c>
      <c r="N26" s="25">
        <v>459</v>
      </c>
      <c r="O26" s="25">
        <v>456</v>
      </c>
      <c r="P26" s="37">
        <v>462</v>
      </c>
    </row>
    <row r="27" spans="2:40" x14ac:dyDescent="0.25">
      <c r="C27" s="2" t="s">
        <v>55</v>
      </c>
      <c r="D27" s="25">
        <v>6.6689999999999996</v>
      </c>
      <c r="E27" s="25">
        <v>6.53</v>
      </c>
      <c r="F27" s="25">
        <v>6.6289999999999996</v>
      </c>
      <c r="G27" s="25">
        <v>22</v>
      </c>
      <c r="H27" s="25">
        <v>22</v>
      </c>
      <c r="I27" s="25">
        <v>22</v>
      </c>
      <c r="J27" s="25">
        <v>22</v>
      </c>
      <c r="K27" s="25">
        <v>21</v>
      </c>
      <c r="L27" s="25">
        <v>20</v>
      </c>
      <c r="M27" s="25">
        <v>20</v>
      </c>
      <c r="N27" s="25">
        <v>18</v>
      </c>
      <c r="O27" s="25">
        <v>58</v>
      </c>
      <c r="P27" s="37">
        <v>57</v>
      </c>
    </row>
    <row r="28" spans="2:40" x14ac:dyDescent="0.25">
      <c r="C28" s="2" t="s">
        <v>56</v>
      </c>
      <c r="D28" s="25">
        <v>5.234</v>
      </c>
      <c r="E28" s="25">
        <v>5.6289999999999996</v>
      </c>
      <c r="F28" s="25">
        <v>5.5469999999999997</v>
      </c>
      <c r="G28" s="25">
        <v>8</v>
      </c>
      <c r="H28" s="25">
        <v>9</v>
      </c>
      <c r="I28" s="25">
        <v>11</v>
      </c>
      <c r="J28" s="25">
        <v>14</v>
      </c>
      <c r="K28" s="25">
        <v>16</v>
      </c>
      <c r="L28" s="25">
        <v>18</v>
      </c>
      <c r="M28" s="25">
        <v>21</v>
      </c>
      <c r="N28" s="25">
        <v>22</v>
      </c>
      <c r="O28" s="25">
        <v>21</v>
      </c>
      <c r="P28" s="37">
        <v>27</v>
      </c>
      <c r="Q28" s="1"/>
      <c r="R28" s="1"/>
      <c r="S28" s="1"/>
      <c r="T28" s="1"/>
      <c r="U28" s="1"/>
    </row>
    <row r="29" spans="2:40" x14ac:dyDescent="0.25">
      <c r="C29" s="2" t="s">
        <v>57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2</v>
      </c>
      <c r="P29" s="37">
        <f>2+406</f>
        <v>408</v>
      </c>
      <c r="V29" s="1"/>
      <c r="W29" s="1"/>
    </row>
    <row r="30" spans="2:40" x14ac:dyDescent="0.25">
      <c r="C30" s="2" t="s">
        <v>58</v>
      </c>
      <c r="D30" s="25">
        <v>488.154</v>
      </c>
      <c r="E30" s="25">
        <v>473.09699999999998</v>
      </c>
      <c r="F30" s="25">
        <v>470.25400000000002</v>
      </c>
      <c r="G30" s="25">
        <v>463</v>
      </c>
      <c r="H30" s="25">
        <v>471</v>
      </c>
      <c r="I30" s="25">
        <v>473</v>
      </c>
      <c r="J30" s="25">
        <v>450</v>
      </c>
      <c r="K30" s="25">
        <v>497</v>
      </c>
      <c r="L30" s="25">
        <v>545</v>
      </c>
      <c r="M30" s="25">
        <v>525</v>
      </c>
      <c r="N30" s="25">
        <v>528</v>
      </c>
      <c r="O30" s="25">
        <v>489</v>
      </c>
      <c r="P30" s="37">
        <v>81</v>
      </c>
    </row>
    <row r="31" spans="2:40" x14ac:dyDescent="0.25">
      <c r="C31" s="2" t="s">
        <v>59</v>
      </c>
      <c r="D31" s="25">
        <v>326.13799999999998</v>
      </c>
      <c r="E31" s="25">
        <v>311.60000000000002</v>
      </c>
      <c r="F31" s="25">
        <v>310.25</v>
      </c>
      <c r="G31" s="25">
        <v>319</v>
      </c>
      <c r="H31" s="25">
        <v>335</v>
      </c>
      <c r="I31" s="25">
        <v>356</v>
      </c>
      <c r="J31" s="25">
        <v>410</v>
      </c>
      <c r="K31" s="25">
        <v>357</v>
      </c>
      <c r="L31" s="25">
        <v>338</v>
      </c>
      <c r="M31" s="25">
        <v>324</v>
      </c>
      <c r="N31" s="25">
        <v>354</v>
      </c>
      <c r="O31" s="25">
        <v>339</v>
      </c>
      <c r="P31" s="37">
        <v>369</v>
      </c>
    </row>
    <row r="32" spans="2:40" x14ac:dyDescent="0.25">
      <c r="C32" s="2" t="s">
        <v>60</v>
      </c>
      <c r="D32" s="25">
        <v>80.141999999999996</v>
      </c>
      <c r="E32" s="25">
        <v>86.049000000000007</v>
      </c>
      <c r="F32" s="25">
        <v>100.39700000000001</v>
      </c>
      <c r="G32" s="25">
        <v>70</v>
      </c>
      <c r="H32" s="25">
        <v>80</v>
      </c>
      <c r="I32" s="25">
        <v>79</v>
      </c>
      <c r="J32" s="25">
        <v>96</v>
      </c>
      <c r="K32" s="25">
        <v>66</v>
      </c>
      <c r="L32" s="25">
        <v>70</v>
      </c>
      <c r="M32" s="25">
        <v>82</v>
      </c>
      <c r="N32" s="25">
        <v>86</v>
      </c>
      <c r="O32" s="25">
        <v>53</v>
      </c>
      <c r="P32" s="37">
        <v>75</v>
      </c>
    </row>
    <row r="33" spans="3:16" x14ac:dyDescent="0.25">
      <c r="C33" s="2" t="s">
        <v>61</v>
      </c>
      <c r="D33" s="25">
        <v>34.896999999999998</v>
      </c>
      <c r="E33" s="25">
        <v>49.655000000000001</v>
      </c>
      <c r="F33" s="25">
        <v>45.223999999999997</v>
      </c>
      <c r="G33" s="25">
        <v>40</v>
      </c>
      <c r="H33" s="25">
        <v>37</v>
      </c>
      <c r="I33" s="25">
        <v>32</v>
      </c>
      <c r="J33" s="25">
        <v>52</v>
      </c>
      <c r="K33" s="25">
        <v>23</v>
      </c>
      <c r="L33" s="25">
        <v>32</v>
      </c>
      <c r="M33" s="25">
        <v>31</v>
      </c>
      <c r="N33" s="25">
        <v>21</v>
      </c>
      <c r="O33" s="25">
        <v>16</v>
      </c>
      <c r="P33" s="37">
        <v>21</v>
      </c>
    </row>
    <row r="34" spans="3:16" x14ac:dyDescent="0.25">
      <c r="C34" s="2" t="s">
        <v>62</v>
      </c>
      <c r="D34" s="25">
        <v>23.9</v>
      </c>
      <c r="E34" s="25">
        <v>0</v>
      </c>
      <c r="F34" s="25">
        <v>0</v>
      </c>
      <c r="G34" s="25">
        <v>3</v>
      </c>
      <c r="H34" s="25">
        <v>0</v>
      </c>
      <c r="I34" s="25">
        <v>22</v>
      </c>
      <c r="J34" s="25">
        <v>0</v>
      </c>
      <c r="K34" s="25">
        <v>0</v>
      </c>
      <c r="L34" s="25">
        <v>58</v>
      </c>
      <c r="M34" s="25">
        <v>85</v>
      </c>
      <c r="N34" s="25">
        <v>97</v>
      </c>
      <c r="O34" s="25">
        <v>139</v>
      </c>
      <c r="P34" s="37">
        <v>95</v>
      </c>
    </row>
    <row r="35" spans="3:16" x14ac:dyDescent="0.25">
      <c r="C35" s="1" t="s">
        <v>63</v>
      </c>
      <c r="D35" s="24">
        <f t="shared" ref="D35:N35" si="37">SUM(D26:D34)</f>
        <v>1378.3129999999999</v>
      </c>
      <c r="E35" s="24">
        <f t="shared" si="37"/>
        <v>1327.713</v>
      </c>
      <c r="F35" s="24">
        <f t="shared" si="37"/>
        <v>1333.454</v>
      </c>
      <c r="G35" s="24">
        <f t="shared" si="37"/>
        <v>1357</v>
      </c>
      <c r="H35" s="24">
        <f t="shared" si="37"/>
        <v>1386</v>
      </c>
      <c r="I35" s="24">
        <f t="shared" si="37"/>
        <v>1427</v>
      </c>
      <c r="J35" s="24">
        <f t="shared" si="37"/>
        <v>1476</v>
      </c>
      <c r="K35" s="24">
        <f t="shared" si="37"/>
        <v>1412</v>
      </c>
      <c r="L35" s="24">
        <f t="shared" si="37"/>
        <v>1533</v>
      </c>
      <c r="M35" s="24">
        <f t="shared" si="37"/>
        <v>1537</v>
      </c>
      <c r="N35" s="24">
        <f t="shared" si="37"/>
        <v>1585</v>
      </c>
      <c r="O35" s="24">
        <f>SUM(O26:O34)</f>
        <v>1573</v>
      </c>
      <c r="P35" s="36">
        <f>SUM(P26:P34)</f>
        <v>1595</v>
      </c>
    </row>
    <row r="36" spans="3:16" x14ac:dyDescent="0.25">
      <c r="C36" s="2" t="s">
        <v>64</v>
      </c>
      <c r="D36" s="25">
        <v>13</v>
      </c>
      <c r="E36" s="25">
        <v>13.010999999999999</v>
      </c>
      <c r="F36" s="25">
        <v>13.010999999999999</v>
      </c>
      <c r="G36" s="25">
        <v>78</v>
      </c>
      <c r="H36" s="25">
        <v>78</v>
      </c>
      <c r="I36" s="25">
        <v>196</v>
      </c>
      <c r="J36" s="25">
        <v>196</v>
      </c>
      <c r="K36" s="25">
        <v>196</v>
      </c>
      <c r="L36" s="25">
        <v>341</v>
      </c>
      <c r="M36" s="25">
        <v>369</v>
      </c>
      <c r="N36" s="25">
        <v>369</v>
      </c>
      <c r="O36" s="25">
        <v>369</v>
      </c>
      <c r="P36" s="37">
        <v>369</v>
      </c>
    </row>
    <row r="37" spans="3:16" x14ac:dyDescent="0.25">
      <c r="C37" s="2" t="s">
        <v>65</v>
      </c>
      <c r="D37" s="25">
        <v>275.15899999999999</v>
      </c>
      <c r="E37" s="25">
        <v>289.01</v>
      </c>
      <c r="F37" s="25">
        <v>299.75400000000002</v>
      </c>
      <c r="G37" s="25">
        <v>253</v>
      </c>
      <c r="H37" s="25">
        <v>239</v>
      </c>
      <c r="I37" s="25">
        <v>229</v>
      </c>
      <c r="J37" s="25">
        <v>223</v>
      </c>
      <c r="K37" s="25">
        <v>234</v>
      </c>
      <c r="L37" s="25">
        <v>242</v>
      </c>
      <c r="M37" s="25">
        <v>234</v>
      </c>
      <c r="N37" s="25">
        <v>278</v>
      </c>
      <c r="O37" s="25">
        <v>298</v>
      </c>
      <c r="P37" s="37">
        <v>297</v>
      </c>
    </row>
    <row r="38" spans="3:16" x14ac:dyDescent="0.25">
      <c r="C38" s="2" t="s">
        <v>66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2</v>
      </c>
      <c r="M38" s="25">
        <v>2</v>
      </c>
      <c r="N38" s="25">
        <v>1</v>
      </c>
      <c r="O38" s="25">
        <v>1</v>
      </c>
      <c r="P38" s="37">
        <v>2</v>
      </c>
    </row>
    <row r="39" spans="3:16" x14ac:dyDescent="0.25">
      <c r="C39" s="18" t="s">
        <v>67</v>
      </c>
      <c r="D39" s="34">
        <f t="shared" ref="D39:N39" si="38">SUM(D36:D38)</f>
        <v>288.15899999999999</v>
      </c>
      <c r="E39" s="34">
        <f t="shared" si="38"/>
        <v>302.02100000000002</v>
      </c>
      <c r="F39" s="34">
        <f t="shared" si="38"/>
        <v>312.76500000000004</v>
      </c>
      <c r="G39" s="34">
        <f t="shared" si="38"/>
        <v>331</v>
      </c>
      <c r="H39" s="34">
        <f t="shared" si="38"/>
        <v>317</v>
      </c>
      <c r="I39" s="34">
        <f t="shared" si="38"/>
        <v>425</v>
      </c>
      <c r="J39" s="34">
        <f t="shared" si="38"/>
        <v>419</v>
      </c>
      <c r="K39" s="34">
        <f t="shared" si="38"/>
        <v>430</v>
      </c>
      <c r="L39" s="34">
        <f t="shared" si="38"/>
        <v>585</v>
      </c>
      <c r="M39" s="34">
        <f t="shared" si="38"/>
        <v>605</v>
      </c>
      <c r="N39" s="34">
        <f t="shared" si="38"/>
        <v>648</v>
      </c>
      <c r="O39" s="34">
        <f>SUM(O36:O38)</f>
        <v>668</v>
      </c>
      <c r="P39" s="39">
        <f>SUM(P36:P38)</f>
        <v>668</v>
      </c>
    </row>
    <row r="40" spans="3:16" x14ac:dyDescent="0.25">
      <c r="C40" s="2" t="s">
        <v>68</v>
      </c>
      <c r="D40" s="25">
        <v>321.76100000000002</v>
      </c>
      <c r="E40" s="25">
        <v>318.81299999999999</v>
      </c>
      <c r="F40" s="25">
        <v>363.89100000000002</v>
      </c>
      <c r="G40" s="25">
        <v>306</v>
      </c>
      <c r="H40" s="25">
        <v>328</v>
      </c>
      <c r="I40" s="25">
        <v>355</v>
      </c>
      <c r="J40" s="25">
        <v>356</v>
      </c>
      <c r="K40" s="25">
        <v>340</v>
      </c>
      <c r="L40" s="25">
        <v>386</v>
      </c>
      <c r="M40" s="25">
        <v>369</v>
      </c>
      <c r="N40" s="25">
        <v>372</v>
      </c>
      <c r="O40" s="25">
        <v>368</v>
      </c>
      <c r="P40" s="37">
        <v>363</v>
      </c>
    </row>
    <row r="41" spans="3:16" x14ac:dyDescent="0.25">
      <c r="C41" s="2" t="s">
        <v>71</v>
      </c>
      <c r="D41" s="25">
        <v>355</v>
      </c>
      <c r="E41" s="25">
        <v>335</v>
      </c>
      <c r="F41" s="25">
        <v>335</v>
      </c>
      <c r="G41" s="25">
        <v>295</v>
      </c>
      <c r="H41" s="25">
        <v>295</v>
      </c>
      <c r="I41" s="25">
        <v>295</v>
      </c>
      <c r="J41" s="25">
        <v>295</v>
      </c>
      <c r="K41" s="25">
        <v>255</v>
      </c>
      <c r="L41" s="25">
        <v>220</v>
      </c>
      <c r="M41" s="25">
        <v>220</v>
      </c>
      <c r="N41" s="25">
        <v>220</v>
      </c>
      <c r="O41" s="25">
        <v>180</v>
      </c>
      <c r="P41" s="37">
        <v>180</v>
      </c>
    </row>
    <row r="42" spans="3:16" x14ac:dyDescent="0.25">
      <c r="C42" s="2" t="s">
        <v>69</v>
      </c>
      <c r="D42" s="25">
        <v>-3.4540000000000002</v>
      </c>
      <c r="E42" s="25">
        <v>25.335999999999999</v>
      </c>
      <c r="F42" s="25">
        <v>-1.9790000000000001</v>
      </c>
      <c r="G42" s="25">
        <v>42</v>
      </c>
      <c r="H42" s="25">
        <v>42</v>
      </c>
      <c r="I42" s="25">
        <v>41</v>
      </c>
      <c r="J42" s="25">
        <v>41</v>
      </c>
      <c r="K42" s="25">
        <v>43</v>
      </c>
      <c r="L42" s="25">
        <v>44</v>
      </c>
      <c r="M42" s="25">
        <v>44</v>
      </c>
      <c r="N42" s="25">
        <v>0</v>
      </c>
      <c r="O42" s="25">
        <v>0</v>
      </c>
      <c r="P42" s="37">
        <v>0</v>
      </c>
    </row>
    <row r="43" spans="3:16" x14ac:dyDescent="0.25">
      <c r="C43" s="2" t="s">
        <v>70</v>
      </c>
      <c r="D43" s="25">
        <v>61</v>
      </c>
      <c r="E43" s="25">
        <v>30</v>
      </c>
      <c r="F43" s="25">
        <v>15.003</v>
      </c>
      <c r="G43" s="25">
        <v>72</v>
      </c>
      <c r="H43" s="25">
        <v>57</v>
      </c>
      <c r="I43" s="25">
        <v>36</v>
      </c>
      <c r="J43" s="25">
        <v>18</v>
      </c>
      <c r="K43" s="25">
        <v>72</v>
      </c>
      <c r="L43" s="25">
        <v>79</v>
      </c>
      <c r="M43" s="25">
        <v>78</v>
      </c>
      <c r="N43" s="25">
        <v>79</v>
      </c>
      <c r="O43" s="25">
        <v>85</v>
      </c>
      <c r="P43" s="37">
        <v>87</v>
      </c>
    </row>
    <row r="44" spans="3:16" x14ac:dyDescent="0.25">
      <c r="C44" s="2" t="s">
        <v>72</v>
      </c>
      <c r="D44" s="25">
        <v>20</v>
      </c>
      <c r="E44" s="25">
        <v>85.73</v>
      </c>
      <c r="F44" s="25">
        <v>40.462000000000003</v>
      </c>
      <c r="G44" s="25">
        <v>44</v>
      </c>
      <c r="H44" s="25">
        <v>108</v>
      </c>
      <c r="I44" s="25">
        <v>40</v>
      </c>
      <c r="J44" s="25">
        <v>57</v>
      </c>
      <c r="K44" s="25">
        <v>43</v>
      </c>
      <c r="L44" s="25">
        <v>0</v>
      </c>
      <c r="M44" s="25">
        <v>0</v>
      </c>
      <c r="N44" s="25">
        <v>0</v>
      </c>
      <c r="O44" s="25">
        <v>40</v>
      </c>
      <c r="P44" s="37">
        <v>40</v>
      </c>
    </row>
    <row r="45" spans="3:16" x14ac:dyDescent="0.25">
      <c r="C45" s="2" t="s">
        <v>73</v>
      </c>
      <c r="D45" s="25">
        <v>136.619</v>
      </c>
      <c r="E45" s="25">
        <v>116.565</v>
      </c>
      <c r="F45" s="25">
        <v>140.92099999999999</v>
      </c>
      <c r="G45" s="25">
        <v>154</v>
      </c>
      <c r="H45" s="25">
        <v>127</v>
      </c>
      <c r="I45" s="25">
        <v>155</v>
      </c>
      <c r="J45" s="25">
        <v>196</v>
      </c>
      <c r="K45" s="25">
        <v>126</v>
      </c>
      <c r="L45" s="25">
        <v>121</v>
      </c>
      <c r="M45" s="25">
        <v>151</v>
      </c>
      <c r="N45" s="25">
        <v>168</v>
      </c>
      <c r="O45" s="25">
        <v>122</v>
      </c>
      <c r="P45" s="37">
        <v>145</v>
      </c>
    </row>
    <row r="46" spans="3:16" x14ac:dyDescent="0.25">
      <c r="C46" s="2" t="s">
        <v>74</v>
      </c>
      <c r="D46" s="25">
        <v>22.241</v>
      </c>
      <c r="E46" s="25">
        <v>11.74</v>
      </c>
      <c r="F46" s="25">
        <v>26.654</v>
      </c>
      <c r="G46" s="25">
        <v>21</v>
      </c>
      <c r="H46" s="25">
        <v>5</v>
      </c>
      <c r="I46" s="25">
        <v>-7</v>
      </c>
      <c r="J46" s="25">
        <v>-7</v>
      </c>
      <c r="K46" s="25">
        <v>3</v>
      </c>
      <c r="L46" s="25">
        <v>0</v>
      </c>
      <c r="M46" s="25">
        <v>-2</v>
      </c>
      <c r="N46" s="25">
        <v>-4</v>
      </c>
      <c r="O46" s="25">
        <v>4</v>
      </c>
      <c r="P46" s="37">
        <v>4</v>
      </c>
    </row>
    <row r="47" spans="3:16" x14ac:dyDescent="0.25">
      <c r="C47" s="2" t="s">
        <v>106</v>
      </c>
      <c r="D47" s="25">
        <v>60</v>
      </c>
      <c r="E47" s="25">
        <v>30</v>
      </c>
      <c r="F47" s="25">
        <v>0</v>
      </c>
      <c r="G47" s="25">
        <v>0</v>
      </c>
      <c r="H47" s="25">
        <v>11</v>
      </c>
      <c r="I47" s="25">
        <v>11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37">
        <v>0</v>
      </c>
    </row>
    <row r="48" spans="3:16" x14ac:dyDescent="0.25">
      <c r="C48" s="2" t="s">
        <v>75</v>
      </c>
      <c r="D48" s="25">
        <v>48</v>
      </c>
      <c r="E48" s="25">
        <v>42.162999999999997</v>
      </c>
      <c r="F48" s="25">
        <v>55.57</v>
      </c>
      <c r="G48" s="25">
        <v>46</v>
      </c>
      <c r="H48" s="25">
        <v>47</v>
      </c>
      <c r="I48" s="25">
        <v>41</v>
      </c>
      <c r="J48" s="25">
        <v>51</v>
      </c>
      <c r="K48" s="25">
        <v>55</v>
      </c>
      <c r="L48" s="25">
        <v>47</v>
      </c>
      <c r="M48" s="25">
        <v>34</v>
      </c>
      <c r="N48" s="25">
        <v>50</v>
      </c>
      <c r="O48" s="25">
        <v>61</v>
      </c>
      <c r="P48" s="37">
        <v>46</v>
      </c>
    </row>
    <row r="49" spans="3:26" x14ac:dyDescent="0.25">
      <c r="C49" s="2" t="s">
        <v>76</v>
      </c>
      <c r="D49" s="25">
        <v>69</v>
      </c>
      <c r="E49" s="25">
        <v>30.341999999999999</v>
      </c>
      <c r="F49" s="25">
        <v>45.167000000000002</v>
      </c>
      <c r="G49" s="25">
        <v>47</v>
      </c>
      <c r="H49" s="25">
        <v>50</v>
      </c>
      <c r="I49" s="25">
        <v>35</v>
      </c>
      <c r="J49" s="25">
        <v>50</v>
      </c>
      <c r="K49" s="25">
        <v>47</v>
      </c>
      <c r="L49" s="25">
        <v>50</v>
      </c>
      <c r="M49" s="25">
        <v>37</v>
      </c>
      <c r="N49" s="25">
        <v>51</v>
      </c>
      <c r="O49" s="25">
        <v>44</v>
      </c>
      <c r="P49" s="37">
        <v>59</v>
      </c>
    </row>
    <row r="50" spans="3:26" x14ac:dyDescent="0.25">
      <c r="C50" s="18" t="s">
        <v>77</v>
      </c>
      <c r="D50" s="34">
        <f t="shared" ref="D50:O50" si="39">SUM(D40:D49)</f>
        <v>1090.1669999999999</v>
      </c>
      <c r="E50" s="34">
        <f t="shared" si="39"/>
        <v>1025.6890000000001</v>
      </c>
      <c r="F50" s="34">
        <f t="shared" si="39"/>
        <v>1020.6890000000001</v>
      </c>
      <c r="G50" s="34">
        <f t="shared" si="39"/>
        <v>1027</v>
      </c>
      <c r="H50" s="34">
        <f t="shared" si="39"/>
        <v>1070</v>
      </c>
      <c r="I50" s="34">
        <f t="shared" si="39"/>
        <v>1002</v>
      </c>
      <c r="J50" s="34">
        <f t="shared" si="39"/>
        <v>1057</v>
      </c>
      <c r="K50" s="34">
        <f t="shared" si="39"/>
        <v>984</v>
      </c>
      <c r="L50" s="34">
        <f t="shared" si="39"/>
        <v>947</v>
      </c>
      <c r="M50" s="34">
        <f t="shared" si="39"/>
        <v>931</v>
      </c>
      <c r="N50" s="34">
        <f t="shared" si="39"/>
        <v>936</v>
      </c>
      <c r="O50" s="34">
        <f t="shared" si="39"/>
        <v>904</v>
      </c>
      <c r="P50" s="39">
        <f t="shared" ref="P50" si="40">SUM(P40:P49)</f>
        <v>924</v>
      </c>
    </row>
    <row r="51" spans="3:26" x14ac:dyDescent="0.25">
      <c r="C51" s="1" t="s">
        <v>78</v>
      </c>
      <c r="D51" s="24">
        <f t="shared" ref="D51:O51" si="41">D39+D50</f>
        <v>1378.326</v>
      </c>
      <c r="E51" s="24">
        <f t="shared" si="41"/>
        <v>1327.71</v>
      </c>
      <c r="F51" s="24">
        <f t="shared" si="41"/>
        <v>1333.4540000000002</v>
      </c>
      <c r="G51" s="24">
        <f t="shared" si="41"/>
        <v>1358</v>
      </c>
      <c r="H51" s="24">
        <f t="shared" si="41"/>
        <v>1387</v>
      </c>
      <c r="I51" s="24">
        <f t="shared" si="41"/>
        <v>1427</v>
      </c>
      <c r="J51" s="24">
        <f t="shared" si="41"/>
        <v>1476</v>
      </c>
      <c r="K51" s="24">
        <f t="shared" si="41"/>
        <v>1414</v>
      </c>
      <c r="L51" s="24">
        <f t="shared" si="41"/>
        <v>1532</v>
      </c>
      <c r="M51" s="24">
        <f t="shared" si="41"/>
        <v>1536</v>
      </c>
      <c r="N51" s="24">
        <f t="shared" si="41"/>
        <v>1584</v>
      </c>
      <c r="O51" s="24">
        <f t="shared" si="41"/>
        <v>1572</v>
      </c>
      <c r="P51" s="36">
        <f t="shared" ref="P51" si="42">P39+P50</f>
        <v>1592</v>
      </c>
    </row>
    <row r="53" spans="3:26" x14ac:dyDescent="0.25">
      <c r="C53" s="3" t="s">
        <v>36</v>
      </c>
    </row>
    <row r="54" spans="3:26" x14ac:dyDescent="0.25">
      <c r="C54" s="2" t="s">
        <v>111</v>
      </c>
      <c r="D54" s="35">
        <f t="shared" ref="D54:P54" si="43">D12</f>
        <v>14</v>
      </c>
      <c r="E54" s="35">
        <f t="shared" si="43"/>
        <v>19</v>
      </c>
      <c r="F54" s="35">
        <f t="shared" si="43"/>
        <v>14.747000000000014</v>
      </c>
      <c r="G54" s="2">
        <f t="shared" si="43"/>
        <v>24</v>
      </c>
      <c r="H54" s="2">
        <f t="shared" si="43"/>
        <v>-5</v>
      </c>
      <c r="I54" s="2">
        <f t="shared" si="43"/>
        <v>-9</v>
      </c>
      <c r="J54" s="2">
        <f t="shared" si="43"/>
        <v>-9</v>
      </c>
      <c r="K54" s="2">
        <f t="shared" si="43"/>
        <v>9</v>
      </c>
      <c r="L54" s="2">
        <f t="shared" si="43"/>
        <v>-12</v>
      </c>
      <c r="M54" s="2">
        <f t="shared" si="43"/>
        <v>-7</v>
      </c>
      <c r="N54" s="2">
        <f t="shared" si="43"/>
        <v>30</v>
      </c>
      <c r="O54" s="2">
        <f t="shared" si="43"/>
        <v>31</v>
      </c>
      <c r="P54" s="4">
        <f t="shared" si="43"/>
        <v>-9</v>
      </c>
      <c r="V54" s="25">
        <f>V12</f>
        <v>104.1940000000001</v>
      </c>
      <c r="W54" s="25">
        <f>W12</f>
        <v>124.57899999999999</v>
      </c>
      <c r="X54" s="25">
        <f>X12</f>
        <v>68.946999999999889</v>
      </c>
      <c r="Y54" s="25">
        <f>Y12</f>
        <v>-14</v>
      </c>
      <c r="Z54" s="25">
        <f>Z12</f>
        <v>42</v>
      </c>
    </row>
    <row r="55" spans="3:26" x14ac:dyDescent="0.25">
      <c r="C55" s="2" t="s">
        <v>112</v>
      </c>
      <c r="D55" s="35">
        <v>12</v>
      </c>
      <c r="E55" s="35">
        <v>18</v>
      </c>
      <c r="F55" s="35">
        <v>14</v>
      </c>
      <c r="G55" s="2">
        <v>25</v>
      </c>
      <c r="H55" s="2">
        <v>-5</v>
      </c>
      <c r="I55" s="2">
        <v>-10</v>
      </c>
      <c r="J55" s="2">
        <v>-9</v>
      </c>
      <c r="K55" s="2">
        <v>9</v>
      </c>
      <c r="L55" s="2">
        <v>-12</v>
      </c>
      <c r="M55" s="2">
        <v>-7</v>
      </c>
      <c r="N55" s="2">
        <v>31</v>
      </c>
      <c r="O55" s="2">
        <v>32</v>
      </c>
      <c r="P55" s="4">
        <v>-10</v>
      </c>
      <c r="V55" s="25">
        <v>103</v>
      </c>
      <c r="W55" s="25">
        <v>125</v>
      </c>
      <c r="X55" s="25">
        <v>67</v>
      </c>
      <c r="Y55" s="25">
        <v>-16</v>
      </c>
      <c r="Z55" s="25">
        <f>SUM(L55:O55)</f>
        <v>44</v>
      </c>
    </row>
    <row r="56" spans="3:26" x14ac:dyDescent="0.25">
      <c r="C56" s="2" t="s">
        <v>113</v>
      </c>
      <c r="D56" s="35">
        <v>-13.26</v>
      </c>
      <c r="E56" s="35">
        <v>-13.26</v>
      </c>
      <c r="F56" s="35">
        <v>12.109</v>
      </c>
      <c r="G56" s="2">
        <v>-14</v>
      </c>
      <c r="H56" s="2">
        <v>-17</v>
      </c>
      <c r="I56" s="2">
        <v>-8</v>
      </c>
      <c r="J56" s="2">
        <v>0</v>
      </c>
      <c r="K56" s="2">
        <v>5</v>
      </c>
      <c r="L56" s="2">
        <v>-3</v>
      </c>
      <c r="M56" s="2">
        <v>-3</v>
      </c>
      <c r="N56" s="2">
        <v>0</v>
      </c>
      <c r="O56" s="2">
        <v>1</v>
      </c>
      <c r="P56" s="4">
        <v>-3</v>
      </c>
      <c r="V56" s="25">
        <v>-7.99</v>
      </c>
      <c r="W56" s="25">
        <v>-26.518000000000001</v>
      </c>
      <c r="X56" s="25">
        <v>-28.408999999999999</v>
      </c>
      <c r="Y56" s="25">
        <v>-21.867999999999999</v>
      </c>
      <c r="Z56" s="25">
        <f>SUM(L56:O56)</f>
        <v>-5</v>
      </c>
    </row>
    <row r="57" spans="3:26" x14ac:dyDescent="0.25">
      <c r="C57" s="2" t="s">
        <v>40</v>
      </c>
      <c r="D57" s="35">
        <v>22.491</v>
      </c>
      <c r="E57" s="35">
        <v>23.132000000000001</v>
      </c>
      <c r="F57" s="35">
        <v>23.71</v>
      </c>
      <c r="G57" s="2">
        <v>23</v>
      </c>
      <c r="H57" s="2">
        <v>25</v>
      </c>
      <c r="I57" s="2">
        <v>26</v>
      </c>
      <c r="J57" s="2">
        <v>26</v>
      </c>
      <c r="K57" s="2">
        <v>19</v>
      </c>
      <c r="L57" s="2">
        <v>28</v>
      </c>
      <c r="M57" s="2">
        <v>25</v>
      </c>
      <c r="N57" s="2">
        <v>29</v>
      </c>
      <c r="O57" s="2">
        <v>29</v>
      </c>
      <c r="P57" s="4">
        <v>29</v>
      </c>
      <c r="V57" s="25">
        <v>72.103999999999999</v>
      </c>
      <c r="W57" s="25">
        <v>77.325000000000003</v>
      </c>
      <c r="X57" s="25">
        <v>88.622</v>
      </c>
      <c r="Y57" s="25">
        <v>95.295000000000002</v>
      </c>
      <c r="Z57" s="25">
        <f>SUM(L57:O57)</f>
        <v>111</v>
      </c>
    </row>
    <row r="58" spans="3:26" x14ac:dyDescent="0.25">
      <c r="C58" s="2" t="s">
        <v>114</v>
      </c>
      <c r="D58" s="35">
        <v>8.4039999999999999</v>
      </c>
      <c r="E58" s="35">
        <v>8</v>
      </c>
      <c r="F58" s="35">
        <v>7.375</v>
      </c>
      <c r="G58" s="2">
        <v>23</v>
      </c>
      <c r="H58" s="2">
        <v>12</v>
      </c>
      <c r="I58" s="2">
        <v>14</v>
      </c>
      <c r="J58" s="2">
        <v>12</v>
      </c>
      <c r="K58" s="2">
        <v>18</v>
      </c>
      <c r="L58" s="2">
        <v>8</v>
      </c>
      <c r="M58" s="2">
        <v>12</v>
      </c>
      <c r="N58" s="2">
        <f>-30</f>
        <v>-30</v>
      </c>
      <c r="O58" s="2">
        <v>5</v>
      </c>
      <c r="P58" s="4">
        <f>9-10+1</f>
        <v>0</v>
      </c>
      <c r="V58" s="25">
        <v>25.712</v>
      </c>
      <c r="W58" s="25">
        <v>24.704000000000001</v>
      </c>
      <c r="X58" s="25">
        <v>46.712000000000003</v>
      </c>
      <c r="Y58" s="25">
        <v>56.034999999999997</v>
      </c>
      <c r="Z58" s="25">
        <f>SUM(L58:O58)</f>
        <v>-5</v>
      </c>
    </row>
    <row r="59" spans="3:26" x14ac:dyDescent="0.25">
      <c r="C59" s="2" t="s">
        <v>115</v>
      </c>
      <c r="D59" s="35">
        <f>-49.924-17.389-17+11.619</f>
        <v>-72.694000000000003</v>
      </c>
      <c r="E59" s="35">
        <f>15.148-5.9-20-53.427</f>
        <v>-64.179000000000002</v>
      </c>
      <c r="F59" s="35">
        <f>1.35-14.348+24.356+31.772</f>
        <v>43.129999999999995</v>
      </c>
      <c r="G59" s="2">
        <f>-21+32+17-8</f>
        <v>20</v>
      </c>
      <c r="H59" s="2">
        <f>-16-10-27+8</f>
        <v>-45</v>
      </c>
      <c r="I59" s="2">
        <f>-21+1+28-26</f>
        <v>-18</v>
      </c>
      <c r="J59" s="2">
        <f>-54-17+41+5</f>
        <v>-25</v>
      </c>
      <c r="K59" s="2">
        <f>53+30-70+31</f>
        <v>44</v>
      </c>
      <c r="L59" s="2">
        <f>19+4-14-7</f>
        <v>2</v>
      </c>
      <c r="M59" s="2">
        <f>13-11+29-26</f>
        <v>5</v>
      </c>
      <c r="N59" s="2">
        <f>-30-4+17+39</f>
        <v>22</v>
      </c>
      <c r="O59" s="2">
        <f>16+33-47+7</f>
        <v>9</v>
      </c>
      <c r="P59" s="4">
        <f>-30-22+24-4</f>
        <v>-32</v>
      </c>
      <c r="V59" s="25">
        <f>-3.605-13.815+29.849+41.92</f>
        <v>54.349000000000004</v>
      </c>
      <c r="W59" s="25">
        <f>-55.737-9.853+28.872-11.807</f>
        <v>-48.525000000000006</v>
      </c>
      <c r="X59" s="25">
        <f>-37.464-6.595-5.279-10.913</f>
        <v>-60.250999999999991</v>
      </c>
      <c r="Y59" s="25">
        <f>-37.315-4.449-18.341+22.323</f>
        <v>-37.781999999999996</v>
      </c>
      <c r="Z59" s="25">
        <f>SUM(L59:O59)</f>
        <v>38</v>
      </c>
    </row>
    <row r="60" spans="3:26" x14ac:dyDescent="0.25">
      <c r="C60" s="1" t="s">
        <v>81</v>
      </c>
      <c r="D60" s="30">
        <f t="shared" ref="D60:N60" si="44">SUM(D55:D59)</f>
        <v>-43.058999999999997</v>
      </c>
      <c r="E60" s="30">
        <f t="shared" si="44"/>
        <v>-28.307000000000002</v>
      </c>
      <c r="F60" s="30">
        <f t="shared" si="44"/>
        <v>100.324</v>
      </c>
      <c r="G60" s="1">
        <f t="shared" si="44"/>
        <v>77</v>
      </c>
      <c r="H60" s="1">
        <f t="shared" si="44"/>
        <v>-30</v>
      </c>
      <c r="I60" s="1">
        <f t="shared" si="44"/>
        <v>4</v>
      </c>
      <c r="J60" s="1">
        <f t="shared" si="44"/>
        <v>4</v>
      </c>
      <c r="K60" s="1">
        <f t="shared" si="44"/>
        <v>95</v>
      </c>
      <c r="L60" s="1">
        <f t="shared" si="44"/>
        <v>23</v>
      </c>
      <c r="M60" s="1">
        <f t="shared" si="44"/>
        <v>32</v>
      </c>
      <c r="N60" s="1">
        <f t="shared" si="44"/>
        <v>52</v>
      </c>
      <c r="O60" s="1">
        <f>SUM(O55:O59)</f>
        <v>76</v>
      </c>
      <c r="P60" s="9">
        <f>SUM(P55:P59)</f>
        <v>-16</v>
      </c>
      <c r="V60" s="24">
        <f t="shared" ref="V60:Y60" si="45">SUM(V55:V59)</f>
        <v>247.17500000000001</v>
      </c>
      <c r="W60" s="24">
        <f>SUM(W55:W59)</f>
        <v>151.98600000000002</v>
      </c>
      <c r="X60" s="24">
        <f t="shared" si="45"/>
        <v>113.67400000000002</v>
      </c>
      <c r="Y60" s="24">
        <f t="shared" si="45"/>
        <v>75.680000000000007</v>
      </c>
      <c r="Z60" s="24">
        <f>SUM(Z55:Z59)</f>
        <v>183</v>
      </c>
    </row>
    <row r="61" spans="3:26" x14ac:dyDescent="0.25">
      <c r="D61" s="35"/>
      <c r="E61" s="35"/>
      <c r="F61" s="35"/>
      <c r="V61" s="25"/>
      <c r="W61" s="25"/>
      <c r="X61" s="25"/>
      <c r="Y61" s="25"/>
      <c r="Z61" s="25"/>
    </row>
    <row r="62" spans="3:26" x14ac:dyDescent="0.25">
      <c r="C62" s="2" t="s">
        <v>116</v>
      </c>
      <c r="D62" s="35">
        <v>-179.47800000000001</v>
      </c>
      <c r="E62" s="35">
        <v>11.5</v>
      </c>
      <c r="F62" s="35">
        <v>-5</v>
      </c>
      <c r="G62" s="2">
        <v>-8</v>
      </c>
      <c r="H62" s="2">
        <v>-12</v>
      </c>
      <c r="I62" s="2">
        <v>-6</v>
      </c>
      <c r="J62" s="2">
        <v>-5</v>
      </c>
      <c r="K62" s="2">
        <v>-7</v>
      </c>
      <c r="L62" s="2">
        <v>-3</v>
      </c>
      <c r="M62" s="2">
        <v>-3</v>
      </c>
      <c r="N62" s="2">
        <v>-7</v>
      </c>
      <c r="O62" s="2">
        <v>-7</v>
      </c>
      <c r="P62" s="4">
        <v>-7</v>
      </c>
      <c r="V62" s="25">
        <v>-31</v>
      </c>
      <c r="W62" s="25">
        <v>-34.920999999999999</v>
      </c>
      <c r="X62" s="25">
        <f>-35.366-152.954</f>
        <v>-188.32</v>
      </c>
      <c r="Y62" s="25">
        <v>-27.407</v>
      </c>
      <c r="Z62" s="25">
        <f>SUM(L62:O62)</f>
        <v>-20</v>
      </c>
    </row>
    <row r="63" spans="3:26" x14ac:dyDescent="0.25">
      <c r="C63" s="1" t="s">
        <v>79</v>
      </c>
      <c r="D63" s="30">
        <f t="shared" ref="D63:N63" si="46">SUM(D62)</f>
        <v>-179.47800000000001</v>
      </c>
      <c r="E63" s="30">
        <f t="shared" si="46"/>
        <v>11.5</v>
      </c>
      <c r="F63" s="30">
        <f t="shared" si="46"/>
        <v>-5</v>
      </c>
      <c r="G63" s="1">
        <f t="shared" si="46"/>
        <v>-8</v>
      </c>
      <c r="H63" s="1">
        <f t="shared" si="46"/>
        <v>-12</v>
      </c>
      <c r="I63" s="1">
        <f t="shared" si="46"/>
        <v>-6</v>
      </c>
      <c r="J63" s="1">
        <f t="shared" si="46"/>
        <v>-5</v>
      </c>
      <c r="K63" s="1">
        <f t="shared" si="46"/>
        <v>-7</v>
      </c>
      <c r="L63" s="1">
        <f t="shared" si="46"/>
        <v>-3</v>
      </c>
      <c r="M63" s="1">
        <f t="shared" si="46"/>
        <v>-3</v>
      </c>
      <c r="N63" s="1">
        <f t="shared" si="46"/>
        <v>-7</v>
      </c>
      <c r="O63" s="1">
        <f>SUM(O62)</f>
        <v>-7</v>
      </c>
      <c r="P63" s="9">
        <f>SUM(P62)</f>
        <v>-7</v>
      </c>
      <c r="V63" s="24">
        <f t="shared" ref="V63:Y63" si="47">SUM(V62)</f>
        <v>-31</v>
      </c>
      <c r="W63" s="24">
        <f t="shared" si="47"/>
        <v>-34.920999999999999</v>
      </c>
      <c r="X63" s="24">
        <f t="shared" si="47"/>
        <v>-188.32</v>
      </c>
      <c r="Y63" s="24">
        <f t="shared" si="47"/>
        <v>-27.407</v>
      </c>
      <c r="Z63" s="24">
        <f>SUM(Z62)</f>
        <v>-20</v>
      </c>
    </row>
    <row r="64" spans="3:26" x14ac:dyDescent="0.25">
      <c r="D64" s="35"/>
      <c r="E64" s="35"/>
      <c r="F64" s="35"/>
      <c r="V64" s="25"/>
      <c r="W64" s="25"/>
      <c r="X64" s="25"/>
      <c r="Y64" s="25"/>
      <c r="Z64" s="25"/>
    </row>
    <row r="65" spans="3:26" x14ac:dyDescent="0.25">
      <c r="C65" s="2" t="s">
        <v>117</v>
      </c>
      <c r="D65" s="35">
        <v>190</v>
      </c>
      <c r="E65" s="35">
        <v>0</v>
      </c>
      <c r="F65" s="35">
        <v>0</v>
      </c>
      <c r="G65" s="2">
        <v>-40</v>
      </c>
      <c r="H65" s="2">
        <v>0</v>
      </c>
      <c r="I65" s="2">
        <v>0</v>
      </c>
      <c r="J65" s="2">
        <v>0</v>
      </c>
      <c r="K65" s="2">
        <v>-40</v>
      </c>
      <c r="L65" s="2">
        <v>-75</v>
      </c>
      <c r="M65" s="2">
        <v>0</v>
      </c>
      <c r="N65" s="2">
        <v>0</v>
      </c>
      <c r="O65" s="2">
        <v>0</v>
      </c>
      <c r="P65" s="4">
        <v>0</v>
      </c>
      <c r="V65" s="25">
        <v>-205</v>
      </c>
      <c r="W65" s="25">
        <v>-20</v>
      </c>
      <c r="X65" s="25">
        <v>190</v>
      </c>
      <c r="Y65" s="25">
        <v>-40</v>
      </c>
      <c r="Z65" s="25">
        <f t="shared" ref="Z65:Z71" si="48">SUM(L65:O65)</f>
        <v>-75</v>
      </c>
    </row>
    <row r="66" spans="3:26" x14ac:dyDescent="0.25">
      <c r="C66" s="2" t="s">
        <v>118</v>
      </c>
      <c r="D66" s="35">
        <v>-4.2629999999999999</v>
      </c>
      <c r="E66" s="35">
        <v>45.73</v>
      </c>
      <c r="F66" s="35">
        <v>-45.27</v>
      </c>
      <c r="G66" s="2">
        <v>0</v>
      </c>
      <c r="H66" s="2">
        <v>64</v>
      </c>
      <c r="I66" s="2">
        <v>-68</v>
      </c>
      <c r="J66" s="2">
        <v>17</v>
      </c>
      <c r="K66" s="2">
        <v>-5</v>
      </c>
      <c r="L66" s="2">
        <v>-12</v>
      </c>
      <c r="M66" s="2">
        <v>0</v>
      </c>
      <c r="N66" s="2">
        <v>0</v>
      </c>
      <c r="O66" s="2">
        <v>0</v>
      </c>
      <c r="P66" s="4">
        <v>0</v>
      </c>
      <c r="V66" s="25">
        <f>205-32.201</f>
        <v>172.79900000000001</v>
      </c>
      <c r="W66" s="25">
        <v>0</v>
      </c>
      <c r="X66" s="25">
        <v>-40</v>
      </c>
      <c r="Y66" s="25">
        <v>7.7309999999999999</v>
      </c>
      <c r="Z66" s="25">
        <f t="shared" si="48"/>
        <v>-12</v>
      </c>
    </row>
    <row r="67" spans="3:26" x14ac:dyDescent="0.25">
      <c r="C67" s="2" t="s">
        <v>119</v>
      </c>
      <c r="D67" s="35">
        <v>0</v>
      </c>
      <c r="E67" s="35">
        <v>-6.5590000000000002</v>
      </c>
      <c r="F67" s="35">
        <v>-4</v>
      </c>
      <c r="G67" s="2">
        <v>-8</v>
      </c>
      <c r="H67" s="2">
        <v>0</v>
      </c>
      <c r="I67" s="2">
        <v>117</v>
      </c>
      <c r="J67" s="2">
        <v>0</v>
      </c>
      <c r="K67" s="2">
        <v>0</v>
      </c>
      <c r="L67" s="2">
        <v>146</v>
      </c>
      <c r="M67" s="2">
        <v>28</v>
      </c>
      <c r="N67" s="2">
        <v>0</v>
      </c>
      <c r="O67" s="2">
        <v>0</v>
      </c>
      <c r="P67" s="4">
        <v>0</v>
      </c>
      <c r="V67" s="25">
        <v>0</v>
      </c>
      <c r="W67" s="25">
        <v>0</v>
      </c>
      <c r="X67" s="25">
        <v>0</v>
      </c>
      <c r="Y67" s="25">
        <v>116.821</v>
      </c>
      <c r="Z67" s="25">
        <f t="shared" si="48"/>
        <v>174</v>
      </c>
    </row>
    <row r="68" spans="3:26" x14ac:dyDescent="0.25">
      <c r="C68" s="2" t="s">
        <v>120</v>
      </c>
      <c r="D68" s="35">
        <v>0</v>
      </c>
      <c r="E68" s="35">
        <v>0</v>
      </c>
      <c r="F68" s="35">
        <v>0</v>
      </c>
      <c r="G68" s="2">
        <v>-20</v>
      </c>
      <c r="H68" s="2">
        <v>0</v>
      </c>
      <c r="I68" s="2">
        <v>0</v>
      </c>
      <c r="J68" s="2">
        <v>0</v>
      </c>
      <c r="K68" s="2">
        <v>3</v>
      </c>
      <c r="L68" s="2">
        <v>0</v>
      </c>
      <c r="M68" s="2">
        <v>0</v>
      </c>
      <c r="N68" s="2">
        <v>0</v>
      </c>
      <c r="O68" s="2">
        <v>0</v>
      </c>
      <c r="P68" s="4">
        <v>0</v>
      </c>
      <c r="V68" s="25">
        <v>-51.204000000000001</v>
      </c>
      <c r="W68" s="25">
        <v>0</v>
      </c>
      <c r="X68" s="25">
        <v>0</v>
      </c>
      <c r="Y68" s="25">
        <v>3.2</v>
      </c>
      <c r="Z68" s="25">
        <f t="shared" si="48"/>
        <v>0</v>
      </c>
    </row>
    <row r="69" spans="3:26" x14ac:dyDescent="0.25">
      <c r="C69" s="2" t="s">
        <v>121</v>
      </c>
      <c r="D69" s="35">
        <v>0</v>
      </c>
      <c r="E69" s="2">
        <v>0</v>
      </c>
      <c r="F69" s="35">
        <v>0</v>
      </c>
      <c r="G69" s="2">
        <v>0</v>
      </c>
      <c r="H69" s="2">
        <v>-8</v>
      </c>
      <c r="I69" s="2">
        <v>-10</v>
      </c>
      <c r="J69" s="2">
        <v>-8</v>
      </c>
      <c r="K69" s="2">
        <v>-16</v>
      </c>
      <c r="L69" s="2">
        <v>-8</v>
      </c>
      <c r="M69" s="2">
        <v>-12</v>
      </c>
      <c r="N69" s="2">
        <v>-13</v>
      </c>
      <c r="O69" s="2">
        <v>-5</v>
      </c>
      <c r="P69" s="4">
        <v>0</v>
      </c>
      <c r="V69" s="25">
        <v>-9.8759999999999994</v>
      </c>
      <c r="W69" s="25">
        <v>-5.4610000000000003</v>
      </c>
      <c r="X69" s="25">
        <v>-26.972999999999999</v>
      </c>
      <c r="Y69" s="25">
        <v>-56.034999999999997</v>
      </c>
      <c r="Z69" s="25">
        <f t="shared" si="48"/>
        <v>-38</v>
      </c>
    </row>
    <row r="70" spans="3:26" x14ac:dyDescent="0.25">
      <c r="C70" s="2" t="s">
        <v>122</v>
      </c>
      <c r="D70" s="35">
        <v>-15.47</v>
      </c>
      <c r="E70" s="35">
        <v>-15.88</v>
      </c>
      <c r="F70" s="35">
        <v>-15.814</v>
      </c>
      <c r="G70" s="2">
        <v>0</v>
      </c>
      <c r="H70" s="2">
        <v>-18</v>
      </c>
      <c r="I70" s="2">
        <v>-18</v>
      </c>
      <c r="J70" s="2">
        <v>-18</v>
      </c>
      <c r="K70" s="2">
        <v>-21</v>
      </c>
      <c r="L70" s="2">
        <v>-22</v>
      </c>
      <c r="M70" s="2">
        <v>-19</v>
      </c>
      <c r="N70" s="2">
        <v>-19</v>
      </c>
      <c r="O70" s="2">
        <v>-20</v>
      </c>
      <c r="P70" s="4">
        <v>-21</v>
      </c>
      <c r="V70" s="25">
        <v>-30</v>
      </c>
      <c r="W70" s="25">
        <v>-59.036000000000001</v>
      </c>
      <c r="X70" s="25">
        <v>-62.051000000000002</v>
      </c>
      <c r="Y70" s="25">
        <v>-63.420999999999999</v>
      </c>
      <c r="Z70" s="25">
        <f t="shared" si="48"/>
        <v>-80</v>
      </c>
    </row>
    <row r="71" spans="3:26" x14ac:dyDescent="0.25">
      <c r="C71" s="2" t="s">
        <v>123</v>
      </c>
      <c r="D71" s="35">
        <v>0</v>
      </c>
      <c r="E71" s="35">
        <v>-30</v>
      </c>
      <c r="F71" s="35">
        <v>-30</v>
      </c>
      <c r="G71" s="2">
        <v>0</v>
      </c>
      <c r="H71" s="2">
        <v>0</v>
      </c>
      <c r="I71" s="2">
        <v>0</v>
      </c>
      <c r="J71" s="2">
        <v>-11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4">
        <v>0</v>
      </c>
      <c r="V71" s="25">
        <v>0</v>
      </c>
      <c r="W71" s="25">
        <v>-50</v>
      </c>
      <c r="X71" s="25">
        <v>-60</v>
      </c>
      <c r="Y71" s="25">
        <v>-10.791</v>
      </c>
      <c r="Z71" s="25">
        <f t="shared" si="48"/>
        <v>0</v>
      </c>
    </row>
    <row r="72" spans="3:26" x14ac:dyDescent="0.25">
      <c r="C72" s="1" t="s">
        <v>80</v>
      </c>
      <c r="D72" s="30">
        <f t="shared" ref="D72:N72" si="49">SUM(D65:D71)</f>
        <v>170.267</v>
      </c>
      <c r="E72" s="30">
        <f t="shared" si="49"/>
        <v>-6.7090000000000032</v>
      </c>
      <c r="F72" s="30">
        <f t="shared" si="49"/>
        <v>-95.084000000000003</v>
      </c>
      <c r="G72" s="1">
        <f t="shared" si="49"/>
        <v>-68</v>
      </c>
      <c r="H72" s="1">
        <f t="shared" si="49"/>
        <v>38</v>
      </c>
      <c r="I72" s="1">
        <f t="shared" si="49"/>
        <v>21</v>
      </c>
      <c r="J72" s="1">
        <f t="shared" si="49"/>
        <v>-20</v>
      </c>
      <c r="K72" s="1">
        <f t="shared" si="49"/>
        <v>-79</v>
      </c>
      <c r="L72" s="1">
        <f t="shared" si="49"/>
        <v>29</v>
      </c>
      <c r="M72" s="1">
        <f t="shared" si="49"/>
        <v>-3</v>
      </c>
      <c r="N72" s="1">
        <f t="shared" si="49"/>
        <v>-32</v>
      </c>
      <c r="O72" s="1">
        <f>SUM(O65:O71)</f>
        <v>-25</v>
      </c>
      <c r="P72" s="9">
        <f>SUM(P65:P71)</f>
        <v>-21</v>
      </c>
      <c r="V72" s="24">
        <f t="shared" ref="V72:Z72" si="50">SUM(V65:V71)</f>
        <v>-123.28100000000001</v>
      </c>
      <c r="W72" s="24">
        <f t="shared" si="50"/>
        <v>-134.49700000000001</v>
      </c>
      <c r="X72" s="24">
        <f t="shared" si="50"/>
        <v>0.97599999999999909</v>
      </c>
      <c r="Y72" s="24">
        <f t="shared" si="50"/>
        <v>-42.495000000000005</v>
      </c>
      <c r="Z72" s="24">
        <f t="shared" si="50"/>
        <v>-31</v>
      </c>
    </row>
    <row r="73" spans="3:26" x14ac:dyDescent="0.25">
      <c r="D73" s="35"/>
      <c r="E73" s="35"/>
      <c r="F73" s="35"/>
      <c r="V73" s="25"/>
      <c r="W73" s="25"/>
      <c r="X73" s="25"/>
      <c r="Y73" s="25"/>
      <c r="Z73" s="25"/>
    </row>
    <row r="74" spans="3:26" x14ac:dyDescent="0.25">
      <c r="C74" s="2" t="s">
        <v>124</v>
      </c>
      <c r="D74" s="35">
        <f t="shared" ref="D74:N74" si="51">D60+D63+D72</f>
        <v>-52.27000000000001</v>
      </c>
      <c r="E74" s="35">
        <f t="shared" si="51"/>
        <v>-23.516000000000005</v>
      </c>
      <c r="F74" s="35">
        <f t="shared" si="51"/>
        <v>0.23999999999999488</v>
      </c>
      <c r="G74" s="2">
        <f t="shared" si="51"/>
        <v>1</v>
      </c>
      <c r="H74" s="2">
        <f t="shared" si="51"/>
        <v>-4</v>
      </c>
      <c r="I74" s="2">
        <f t="shared" si="51"/>
        <v>19</v>
      </c>
      <c r="J74" s="2">
        <f t="shared" si="51"/>
        <v>-21</v>
      </c>
      <c r="K74" s="2">
        <f t="shared" si="51"/>
        <v>9</v>
      </c>
      <c r="L74" s="2">
        <f t="shared" si="51"/>
        <v>49</v>
      </c>
      <c r="M74" s="2">
        <f t="shared" si="51"/>
        <v>26</v>
      </c>
      <c r="N74" s="2">
        <f t="shared" si="51"/>
        <v>13</v>
      </c>
      <c r="O74" s="2">
        <f>O60+O63+O72</f>
        <v>44</v>
      </c>
      <c r="P74" s="4">
        <f>P60+P63+P72</f>
        <v>-44</v>
      </c>
      <c r="V74" s="25">
        <f t="shared" ref="V74:Y74" si="52">V72+V63+V60</f>
        <v>92.894000000000005</v>
      </c>
      <c r="W74" s="25">
        <f t="shared" si="52"/>
        <v>-17.431999999999988</v>
      </c>
      <c r="X74" s="25">
        <f t="shared" si="52"/>
        <v>-73.669999999999973</v>
      </c>
      <c r="Y74" s="25">
        <f t="shared" si="52"/>
        <v>5.7780000000000058</v>
      </c>
      <c r="Z74" s="25">
        <f>Z72+Z63+Z60</f>
        <v>132</v>
      </c>
    </row>
    <row r="75" spans="3:26" x14ac:dyDescent="0.25">
      <c r="D75" s="35"/>
      <c r="E75" s="35"/>
      <c r="F75" s="35"/>
      <c r="V75" s="25"/>
      <c r="W75" s="25"/>
      <c r="X75" s="25"/>
      <c r="Y75" s="25"/>
      <c r="Z75" s="25"/>
    </row>
    <row r="76" spans="3:26" x14ac:dyDescent="0.25">
      <c r="C76" s="2" t="s">
        <v>125</v>
      </c>
      <c r="D76" s="35">
        <f t="shared" ref="D76:N76" si="53">D60-D62</f>
        <v>136.41900000000001</v>
      </c>
      <c r="E76" s="35">
        <f t="shared" si="53"/>
        <v>-39.807000000000002</v>
      </c>
      <c r="F76" s="35">
        <f t="shared" si="53"/>
        <v>105.324</v>
      </c>
      <c r="G76" s="2">
        <f t="shared" si="53"/>
        <v>85</v>
      </c>
      <c r="H76" s="2">
        <f t="shared" si="53"/>
        <v>-18</v>
      </c>
      <c r="I76" s="2">
        <f t="shared" si="53"/>
        <v>10</v>
      </c>
      <c r="J76" s="2">
        <f t="shared" si="53"/>
        <v>9</v>
      </c>
      <c r="K76" s="2">
        <f t="shared" si="53"/>
        <v>102</v>
      </c>
      <c r="L76" s="2">
        <f t="shared" si="53"/>
        <v>26</v>
      </c>
      <c r="M76" s="2">
        <f t="shared" si="53"/>
        <v>35</v>
      </c>
      <c r="N76" s="2">
        <f t="shared" si="53"/>
        <v>59</v>
      </c>
      <c r="O76" s="2">
        <f>O60-O62</f>
        <v>83</v>
      </c>
      <c r="P76" s="4">
        <f>P60-P62</f>
        <v>-9</v>
      </c>
      <c r="V76" s="25">
        <f t="shared" ref="V76:Y76" si="54">V60-V62</f>
        <v>278.17500000000001</v>
      </c>
      <c r="W76" s="25">
        <f t="shared" si="54"/>
        <v>186.90700000000001</v>
      </c>
      <c r="X76" s="25">
        <f t="shared" si="54"/>
        <v>301.99400000000003</v>
      </c>
      <c r="Y76" s="25">
        <f t="shared" si="54"/>
        <v>103.087</v>
      </c>
      <c r="Z76" s="25">
        <f>Z60-Z62</f>
        <v>203</v>
      </c>
    </row>
    <row r="77" spans="3:26" x14ac:dyDescent="0.25">
      <c r="V77" s="25"/>
      <c r="W77" s="25"/>
      <c r="X77" s="25"/>
      <c r="Y77" s="25"/>
      <c r="Z77" s="2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E7F3-DAD7-B84C-B5BC-B13AC4EABC5F}">
  <dimension ref="A4:W30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Q36" sqref="Q36"/>
    </sheetView>
  </sheetViews>
  <sheetFormatPr baseColWidth="10" defaultRowHeight="19" x14ac:dyDescent="0.25"/>
  <cols>
    <col min="1" max="1" width="3.83203125" style="2" customWidth="1"/>
    <col min="2" max="2" width="13.5" style="2" bestFit="1" customWidth="1"/>
    <col min="3" max="16384" width="10.83203125" style="2"/>
  </cols>
  <sheetData>
    <row r="4" spans="1:23" x14ac:dyDescent="0.25">
      <c r="B4" s="2" t="s">
        <v>84</v>
      </c>
      <c r="C4" s="7" t="s">
        <v>7</v>
      </c>
      <c r="D4" s="7" t="s">
        <v>8</v>
      </c>
      <c r="E4" s="7" t="s">
        <v>9</v>
      </c>
      <c r="F4" s="7" t="s">
        <v>10</v>
      </c>
      <c r="G4" s="40">
        <v>2022</v>
      </c>
      <c r="H4" s="7" t="s">
        <v>11</v>
      </c>
      <c r="I4" s="7" t="s">
        <v>12</v>
      </c>
      <c r="J4" s="7" t="s">
        <v>13</v>
      </c>
      <c r="K4" s="7" t="s">
        <v>14</v>
      </c>
      <c r="L4" s="40">
        <v>2023</v>
      </c>
      <c r="M4" s="7" t="s">
        <v>15</v>
      </c>
      <c r="N4" s="7" t="s">
        <v>16</v>
      </c>
      <c r="O4" s="7" t="s">
        <v>17</v>
      </c>
      <c r="P4" s="7" t="s">
        <v>18</v>
      </c>
      <c r="Q4" s="40">
        <v>2024</v>
      </c>
      <c r="R4" s="7" t="s">
        <v>49</v>
      </c>
      <c r="S4" s="7" t="s">
        <v>50</v>
      </c>
      <c r="T4" s="7" t="s">
        <v>51</v>
      </c>
      <c r="U4" s="7" t="s">
        <v>52</v>
      </c>
      <c r="V4" s="41">
        <v>2025</v>
      </c>
    </row>
    <row r="5" spans="1:23" x14ac:dyDescent="0.25">
      <c r="B5" s="1" t="s">
        <v>85</v>
      </c>
      <c r="G5" s="41"/>
      <c r="L5" s="41"/>
      <c r="Q5" s="41"/>
      <c r="V5" s="44"/>
    </row>
    <row r="6" spans="1:23" x14ac:dyDescent="0.25">
      <c r="A6" s="1"/>
      <c r="B6" s="1" t="s">
        <v>37</v>
      </c>
      <c r="C6" s="1"/>
      <c r="D6" s="1">
        <v>358</v>
      </c>
      <c r="E6" s="1">
        <v>370</v>
      </c>
      <c r="F6" s="1">
        <v>464</v>
      </c>
      <c r="G6" s="41"/>
      <c r="H6" s="1">
        <v>352</v>
      </c>
      <c r="I6" s="1">
        <v>296</v>
      </c>
      <c r="J6" s="1">
        <v>362</v>
      </c>
      <c r="K6" s="1">
        <v>451</v>
      </c>
      <c r="L6" s="41">
        <f>SUM(H6:K6)</f>
        <v>1461</v>
      </c>
      <c r="M6" s="1">
        <v>317</v>
      </c>
      <c r="N6" s="1">
        <v>315</v>
      </c>
      <c r="O6" s="1">
        <v>366</v>
      </c>
      <c r="P6" s="1">
        <v>469</v>
      </c>
      <c r="Q6" s="41">
        <f>SUM(M6:P6)</f>
        <v>1467</v>
      </c>
      <c r="R6" s="1">
        <v>356</v>
      </c>
      <c r="S6" s="1"/>
      <c r="T6" s="1"/>
      <c r="U6" s="1"/>
      <c r="V6" s="41">
        <f>SUM(R6:U6)</f>
        <v>356</v>
      </c>
      <c r="W6" s="1"/>
    </row>
    <row r="7" spans="1:23" x14ac:dyDescent="0.25">
      <c r="A7" s="1"/>
      <c r="B7" s="18" t="s">
        <v>94</v>
      </c>
      <c r="C7" s="1"/>
      <c r="D7" s="1"/>
      <c r="E7" s="1"/>
      <c r="F7" s="1"/>
      <c r="G7" s="41"/>
      <c r="H7" s="28"/>
      <c r="I7" s="20">
        <f>(I6-D6)/D6</f>
        <v>-0.17318435754189945</v>
      </c>
      <c r="J7" s="20">
        <f>(J6-E6)/E6</f>
        <v>-2.1621621621621623E-2</v>
      </c>
      <c r="K7" s="20">
        <f>(K6-F6)/F6</f>
        <v>-2.8017241379310345E-2</v>
      </c>
      <c r="L7" s="42"/>
      <c r="M7" s="20">
        <f t="shared" ref="M7:R7" si="0">(M6-H6)/H6</f>
        <v>-9.9431818181818177E-2</v>
      </c>
      <c r="N7" s="20">
        <f t="shared" si="0"/>
        <v>6.4189189189189186E-2</v>
      </c>
      <c r="O7" s="20">
        <f t="shared" si="0"/>
        <v>1.1049723756906077E-2</v>
      </c>
      <c r="P7" s="20">
        <f t="shared" si="0"/>
        <v>3.9911308203991129E-2</v>
      </c>
      <c r="Q7" s="42">
        <f t="shared" si="0"/>
        <v>4.1067761806981521E-3</v>
      </c>
      <c r="R7" s="20">
        <f t="shared" si="0"/>
        <v>0.12302839116719243</v>
      </c>
      <c r="V7" s="42">
        <f>(V6-Q6)/Q6</f>
        <v>-0.75732788002726648</v>
      </c>
    </row>
    <row r="8" spans="1:23" x14ac:dyDescent="0.25">
      <c r="B8" s="2" t="s">
        <v>38</v>
      </c>
      <c r="E8" s="2">
        <v>-227</v>
      </c>
      <c r="F8" s="2">
        <v>-286</v>
      </c>
      <c r="G8" s="41"/>
      <c r="H8" s="2">
        <v>-222</v>
      </c>
      <c r="I8" s="2">
        <v>-190</v>
      </c>
      <c r="J8" s="2">
        <v>-229</v>
      </c>
      <c r="K8" s="2">
        <v>-296</v>
      </c>
      <c r="L8" s="41">
        <f>SUM(H8:K8)</f>
        <v>-937</v>
      </c>
      <c r="M8" s="2">
        <v>-203</v>
      </c>
      <c r="N8" s="2">
        <v>-208</v>
      </c>
      <c r="O8" s="2">
        <v>-225</v>
      </c>
      <c r="P8" s="2">
        <v>-299</v>
      </c>
      <c r="Q8" s="41">
        <f>SUM(M8:P8)</f>
        <v>-935</v>
      </c>
      <c r="R8" s="2">
        <v>-224</v>
      </c>
      <c r="V8" s="41">
        <f>SUM(R8:U8)</f>
        <v>-224</v>
      </c>
    </row>
    <row r="9" spans="1:23" x14ac:dyDescent="0.25">
      <c r="B9" s="2" t="s">
        <v>86</v>
      </c>
      <c r="E9" s="2">
        <v>143</v>
      </c>
      <c r="F9" s="2">
        <v>177</v>
      </c>
      <c r="G9" s="41"/>
      <c r="H9" s="2">
        <v>130</v>
      </c>
      <c r="I9" s="2">
        <v>106</v>
      </c>
      <c r="J9" s="2">
        <v>133</v>
      </c>
      <c r="K9" s="2">
        <v>155</v>
      </c>
      <c r="L9" s="41">
        <f>SUM(H9:K9)</f>
        <v>524</v>
      </c>
      <c r="M9" s="2">
        <v>115</v>
      </c>
      <c r="N9" s="2">
        <v>107</v>
      </c>
      <c r="O9" s="2">
        <v>141</v>
      </c>
      <c r="P9" s="35">
        <f>SUM(P6:P8)</f>
        <v>170.03991130820401</v>
      </c>
      <c r="Q9" s="47">
        <f>SUM(M9:P9)</f>
        <v>533.03991130820395</v>
      </c>
      <c r="R9" s="2">
        <v>132</v>
      </c>
      <c r="V9" s="47">
        <f>SUM(R9:U9)</f>
        <v>132</v>
      </c>
    </row>
    <row r="10" spans="1:23" x14ac:dyDescent="0.25">
      <c r="B10" s="18" t="s">
        <v>87</v>
      </c>
      <c r="C10" s="20"/>
      <c r="D10" s="20"/>
      <c r="E10" s="20">
        <v>0.38600000000000001</v>
      </c>
      <c r="F10" s="20">
        <v>0.38200000000000001</v>
      </c>
      <c r="G10" s="42"/>
      <c r="H10" s="20">
        <v>0.36799999999999999</v>
      </c>
      <c r="I10" s="20">
        <v>0.35899999999999999</v>
      </c>
      <c r="J10" s="20">
        <v>0.36799999999999999</v>
      </c>
      <c r="K10" s="20">
        <v>0.34399999999999997</v>
      </c>
      <c r="L10" s="42">
        <f>L9/L6</f>
        <v>0.35865845311430528</v>
      </c>
      <c r="M10" s="20">
        <v>0.36099999999999999</v>
      </c>
      <c r="N10" s="20">
        <v>0.33900000000000002</v>
      </c>
      <c r="O10" s="20">
        <v>0.38600000000000001</v>
      </c>
      <c r="P10" s="20">
        <f>P9/P6</f>
        <v>0.36255844628614931</v>
      </c>
      <c r="Q10" s="42">
        <f>Q9/Q6</f>
        <v>0.36335372277314515</v>
      </c>
      <c r="R10" s="20">
        <v>0.37</v>
      </c>
      <c r="S10" s="20"/>
      <c r="T10" s="20"/>
      <c r="U10" s="20"/>
      <c r="V10" s="42">
        <f>V9/V6</f>
        <v>0.3707865168539326</v>
      </c>
    </row>
    <row r="11" spans="1:23" x14ac:dyDescent="0.25">
      <c r="B11" s="2" t="s">
        <v>88</v>
      </c>
      <c r="E11" s="2">
        <v>-97</v>
      </c>
      <c r="F11" s="2">
        <v>-106</v>
      </c>
      <c r="G11" s="41"/>
      <c r="H11" s="2">
        <v>-97</v>
      </c>
      <c r="I11" s="2">
        <v>-71</v>
      </c>
      <c r="J11" s="2">
        <v>-100</v>
      </c>
      <c r="K11" s="2">
        <v>-102</v>
      </c>
      <c r="L11" s="41">
        <f>SUM(H11:K11)</f>
        <v>-370</v>
      </c>
      <c r="M11" s="2">
        <v>-87</v>
      </c>
      <c r="N11" s="2">
        <v>-71</v>
      </c>
      <c r="O11" s="2">
        <v>-97</v>
      </c>
      <c r="P11" s="2">
        <v>-104</v>
      </c>
      <c r="Q11" s="41">
        <f>SUM(M11:P11)</f>
        <v>-359</v>
      </c>
      <c r="R11" s="2">
        <v>-96</v>
      </c>
      <c r="V11" s="41">
        <f>SUM(R11:U11)</f>
        <v>-96</v>
      </c>
    </row>
    <row r="12" spans="1:23" x14ac:dyDescent="0.25">
      <c r="B12" s="18" t="s">
        <v>89</v>
      </c>
      <c r="C12" s="20"/>
      <c r="D12" s="20"/>
      <c r="E12" s="20">
        <v>-0.26600000000000001</v>
      </c>
      <c r="F12" s="20">
        <v>-0.22800000000000001</v>
      </c>
      <c r="G12" s="42"/>
      <c r="H12" s="20">
        <v>-0.27500000000000002</v>
      </c>
      <c r="I12" s="20">
        <v>-0.24</v>
      </c>
      <c r="J12" s="20">
        <v>-0.27700000000000002</v>
      </c>
      <c r="K12" s="20">
        <v>-0.22600000000000001</v>
      </c>
      <c r="L12" s="42">
        <f>L11/L6</f>
        <v>-0.25325119780971939</v>
      </c>
      <c r="M12" s="20">
        <v>-0.27400000000000002</v>
      </c>
      <c r="N12" s="20">
        <v>-0.22500000000000001</v>
      </c>
      <c r="O12" s="20">
        <v>-0.26600000000000001</v>
      </c>
      <c r="P12" s="20">
        <f>P11/P6</f>
        <v>-0.22174840085287847</v>
      </c>
      <c r="Q12" s="42">
        <f>Q11/Q6</f>
        <v>-0.2447171097477846</v>
      </c>
      <c r="R12" s="20">
        <v>-0.26900000000000002</v>
      </c>
      <c r="S12" s="20"/>
      <c r="T12" s="20"/>
      <c r="U12" s="20"/>
      <c r="V12" s="42">
        <f>V11/V6</f>
        <v>-0.2696629213483146</v>
      </c>
    </row>
    <row r="13" spans="1:23" x14ac:dyDescent="0.25">
      <c r="B13" s="2" t="s">
        <v>90</v>
      </c>
      <c r="E13" s="2">
        <v>22</v>
      </c>
      <c r="F13" s="2">
        <v>51</v>
      </c>
      <c r="G13" s="41"/>
      <c r="H13" s="2">
        <v>9</v>
      </c>
      <c r="I13" s="2">
        <v>12</v>
      </c>
      <c r="J13" s="2">
        <v>9</v>
      </c>
      <c r="K13" s="2">
        <v>35</v>
      </c>
      <c r="L13" s="41">
        <f>SUM(H13:K13)</f>
        <v>65</v>
      </c>
      <c r="M13" s="2">
        <v>4</v>
      </c>
      <c r="N13" s="2">
        <v>13</v>
      </c>
      <c r="O13" s="2">
        <v>5</v>
      </c>
      <c r="P13" s="2">
        <v>40</v>
      </c>
      <c r="Q13" s="41">
        <f>SUM(M13:P13)</f>
        <v>62</v>
      </c>
      <c r="R13" s="2">
        <v>9</v>
      </c>
      <c r="V13" s="41">
        <f>SUM(R13:U13)</f>
        <v>9</v>
      </c>
    </row>
    <row r="14" spans="1:23" x14ac:dyDescent="0.25">
      <c r="B14" s="18" t="s">
        <v>91</v>
      </c>
      <c r="C14" s="20"/>
      <c r="D14" s="20"/>
      <c r="E14" s="20">
        <v>5.8000000000000003E-2</v>
      </c>
      <c r="F14" s="20">
        <v>0.109</v>
      </c>
      <c r="G14" s="42"/>
      <c r="H14" s="20">
        <v>2.5999999999999999E-2</v>
      </c>
      <c r="I14" s="20">
        <v>3.9E-2</v>
      </c>
      <c r="J14" s="20">
        <v>2.5000000000000001E-2</v>
      </c>
      <c r="K14" s="20">
        <v>7.8E-2</v>
      </c>
      <c r="L14" s="42">
        <f>L13/L6</f>
        <v>4.4490075290896644E-2</v>
      </c>
      <c r="M14" s="20">
        <v>1.2E-2</v>
      </c>
      <c r="N14" s="20">
        <v>0.04</v>
      </c>
      <c r="O14" s="20">
        <v>1.2999999999999999E-2</v>
      </c>
      <c r="P14" s="20">
        <f>P13/P6</f>
        <v>8.5287846481876331E-2</v>
      </c>
      <c r="Q14" s="42">
        <f>Q13/Q6</f>
        <v>4.2263122017723247E-2</v>
      </c>
      <c r="R14" s="20">
        <v>2.7E-2</v>
      </c>
      <c r="S14" s="20"/>
      <c r="T14" s="20"/>
      <c r="U14" s="20"/>
      <c r="V14" s="42">
        <f>V13/V6</f>
        <v>2.5280898876404494E-2</v>
      </c>
    </row>
    <row r="15" spans="1:23" x14ac:dyDescent="0.25">
      <c r="B15" s="2" t="s">
        <v>43</v>
      </c>
      <c r="E15" s="2">
        <v>-7</v>
      </c>
      <c r="G15" s="41"/>
      <c r="H15" s="2">
        <v>-12</v>
      </c>
      <c r="I15" s="2">
        <v>-14</v>
      </c>
      <c r="J15" s="2">
        <v>-12</v>
      </c>
      <c r="K15" s="2">
        <v>-15</v>
      </c>
      <c r="L15" s="41">
        <f>SUM(H15:K15)</f>
        <v>-53</v>
      </c>
      <c r="M15" s="2">
        <v>-7</v>
      </c>
      <c r="N15" s="2">
        <v>-11</v>
      </c>
      <c r="O15" s="2">
        <v>-13</v>
      </c>
      <c r="P15" s="2">
        <v>-4</v>
      </c>
      <c r="Q15" s="41">
        <f>SUM(M15:P15)</f>
        <v>-35</v>
      </c>
      <c r="R15" s="2">
        <v>-15</v>
      </c>
      <c r="V15" s="41">
        <f>SUM(R15:U15)</f>
        <v>-15</v>
      </c>
    </row>
    <row r="16" spans="1:23" x14ac:dyDescent="0.25">
      <c r="B16" s="2" t="s">
        <v>44</v>
      </c>
      <c r="E16" s="2">
        <v>14</v>
      </c>
      <c r="G16" s="41"/>
      <c r="H16" s="2">
        <v>-2</v>
      </c>
      <c r="I16" s="2">
        <v>-2</v>
      </c>
      <c r="J16" s="2">
        <v>-3</v>
      </c>
      <c r="K16" s="2">
        <v>20</v>
      </c>
      <c r="L16" s="41">
        <f>SUM(H16:K16)</f>
        <v>13</v>
      </c>
      <c r="M16" s="2">
        <v>-3</v>
      </c>
      <c r="N16" s="2">
        <v>2</v>
      </c>
      <c r="O16" s="2">
        <v>-8</v>
      </c>
      <c r="P16" s="2">
        <v>36</v>
      </c>
      <c r="Q16" s="41">
        <f>SUM(M16:P16)</f>
        <v>27</v>
      </c>
      <c r="R16" s="2">
        <v>-6</v>
      </c>
      <c r="V16" s="41">
        <f>SUM(R16:U16)</f>
        <v>-6</v>
      </c>
    </row>
    <row r="17" spans="2:22" x14ac:dyDescent="0.25">
      <c r="B17" s="21" t="s">
        <v>92</v>
      </c>
      <c r="C17" s="21"/>
      <c r="D17" s="21"/>
      <c r="E17" s="21">
        <v>11</v>
      </c>
      <c r="F17" s="21"/>
      <c r="G17" s="43"/>
      <c r="H17" s="21">
        <v>-2</v>
      </c>
      <c r="I17" s="21">
        <v>-2</v>
      </c>
      <c r="J17" s="21">
        <v>-1</v>
      </c>
      <c r="K17" s="21">
        <v>16</v>
      </c>
      <c r="L17" s="43">
        <f>SUM(H17:K17)</f>
        <v>11</v>
      </c>
      <c r="M17" s="21">
        <v>-3</v>
      </c>
      <c r="N17" s="21">
        <v>2</v>
      </c>
      <c r="O17" s="21">
        <v>-7</v>
      </c>
      <c r="P17" s="21">
        <v>25</v>
      </c>
      <c r="Q17" s="43">
        <f>SUM(M17:P17)</f>
        <v>17</v>
      </c>
      <c r="R17" s="22">
        <v>-5</v>
      </c>
      <c r="S17" s="22"/>
      <c r="T17" s="22"/>
      <c r="U17" s="22"/>
      <c r="V17" s="43">
        <f>SUM(R17:U17)</f>
        <v>-5</v>
      </c>
    </row>
    <row r="18" spans="2:22" x14ac:dyDescent="0.25">
      <c r="B18" s="1" t="s">
        <v>93</v>
      </c>
      <c r="G18" s="44"/>
      <c r="L18" s="44"/>
      <c r="Q18" s="44"/>
      <c r="V18" s="44"/>
    </row>
    <row r="19" spans="2:22" x14ac:dyDescent="0.25">
      <c r="B19" s="1" t="s">
        <v>37</v>
      </c>
      <c r="C19" s="1"/>
      <c r="D19" s="1"/>
      <c r="E19" s="1">
        <v>28</v>
      </c>
      <c r="F19" s="1">
        <v>38</v>
      </c>
      <c r="G19" s="44"/>
      <c r="H19" s="1">
        <v>31</v>
      </c>
      <c r="I19" s="1">
        <v>30</v>
      </c>
      <c r="J19" s="1">
        <v>39</v>
      </c>
      <c r="K19" s="1">
        <v>43</v>
      </c>
      <c r="L19" s="41">
        <f>SUM(H19:K19)</f>
        <v>143</v>
      </c>
      <c r="M19" s="1">
        <v>33</v>
      </c>
      <c r="N19" s="1">
        <v>34</v>
      </c>
      <c r="O19" s="1">
        <v>42</v>
      </c>
      <c r="P19" s="1">
        <v>52</v>
      </c>
      <c r="Q19" s="41">
        <f>SUM(M19:P19)</f>
        <v>161</v>
      </c>
      <c r="R19" s="1">
        <v>40</v>
      </c>
      <c r="S19" s="1"/>
      <c r="T19" s="1"/>
      <c r="U19" s="1"/>
      <c r="V19" s="41">
        <f>SUM(R19:U19)</f>
        <v>40</v>
      </c>
    </row>
    <row r="20" spans="2:22" x14ac:dyDescent="0.25">
      <c r="B20" s="18" t="s">
        <v>94</v>
      </c>
      <c r="C20" s="1"/>
      <c r="D20" s="1"/>
      <c r="E20" s="1"/>
      <c r="F20" s="1"/>
      <c r="G20" s="44"/>
      <c r="H20" s="28"/>
      <c r="I20" s="20"/>
      <c r="J20" s="20">
        <f t="shared" ref="J20" si="1">(J19-E19)/E19</f>
        <v>0.39285714285714285</v>
      </c>
      <c r="K20" s="20">
        <f t="shared" ref="K20" si="2">(K19-F19)/F19</f>
        <v>0.13157894736842105</v>
      </c>
      <c r="L20" s="42"/>
      <c r="M20" s="20">
        <f t="shared" ref="M20" si="3">(M19-H19)/H19</f>
        <v>6.4516129032258063E-2</v>
      </c>
      <c r="N20" s="20">
        <f t="shared" ref="N20" si="4">(N19-I19)/I19</f>
        <v>0.13333333333333333</v>
      </c>
      <c r="O20" s="20">
        <f t="shared" ref="O20" si="5">(O19-J19)/J19</f>
        <v>7.6923076923076927E-2</v>
      </c>
      <c r="P20" s="20">
        <f>(P19-K19)/K19</f>
        <v>0.20930232558139536</v>
      </c>
      <c r="Q20" s="42">
        <f>(Q19-L19)/L19</f>
        <v>0.12587412587412589</v>
      </c>
      <c r="R20" s="20">
        <f>(R19-M19)/M19</f>
        <v>0.21212121212121213</v>
      </c>
      <c r="V20" s="42">
        <f>(V19-Q19)/Q19</f>
        <v>-0.75155279503105588</v>
      </c>
    </row>
    <row r="21" spans="2:22" x14ac:dyDescent="0.25">
      <c r="B21" s="2" t="s">
        <v>38</v>
      </c>
      <c r="E21" s="2">
        <v>-21</v>
      </c>
      <c r="F21" s="2">
        <v>-28</v>
      </c>
      <c r="G21" s="44"/>
      <c r="H21" s="2">
        <v>-24</v>
      </c>
      <c r="I21" s="2">
        <v>-23</v>
      </c>
      <c r="J21" s="2">
        <v>-30</v>
      </c>
      <c r="K21" s="2">
        <v>-36</v>
      </c>
      <c r="L21" s="41">
        <f>SUM(H21:K21)</f>
        <v>-113</v>
      </c>
      <c r="M21" s="2">
        <v>-26</v>
      </c>
      <c r="N21" s="2">
        <v>-28</v>
      </c>
      <c r="O21" s="2">
        <v>-33</v>
      </c>
      <c r="P21" s="2">
        <v>-40</v>
      </c>
      <c r="Q21" s="41">
        <f>SUM(M21:P21)</f>
        <v>-127</v>
      </c>
      <c r="R21" s="2">
        <v>-29</v>
      </c>
      <c r="V21" s="41">
        <f>SUM(R21:U21)</f>
        <v>-29</v>
      </c>
    </row>
    <row r="22" spans="2:22" x14ac:dyDescent="0.25">
      <c r="B22" s="2" t="s">
        <v>86</v>
      </c>
      <c r="E22" s="2">
        <v>7</v>
      </c>
      <c r="F22" s="2">
        <v>10</v>
      </c>
      <c r="G22" s="44"/>
      <c r="H22" s="2">
        <v>7</v>
      </c>
      <c r="I22" s="2">
        <v>6</v>
      </c>
      <c r="J22" s="2">
        <v>8</v>
      </c>
      <c r="K22" s="2">
        <v>7</v>
      </c>
      <c r="L22" s="47">
        <f>SUM(H22:K22)</f>
        <v>28</v>
      </c>
      <c r="M22" s="2">
        <v>7</v>
      </c>
      <c r="N22" s="2">
        <v>6</v>
      </c>
      <c r="O22" s="2">
        <v>9</v>
      </c>
      <c r="P22" s="35">
        <f>SUM(P19:P21)</f>
        <v>12.209302325581397</v>
      </c>
      <c r="Q22" s="47">
        <f>SUM(M22:P22)</f>
        <v>34.209302325581397</v>
      </c>
      <c r="R22" s="2">
        <v>11</v>
      </c>
      <c r="V22" s="47">
        <f>SUM(R22:U22)</f>
        <v>11</v>
      </c>
    </row>
    <row r="23" spans="2:22" x14ac:dyDescent="0.25">
      <c r="B23" s="18" t="s">
        <v>87</v>
      </c>
      <c r="C23" s="20"/>
      <c r="D23" s="20"/>
      <c r="E23" s="20">
        <v>0.245</v>
      </c>
      <c r="F23" s="20">
        <v>0.26</v>
      </c>
      <c r="G23" s="45"/>
      <c r="H23" s="20">
        <v>0.23</v>
      </c>
      <c r="I23" s="20">
        <v>0.218</v>
      </c>
      <c r="J23" s="20">
        <v>0.21099999999999999</v>
      </c>
      <c r="K23" s="20">
        <v>0.161</v>
      </c>
      <c r="L23" s="42">
        <f>L22/L19</f>
        <v>0.19580419580419581</v>
      </c>
      <c r="M23" s="20">
        <v>0.216</v>
      </c>
      <c r="N23" s="20">
        <v>0.185</v>
      </c>
      <c r="O23" s="20">
        <v>0.20899999999999999</v>
      </c>
      <c r="P23" s="20">
        <v>0.224</v>
      </c>
      <c r="Q23" s="42">
        <f>Q22/Q19</f>
        <v>0.21248013866820745</v>
      </c>
      <c r="R23" s="20">
        <v>0.26900000000000002</v>
      </c>
      <c r="S23" s="20"/>
      <c r="T23" s="20"/>
      <c r="U23" s="20"/>
      <c r="V23" s="42">
        <f>V22/V19</f>
        <v>0.27500000000000002</v>
      </c>
    </row>
    <row r="24" spans="2:22" x14ac:dyDescent="0.25">
      <c r="B24" s="2" t="s">
        <v>88</v>
      </c>
      <c r="E24" s="2">
        <v>-6</v>
      </c>
      <c r="F24" s="2">
        <v>-12</v>
      </c>
      <c r="G24" s="44"/>
      <c r="H24" s="2">
        <v>-8</v>
      </c>
      <c r="I24" s="2">
        <v>-11</v>
      </c>
      <c r="J24" s="2">
        <v>-12</v>
      </c>
      <c r="K24" s="2">
        <v>-15</v>
      </c>
      <c r="L24" s="41">
        <f>SUM(H24:K24)</f>
        <v>-46</v>
      </c>
      <c r="M24" s="2">
        <v>-9</v>
      </c>
      <c r="N24" s="2">
        <v>-9</v>
      </c>
      <c r="O24" s="2">
        <v>-8</v>
      </c>
      <c r="P24" s="2">
        <v>-10</v>
      </c>
      <c r="Q24" s="41">
        <f>SUM(M24:P24)</f>
        <v>-36</v>
      </c>
      <c r="R24" s="2">
        <v>-9</v>
      </c>
      <c r="V24" s="41">
        <f>SUM(R24:U24)</f>
        <v>-9</v>
      </c>
    </row>
    <row r="25" spans="2:22" x14ac:dyDescent="0.25">
      <c r="B25" s="18" t="s">
        <v>89</v>
      </c>
      <c r="C25" s="20"/>
      <c r="D25" s="20"/>
      <c r="E25" s="20">
        <v>-0.22600000000000001</v>
      </c>
      <c r="F25" s="20">
        <v>-0.314</v>
      </c>
      <c r="G25" s="45"/>
      <c r="H25" s="20">
        <v>-0.27300000000000002</v>
      </c>
      <c r="I25" s="20">
        <v>-0.377</v>
      </c>
      <c r="J25" s="20">
        <v>-0.30199999999999999</v>
      </c>
      <c r="K25" s="20">
        <v>-0.33900000000000002</v>
      </c>
      <c r="L25" s="42">
        <f>L24/L19</f>
        <v>-0.32167832167832167</v>
      </c>
      <c r="M25" s="20">
        <v>-0.28299999999999997</v>
      </c>
      <c r="N25" s="20">
        <v>-0.26300000000000001</v>
      </c>
      <c r="O25" s="20">
        <v>-0.19500000000000001</v>
      </c>
      <c r="P25" s="20">
        <f>P24/P19</f>
        <v>-0.19230769230769232</v>
      </c>
      <c r="Q25" s="42">
        <f>Q24/Q19</f>
        <v>-0.2236024844720497</v>
      </c>
      <c r="R25" s="20">
        <v>-0.23499999999999999</v>
      </c>
      <c r="S25" s="20"/>
      <c r="T25" s="20"/>
      <c r="U25" s="20"/>
      <c r="V25" s="42">
        <f>V24/V19</f>
        <v>-0.22500000000000001</v>
      </c>
    </row>
    <row r="26" spans="2:22" x14ac:dyDescent="0.25">
      <c r="B26" s="2" t="s">
        <v>90</v>
      </c>
      <c r="E26" s="2">
        <v>1</v>
      </c>
      <c r="F26" s="2">
        <v>-4</v>
      </c>
      <c r="G26" s="44"/>
      <c r="H26" s="2">
        <v>-2</v>
      </c>
      <c r="I26" s="2">
        <v>-7</v>
      </c>
      <c r="J26" s="2">
        <v>-7</v>
      </c>
      <c r="K26" s="2">
        <v>-9</v>
      </c>
      <c r="L26" s="41">
        <f>SUM(H26:K26)</f>
        <v>-25</v>
      </c>
      <c r="M26" s="2">
        <v>-7</v>
      </c>
      <c r="N26" s="2">
        <v>-8</v>
      </c>
      <c r="O26" s="2">
        <v>-4</v>
      </c>
      <c r="P26" s="2">
        <v>-3</v>
      </c>
      <c r="Q26" s="41">
        <f>SUM(M26:P26)</f>
        <v>-22</v>
      </c>
      <c r="R26" s="2">
        <v>-3</v>
      </c>
      <c r="V26" s="41">
        <f>SUM(R26:U26)</f>
        <v>-3</v>
      </c>
    </row>
    <row r="27" spans="2:22" x14ac:dyDescent="0.25">
      <c r="B27" s="18" t="s">
        <v>91</v>
      </c>
      <c r="C27" s="20"/>
      <c r="D27" s="20"/>
      <c r="E27" s="20">
        <v>1.9E-2</v>
      </c>
      <c r="F27" s="20">
        <v>-9.8000000000000004E-2</v>
      </c>
      <c r="G27" s="45"/>
      <c r="H27" s="20">
        <v>-7.0000000000000007E-2</v>
      </c>
      <c r="I27" s="20">
        <v>-0.24099999999999999</v>
      </c>
      <c r="J27" s="20">
        <v>-0.16900000000000001</v>
      </c>
      <c r="K27" s="20">
        <v>-0.218</v>
      </c>
      <c r="L27" s="42">
        <f>L26/L19</f>
        <v>-0.17482517482517482</v>
      </c>
      <c r="M27" s="20">
        <v>-0.219</v>
      </c>
      <c r="N27" s="20">
        <v>-0.222</v>
      </c>
      <c r="O27" s="20">
        <v>-8.5000000000000006E-2</v>
      </c>
      <c r="P27" s="20">
        <f>P26/P19</f>
        <v>-5.7692307692307696E-2</v>
      </c>
      <c r="Q27" s="42">
        <f>Q26/Q19</f>
        <v>-0.13664596273291926</v>
      </c>
      <c r="R27" s="20">
        <v>-7.1999999999999995E-2</v>
      </c>
      <c r="S27" s="20"/>
      <c r="T27" s="20"/>
      <c r="U27" s="20"/>
      <c r="V27" s="42">
        <f>V26/V19</f>
        <v>-7.4999999999999997E-2</v>
      </c>
    </row>
    <row r="28" spans="2:22" x14ac:dyDescent="0.25">
      <c r="B28" s="2" t="s">
        <v>43</v>
      </c>
      <c r="E28" s="2">
        <v>0</v>
      </c>
      <c r="G28" s="44"/>
      <c r="H28" s="2">
        <v>-1</v>
      </c>
      <c r="I28" s="2">
        <v>-1</v>
      </c>
      <c r="J28" s="2">
        <v>0</v>
      </c>
      <c r="K28" s="2">
        <v>-2</v>
      </c>
      <c r="L28" s="41">
        <f>SUM(H28:K28)</f>
        <v>-4</v>
      </c>
      <c r="M28" s="2">
        <v>-1</v>
      </c>
      <c r="N28" s="2">
        <v>-1</v>
      </c>
      <c r="O28" s="2">
        <v>-1</v>
      </c>
      <c r="P28" s="2">
        <v>-1</v>
      </c>
      <c r="Q28" s="41">
        <f>SUM(M28:P28)</f>
        <v>-4</v>
      </c>
      <c r="R28" s="2">
        <v>-1</v>
      </c>
      <c r="V28" s="41">
        <f>SUM(R28:U28)</f>
        <v>-1</v>
      </c>
    </row>
    <row r="29" spans="2:22" x14ac:dyDescent="0.25">
      <c r="B29" s="2" t="s">
        <v>44</v>
      </c>
      <c r="E29" s="2">
        <v>1</v>
      </c>
      <c r="G29" s="44"/>
      <c r="H29" s="2">
        <v>-8</v>
      </c>
      <c r="I29" s="2">
        <v>-8</v>
      </c>
      <c r="J29" s="2">
        <v>-6</v>
      </c>
      <c r="K29" s="2">
        <v>-12</v>
      </c>
      <c r="L29" s="41">
        <f>SUM(H29:K29)</f>
        <v>-34</v>
      </c>
      <c r="M29" s="2">
        <v>-8</v>
      </c>
      <c r="N29" s="2">
        <v>-9</v>
      </c>
      <c r="O29" s="2">
        <v>-5</v>
      </c>
      <c r="P29" s="2">
        <v>-4</v>
      </c>
      <c r="Q29" s="41">
        <f>SUM(M29:P29)</f>
        <v>-26</v>
      </c>
      <c r="R29" s="2">
        <v>-4</v>
      </c>
      <c r="V29" s="41">
        <f>SUM(R29:U29)</f>
        <v>-4</v>
      </c>
    </row>
    <row r="30" spans="2:22" x14ac:dyDescent="0.25">
      <c r="B30" s="21" t="s">
        <v>92</v>
      </c>
      <c r="C30" s="21"/>
      <c r="D30" s="21"/>
      <c r="E30" s="21">
        <v>1</v>
      </c>
      <c r="F30" s="21"/>
      <c r="G30" s="46"/>
      <c r="H30" s="21">
        <v>-7</v>
      </c>
      <c r="I30" s="21">
        <v>-2</v>
      </c>
      <c r="J30" s="21">
        <v>-6</v>
      </c>
      <c r="K30" s="21">
        <v>-9</v>
      </c>
      <c r="L30" s="43">
        <f>SUM(H30:K30)</f>
        <v>-24</v>
      </c>
      <c r="M30" s="21">
        <v>-7</v>
      </c>
      <c r="N30" s="21">
        <v>-6</v>
      </c>
      <c r="O30" s="21">
        <v>-4</v>
      </c>
      <c r="P30" s="21">
        <v>-3</v>
      </c>
      <c r="Q30" s="43">
        <f>SUM(M30:P30)</f>
        <v>-20</v>
      </c>
      <c r="R30" s="22">
        <v>-3</v>
      </c>
      <c r="S30" s="22"/>
      <c r="T30" s="22"/>
      <c r="U30" s="22"/>
      <c r="V30" s="43">
        <f>SUM(R30:U30)</f>
        <v>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E7:H9"/>
  <sheetViews>
    <sheetView showGridLines="0" workbookViewId="0">
      <selection activeCell="H15" sqref="H15"/>
    </sheetView>
  </sheetViews>
  <sheetFormatPr baseColWidth="10" defaultRowHeight="16" x14ac:dyDescent="0.2"/>
  <cols>
    <col min="5" max="5" width="44.1640625" bestFit="1" customWidth="1"/>
    <col min="6" max="8" width="28.33203125" bestFit="1" customWidth="1"/>
  </cols>
  <sheetData>
    <row r="7" spans="5:8" ht="92" x14ac:dyDescent="1">
      <c r="E7" s="26"/>
      <c r="F7" s="26">
        <v>2025</v>
      </c>
      <c r="G7" s="26">
        <v>2026</v>
      </c>
      <c r="H7" s="26">
        <v>2027</v>
      </c>
    </row>
    <row r="8" spans="5:8" ht="92" x14ac:dyDescent="1">
      <c r="E8" s="26" t="s">
        <v>82</v>
      </c>
      <c r="F8" s="27">
        <f>Modell!$B$9/Modell!AA10</f>
        <v>3.6384770501248287</v>
      </c>
      <c r="G8" s="27">
        <f>Modell!$B$9/Modell!AB10</f>
        <v>2.6713747486625916</v>
      </c>
      <c r="H8" s="27">
        <f>Modell!$B$9/Modell!AC10</f>
        <v>2.0930661675183004</v>
      </c>
    </row>
    <row r="9" spans="5:8" ht="92" x14ac:dyDescent="1">
      <c r="E9" s="26" t="s">
        <v>83</v>
      </c>
      <c r="F9" s="27">
        <f>Modell!$B$4/Modell!AA16</f>
        <v>4.3907057334356985</v>
      </c>
      <c r="G9" s="27">
        <f>Modell!$B$4/Modell!AB16</f>
        <v>2.9106172240366122</v>
      </c>
      <c r="H9" s="27">
        <f>Modell!$B$4/Modell!AC16</f>
        <v>2.1553571820528017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Segementer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2025-06-24T17:53:25Z</dcterms:modified>
</cp:coreProperties>
</file>