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45EADE2C-9075-8248-BB11-BE71724B7401}" xr6:coauthVersionLast="47" xr6:coauthVersionMax="47" xr10:uidLastSave="{00000000-0000-0000-0000-000000000000}"/>
  <bookViews>
    <workbookView xWindow="24000" yWindow="500" windowWidth="27200" windowHeight="26740" activeTab="1" xr2:uid="{50A86B1A-47F5-9146-A8C8-01D61AEEF5D5}"/>
  </bookViews>
  <sheets>
    <sheet name="Info" sheetId="1" r:id="rId1"/>
    <sheet name="Modell" sheetId="2" r:id="rId2"/>
    <sheet name="Market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4" i="2" l="1"/>
  <c r="R94" i="2"/>
  <c r="S94" i="2"/>
  <c r="Q96" i="2"/>
  <c r="R96" i="2"/>
  <c r="S96" i="2"/>
  <c r="Q90" i="2"/>
  <c r="R90" i="2"/>
  <c r="S90" i="2"/>
  <c r="Q83" i="2"/>
  <c r="R83" i="2"/>
  <c r="S83" i="2"/>
  <c r="Q79" i="2"/>
  <c r="R79" i="2"/>
  <c r="S79" i="2"/>
  <c r="Q71" i="2"/>
  <c r="R71" i="2"/>
  <c r="S71" i="2"/>
  <c r="Q67" i="2"/>
  <c r="R67" i="2"/>
  <c r="S67" i="2"/>
  <c r="Q68" i="2"/>
  <c r="R68" i="2"/>
  <c r="S68" i="2"/>
  <c r="Q55" i="2"/>
  <c r="R55" i="2"/>
  <c r="S55" i="2"/>
  <c r="Q48" i="2"/>
  <c r="R48" i="2"/>
  <c r="S48" i="2"/>
  <c r="Q49" i="2"/>
  <c r="R49" i="2"/>
  <c r="S49" i="2"/>
  <c r="Q42" i="2"/>
  <c r="R42" i="2"/>
  <c r="S42" i="2"/>
  <c r="Q30" i="2"/>
  <c r="R30" i="2"/>
  <c r="S30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O23" i="2"/>
  <c r="O7" i="2"/>
  <c r="T22" i="4"/>
  <c r="U21" i="4"/>
  <c r="P96" i="2"/>
  <c r="AA5" i="2"/>
  <c r="AB7" i="2"/>
  <c r="AC7" i="2"/>
  <c r="V15" i="4"/>
  <c r="V14" i="4"/>
  <c r="W14" i="4"/>
  <c r="X14" i="4"/>
  <c r="V12" i="4"/>
  <c r="W12" i="4"/>
  <c r="X12" i="4"/>
  <c r="V10" i="4"/>
  <c r="W10" i="4"/>
  <c r="X10" i="4"/>
  <c r="V6" i="4"/>
  <c r="V8" i="4"/>
  <c r="W8" i="4"/>
  <c r="X8" i="4"/>
  <c r="W6" i="4"/>
  <c r="X6" i="4"/>
  <c r="X22" i="4"/>
  <c r="X21" i="4"/>
  <c r="W21" i="4"/>
  <c r="U12" i="4"/>
  <c r="U25" i="4"/>
  <c r="U24" i="4"/>
  <c r="S25" i="4"/>
  <c r="S24" i="4"/>
  <c r="U23" i="4"/>
  <c r="U22" i="4"/>
  <c r="Y25" i="4"/>
  <c r="Y24" i="4"/>
  <c r="Y23" i="4"/>
  <c r="Y22" i="4"/>
  <c r="Y21" i="4"/>
  <c r="O22" i="4"/>
  <c r="O21" i="4"/>
  <c r="O25" i="4"/>
  <c r="O24" i="4"/>
  <c r="O23" i="4"/>
  <c r="T25" i="4"/>
  <c r="T24" i="4"/>
  <c r="T23" i="4"/>
  <c r="T21" i="4"/>
  <c r="Y6" i="4"/>
  <c r="Y13" i="4"/>
  <c r="Y11" i="4"/>
  <c r="Y9" i="4"/>
  <c r="Y7" i="4"/>
  <c r="Y5" i="4"/>
  <c r="T14" i="4"/>
  <c r="T12" i="4"/>
  <c r="T10" i="4"/>
  <c r="T8" i="4"/>
  <c r="T6" i="4"/>
  <c r="T7" i="4"/>
  <c r="T13" i="4"/>
  <c r="T11" i="4"/>
  <c r="T9" i="4"/>
  <c r="T5" i="4"/>
  <c r="J8" i="4"/>
  <c r="J14" i="4"/>
  <c r="J12" i="4"/>
  <c r="J10" i="4"/>
  <c r="J6" i="4"/>
  <c r="O14" i="4"/>
  <c r="O12" i="4"/>
  <c r="O10" i="4"/>
  <c r="O8" i="4"/>
  <c r="O6" i="4"/>
  <c r="O13" i="4"/>
  <c r="O11" i="4"/>
  <c r="O9" i="4"/>
  <c r="O7" i="4"/>
  <c r="O5" i="4"/>
  <c r="J7" i="4"/>
  <c r="J15" i="4"/>
  <c r="J13" i="4"/>
  <c r="J11" i="4"/>
  <c r="J9" i="4"/>
  <c r="J5" i="4"/>
  <c r="O15" i="4"/>
  <c r="X25" i="2"/>
  <c r="P81" i="2"/>
  <c r="P78" i="2"/>
  <c r="P60" i="2"/>
  <c r="P48" i="2"/>
  <c r="P90" i="2"/>
  <c r="P83" i="2"/>
  <c r="P79" i="2"/>
  <c r="P67" i="2"/>
  <c r="P55" i="2"/>
  <c r="P68" i="2" s="1"/>
  <c r="P42" i="2"/>
  <c r="P49" i="2" s="1"/>
  <c r="P12" i="2"/>
  <c r="V21" i="4"/>
  <c r="V22" i="4"/>
  <c r="W22" i="4"/>
  <c r="V23" i="4"/>
  <c r="W23" i="4"/>
  <c r="X23" i="4"/>
  <c r="V24" i="4"/>
  <c r="W24" i="4"/>
  <c r="X24" i="4"/>
  <c r="V25" i="4"/>
  <c r="W25" i="4"/>
  <c r="X25" i="4"/>
  <c r="S6" i="4"/>
  <c r="T15" i="4"/>
  <c r="U15" i="4"/>
  <c r="U6" i="4" s="1"/>
  <c r="W15" i="4"/>
  <c r="X15" i="4"/>
  <c r="I15" i="4"/>
  <c r="P30" i="2"/>
  <c r="P25" i="2"/>
  <c r="P24" i="2"/>
  <c r="S10" i="4"/>
  <c r="W90" i="2"/>
  <c r="W81" i="2"/>
  <c r="W83" i="2" s="1"/>
  <c r="W78" i="2"/>
  <c r="W14" i="2"/>
  <c r="W12" i="2"/>
  <c r="W7" i="2"/>
  <c r="W13" i="2" s="1"/>
  <c r="X85" i="2"/>
  <c r="X90" i="2" s="1"/>
  <c r="X81" i="2"/>
  <c r="X78" i="2"/>
  <c r="X74" i="2"/>
  <c r="X79" i="2" s="1"/>
  <c r="Y81" i="2"/>
  <c r="Y83" i="2" s="1"/>
  <c r="Y78" i="2"/>
  <c r="Y74" i="2"/>
  <c r="Y90" i="2"/>
  <c r="X83" i="2"/>
  <c r="W79" i="2"/>
  <c r="W96" i="2" s="1"/>
  <c r="Y79" i="2"/>
  <c r="Y96" i="2" s="1"/>
  <c r="Y25" i="2"/>
  <c r="X14" i="2"/>
  <c r="X12" i="2"/>
  <c r="X7" i="2"/>
  <c r="X24" i="2"/>
  <c r="Y24" i="2"/>
  <c r="Y14" i="2"/>
  <c r="Y12" i="2"/>
  <c r="Y6" i="2"/>
  <c r="Y7" i="2" s="1"/>
  <c r="Y10" i="2" s="1"/>
  <c r="Y26" i="2" s="1"/>
  <c r="N7" i="2"/>
  <c r="Z86" i="2"/>
  <c r="Z87" i="2"/>
  <c r="Z88" i="2"/>
  <c r="Z89" i="2"/>
  <c r="Z85" i="2"/>
  <c r="Z82" i="2"/>
  <c r="AA86" i="2"/>
  <c r="AA87" i="2"/>
  <c r="AA88" i="2"/>
  <c r="AA89" i="2"/>
  <c r="AA85" i="2"/>
  <c r="AA82" i="2"/>
  <c r="Z73" i="2"/>
  <c r="Z74" i="2"/>
  <c r="Z75" i="2"/>
  <c r="Z76" i="2"/>
  <c r="Z77" i="2"/>
  <c r="Z72" i="2"/>
  <c r="AA73" i="2"/>
  <c r="AA74" i="2"/>
  <c r="AA75" i="2"/>
  <c r="AA76" i="2"/>
  <c r="AA77" i="2"/>
  <c r="AA72" i="2"/>
  <c r="AB92" i="2"/>
  <c r="AB86" i="2"/>
  <c r="AB87" i="2"/>
  <c r="AB88" i="2"/>
  <c r="AB89" i="2"/>
  <c r="AB85" i="2"/>
  <c r="AB82" i="2"/>
  <c r="AB77" i="2"/>
  <c r="AB73" i="2"/>
  <c r="AB74" i="2"/>
  <c r="AB75" i="2"/>
  <c r="AB76" i="2"/>
  <c r="AB72" i="2"/>
  <c r="D81" i="2"/>
  <c r="D78" i="2"/>
  <c r="D79" i="2" s="1"/>
  <c r="E81" i="2"/>
  <c r="E83" i="2" s="1"/>
  <c r="E78" i="2"/>
  <c r="E79" i="2" s="1"/>
  <c r="F81" i="2"/>
  <c r="F83" i="2" s="1"/>
  <c r="F78" i="2"/>
  <c r="F79" i="2" s="1"/>
  <c r="F96" i="2" s="1"/>
  <c r="G81" i="2"/>
  <c r="G83" i="2" s="1"/>
  <c r="G78" i="2"/>
  <c r="G79" i="2" s="1"/>
  <c r="H90" i="2"/>
  <c r="H81" i="2"/>
  <c r="H83" i="2" s="1"/>
  <c r="H78" i="2"/>
  <c r="H79" i="2" s="1"/>
  <c r="L81" i="2"/>
  <c r="L78" i="2"/>
  <c r="I81" i="2"/>
  <c r="I78" i="2"/>
  <c r="I79" i="2" s="1"/>
  <c r="M81" i="2"/>
  <c r="M83" i="2" s="1"/>
  <c r="M78" i="2"/>
  <c r="M79" i="2" s="1"/>
  <c r="J81" i="2"/>
  <c r="J78" i="2"/>
  <c r="J79" i="2" s="1"/>
  <c r="N81" i="2"/>
  <c r="N83" i="2" s="1"/>
  <c r="N78" i="2"/>
  <c r="N79" i="2" s="1"/>
  <c r="AB6" i="2"/>
  <c r="K81" i="2"/>
  <c r="K83" i="2" s="1"/>
  <c r="K78" i="2"/>
  <c r="K79" i="2" s="1"/>
  <c r="Z6" i="2"/>
  <c r="AA6" i="2"/>
  <c r="AB4" i="2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D7" i="2"/>
  <c r="E7" i="2"/>
  <c r="F7" i="2"/>
  <c r="G7" i="2"/>
  <c r="H7" i="2"/>
  <c r="I7" i="2"/>
  <c r="J7" i="2"/>
  <c r="K7" i="2"/>
  <c r="L7" i="2"/>
  <c r="M7" i="2"/>
  <c r="L79" i="2"/>
  <c r="L96" i="2" s="1"/>
  <c r="J83" i="2"/>
  <c r="D90" i="2"/>
  <c r="E90" i="2"/>
  <c r="F90" i="2"/>
  <c r="G90" i="2"/>
  <c r="I90" i="2"/>
  <c r="J90" i="2"/>
  <c r="K90" i="2"/>
  <c r="L90" i="2"/>
  <c r="M90" i="2"/>
  <c r="N90" i="2"/>
  <c r="O90" i="2"/>
  <c r="O81" i="2"/>
  <c r="O83" i="2" s="1"/>
  <c r="O78" i="2"/>
  <c r="O79" i="2" s="1"/>
  <c r="O30" i="2"/>
  <c r="S15" i="4"/>
  <c r="S8" i="4" s="1"/>
  <c r="L42" i="2"/>
  <c r="D67" i="2"/>
  <c r="E67" i="2"/>
  <c r="F67" i="2"/>
  <c r="G67" i="2"/>
  <c r="H67" i="2"/>
  <c r="I67" i="2"/>
  <c r="J67" i="2"/>
  <c r="K67" i="2"/>
  <c r="L67" i="2"/>
  <c r="M67" i="2"/>
  <c r="D60" i="2"/>
  <c r="E60" i="2"/>
  <c r="F60" i="2"/>
  <c r="G60" i="2"/>
  <c r="H60" i="2"/>
  <c r="I60" i="2"/>
  <c r="J60" i="2"/>
  <c r="K60" i="2"/>
  <c r="L60" i="2"/>
  <c r="M60" i="2"/>
  <c r="D55" i="2"/>
  <c r="E55" i="2"/>
  <c r="F55" i="2"/>
  <c r="G55" i="2"/>
  <c r="H55" i="2"/>
  <c r="I55" i="2"/>
  <c r="J55" i="2"/>
  <c r="K55" i="2"/>
  <c r="L55" i="2"/>
  <c r="M55" i="2"/>
  <c r="D48" i="2"/>
  <c r="E48" i="2"/>
  <c r="F48" i="2"/>
  <c r="G48" i="2"/>
  <c r="H48" i="2"/>
  <c r="I48" i="2"/>
  <c r="J48" i="2"/>
  <c r="K48" i="2"/>
  <c r="L48" i="2"/>
  <c r="M48" i="2"/>
  <c r="D42" i="2"/>
  <c r="E42" i="2"/>
  <c r="F42" i="2"/>
  <c r="G42" i="2"/>
  <c r="H42" i="2"/>
  <c r="I42" i="2"/>
  <c r="J42" i="2"/>
  <c r="K42" i="2"/>
  <c r="M42" i="2"/>
  <c r="G23" i="4"/>
  <c r="H24" i="4"/>
  <c r="G25" i="4"/>
  <c r="H25" i="4"/>
  <c r="I25" i="4"/>
  <c r="K25" i="4"/>
  <c r="L25" i="4"/>
  <c r="M25" i="4"/>
  <c r="N25" i="4"/>
  <c r="P25" i="4"/>
  <c r="Q25" i="4"/>
  <c r="R25" i="4"/>
  <c r="G24" i="4"/>
  <c r="I24" i="4"/>
  <c r="K24" i="4"/>
  <c r="L24" i="4"/>
  <c r="M24" i="4"/>
  <c r="N24" i="4"/>
  <c r="P24" i="4"/>
  <c r="Q24" i="4"/>
  <c r="R24" i="4"/>
  <c r="H23" i="4"/>
  <c r="I23" i="4"/>
  <c r="K23" i="4"/>
  <c r="L23" i="4"/>
  <c r="M23" i="4"/>
  <c r="N23" i="4"/>
  <c r="P23" i="4"/>
  <c r="Q23" i="4"/>
  <c r="R23" i="4"/>
  <c r="S23" i="4"/>
  <c r="G22" i="4"/>
  <c r="H22" i="4"/>
  <c r="I22" i="4"/>
  <c r="K22" i="4"/>
  <c r="L22" i="4"/>
  <c r="M22" i="4"/>
  <c r="N22" i="4"/>
  <c r="P22" i="4"/>
  <c r="Q22" i="4"/>
  <c r="R22" i="4"/>
  <c r="S22" i="4"/>
  <c r="G21" i="4"/>
  <c r="H21" i="4"/>
  <c r="I21" i="4"/>
  <c r="K21" i="4"/>
  <c r="L21" i="4"/>
  <c r="M21" i="4"/>
  <c r="N21" i="4"/>
  <c r="P21" i="4"/>
  <c r="Q21" i="4"/>
  <c r="R21" i="4"/>
  <c r="S21" i="4"/>
  <c r="F15" i="4"/>
  <c r="F14" i="4" s="1"/>
  <c r="G15" i="4"/>
  <c r="G14" i="4" s="1"/>
  <c r="H15" i="4"/>
  <c r="H14" i="4" s="1"/>
  <c r="I14" i="4"/>
  <c r="K15" i="4"/>
  <c r="K14" i="4" s="1"/>
  <c r="L15" i="4"/>
  <c r="L14" i="4" s="1"/>
  <c r="M15" i="4"/>
  <c r="M14" i="4" s="1"/>
  <c r="N15" i="4"/>
  <c r="N14" i="4" s="1"/>
  <c r="P15" i="4"/>
  <c r="P6" i="4" s="1"/>
  <c r="Q15" i="4"/>
  <c r="Q12" i="4" s="1"/>
  <c r="R15" i="4"/>
  <c r="R12" i="4" s="1"/>
  <c r="P7" i="2"/>
  <c r="Q7" i="2"/>
  <c r="Q13" i="2" s="1"/>
  <c r="Q15" i="2" s="1"/>
  <c r="Q17" i="2" s="1"/>
  <c r="R7" i="2"/>
  <c r="R13" i="2" s="1"/>
  <c r="R15" i="2" s="1"/>
  <c r="R17" i="2" s="1"/>
  <c r="S7" i="2"/>
  <c r="S13" i="2" s="1"/>
  <c r="S15" i="2" s="1"/>
  <c r="S17" i="2" s="1"/>
  <c r="AA90" i="2" l="1"/>
  <c r="K96" i="2"/>
  <c r="Z81" i="2"/>
  <c r="Z83" i="2" s="1"/>
  <c r="AB90" i="2"/>
  <c r="F49" i="2"/>
  <c r="P23" i="2"/>
  <c r="P13" i="2"/>
  <c r="J96" i="2"/>
  <c r="E96" i="2"/>
  <c r="Y15" i="4"/>
  <c r="P94" i="2"/>
  <c r="U10" i="4"/>
  <c r="U8" i="4"/>
  <c r="U14" i="4"/>
  <c r="S12" i="4"/>
  <c r="R14" i="4"/>
  <c r="W94" i="2"/>
  <c r="W15" i="2"/>
  <c r="W17" i="2" s="1"/>
  <c r="W18" i="2" s="1"/>
  <c r="W27" i="2"/>
  <c r="W71" i="2"/>
  <c r="X23" i="2"/>
  <c r="W10" i="2"/>
  <c r="W26" i="2" s="1"/>
  <c r="X94" i="2"/>
  <c r="X96" i="2"/>
  <c r="Y94" i="2"/>
  <c r="X10" i="2"/>
  <c r="X26" i="2" s="1"/>
  <c r="X13" i="2"/>
  <c r="X71" i="2" s="1"/>
  <c r="Y23" i="2"/>
  <c r="Y13" i="2"/>
  <c r="AA81" i="2"/>
  <c r="AA83" i="2" s="1"/>
  <c r="D83" i="2"/>
  <c r="AB78" i="2"/>
  <c r="AB79" i="2" s="1"/>
  <c r="AB81" i="2"/>
  <c r="AB83" i="2" s="1"/>
  <c r="L68" i="2"/>
  <c r="Z90" i="2"/>
  <c r="D68" i="2"/>
  <c r="I83" i="2"/>
  <c r="I94" i="2" s="1"/>
  <c r="G49" i="2"/>
  <c r="O96" i="2"/>
  <c r="D96" i="2"/>
  <c r="Z78" i="2"/>
  <c r="Z79" i="2" s="1"/>
  <c r="N23" i="2"/>
  <c r="AA78" i="2"/>
  <c r="AA79" i="2" s="1"/>
  <c r="O94" i="2"/>
  <c r="G96" i="2"/>
  <c r="L83" i="2"/>
  <c r="L94" i="2" s="1"/>
  <c r="N94" i="2"/>
  <c r="H96" i="2"/>
  <c r="H94" i="2"/>
  <c r="M94" i="2"/>
  <c r="N96" i="2"/>
  <c r="G94" i="2"/>
  <c r="F94" i="2"/>
  <c r="I96" i="2"/>
  <c r="E94" i="2"/>
  <c r="K94" i="2"/>
  <c r="M96" i="2"/>
  <c r="D94" i="2"/>
  <c r="J94" i="2"/>
  <c r="L49" i="2"/>
  <c r="E49" i="2"/>
  <c r="Q10" i="2"/>
  <c r="P10" i="2"/>
  <c r="P26" i="2" s="1"/>
  <c r="R10" i="2"/>
  <c r="G68" i="2"/>
  <c r="H68" i="2"/>
  <c r="H49" i="2"/>
  <c r="F68" i="2"/>
  <c r="E68" i="2"/>
  <c r="D49" i="2"/>
  <c r="J68" i="2"/>
  <c r="K68" i="2"/>
  <c r="I68" i="2"/>
  <c r="I49" i="2"/>
  <c r="J49" i="2"/>
  <c r="K49" i="2"/>
  <c r="M68" i="2"/>
  <c r="M49" i="2"/>
  <c r="R6" i="4"/>
  <c r="R8" i="4"/>
  <c r="S14" i="4"/>
  <c r="R10" i="4"/>
  <c r="S10" i="2"/>
  <c r="F6" i="4"/>
  <c r="F12" i="4"/>
  <c r="F8" i="4"/>
  <c r="F10" i="4"/>
  <c r="G10" i="4"/>
  <c r="G6" i="4"/>
  <c r="G12" i="4"/>
  <c r="G8" i="4"/>
  <c r="H8" i="4"/>
  <c r="H12" i="4"/>
  <c r="H6" i="4"/>
  <c r="H10" i="4"/>
  <c r="I6" i="4"/>
  <c r="I12" i="4"/>
  <c r="I10" i="4"/>
  <c r="I8" i="4"/>
  <c r="K12" i="4"/>
  <c r="K10" i="4"/>
  <c r="K6" i="4"/>
  <c r="K8" i="4"/>
  <c r="L12" i="4"/>
  <c r="L10" i="4"/>
  <c r="L8" i="4"/>
  <c r="L6" i="4"/>
  <c r="M12" i="4"/>
  <c r="M10" i="4"/>
  <c r="M8" i="4"/>
  <c r="M6" i="4"/>
  <c r="N6" i="4"/>
  <c r="N10" i="4"/>
  <c r="N8" i="4"/>
  <c r="N12" i="4"/>
  <c r="P8" i="4"/>
  <c r="P14" i="4"/>
  <c r="P10" i="4"/>
  <c r="P12" i="4"/>
  <c r="Q10" i="4"/>
  <c r="Q6" i="4"/>
  <c r="Q8" i="4"/>
  <c r="Q14" i="4"/>
  <c r="AD9" i="2"/>
  <c r="AE9" i="2" s="1"/>
  <c r="AF9" i="2" s="1"/>
  <c r="AG9" i="2" s="1"/>
  <c r="AH9" i="2" s="1"/>
  <c r="AI9" i="2" s="1"/>
  <c r="AJ9" i="2" s="1"/>
  <c r="AK9" i="2" s="1"/>
  <c r="AL9" i="2" s="1"/>
  <c r="AM9" i="2" s="1"/>
  <c r="H24" i="2"/>
  <c r="I24" i="2"/>
  <c r="J24" i="2"/>
  <c r="K24" i="2"/>
  <c r="L24" i="2"/>
  <c r="M24" i="2"/>
  <c r="N24" i="2"/>
  <c r="H25" i="2"/>
  <c r="I25" i="2"/>
  <c r="J25" i="2"/>
  <c r="K25" i="2"/>
  <c r="L25" i="2"/>
  <c r="M25" i="2"/>
  <c r="N25" i="2"/>
  <c r="O25" i="2"/>
  <c r="O24" i="2"/>
  <c r="AB14" i="2"/>
  <c r="Z11" i="2"/>
  <c r="AA11" i="2"/>
  <c r="AB11" i="2"/>
  <c r="AC11" i="2" s="1"/>
  <c r="AA9" i="2"/>
  <c r="AA8" i="2"/>
  <c r="Z9" i="2"/>
  <c r="Z8" i="2"/>
  <c r="AB9" i="2"/>
  <c r="AB8" i="2"/>
  <c r="AC8" i="2" s="1"/>
  <c r="O12" i="2"/>
  <c r="D12" i="2"/>
  <c r="E12" i="2"/>
  <c r="Q18" i="2" s="1"/>
  <c r="F12" i="2"/>
  <c r="R18" i="2" s="1"/>
  <c r="G12" i="2"/>
  <c r="S18" i="2" s="1"/>
  <c r="H12" i="2"/>
  <c r="I12" i="2"/>
  <c r="J12" i="2"/>
  <c r="K12" i="2"/>
  <c r="L12" i="2"/>
  <c r="M12" i="2"/>
  <c r="N12" i="2"/>
  <c r="O42" i="2"/>
  <c r="O67" i="2"/>
  <c r="O60" i="2"/>
  <c r="O55" i="2"/>
  <c r="O48" i="2"/>
  <c r="I30" i="2"/>
  <c r="J30" i="2"/>
  <c r="K30" i="2"/>
  <c r="L30" i="2"/>
  <c r="M30" i="2"/>
  <c r="N30" i="2"/>
  <c r="H30" i="2"/>
  <c r="P15" i="2" l="1"/>
  <c r="P17" i="2" s="1"/>
  <c r="P18" i="2" s="1"/>
  <c r="P71" i="2"/>
  <c r="P27" i="2"/>
  <c r="Y15" i="2"/>
  <c r="Y17" i="2" s="1"/>
  <c r="Y18" i="2" s="1"/>
  <c r="Y27" i="2"/>
  <c r="Y71" i="2"/>
  <c r="Y8" i="4"/>
  <c r="Y12" i="4"/>
  <c r="Y10" i="4"/>
  <c r="Y14" i="4"/>
  <c r="X27" i="2"/>
  <c r="X15" i="2"/>
  <c r="X17" i="2" s="1"/>
  <c r="X18" i="2" s="1"/>
  <c r="AA94" i="2"/>
  <c r="AA96" i="2"/>
  <c r="Z94" i="2"/>
  <c r="Z96" i="2"/>
  <c r="AB96" i="2"/>
  <c r="AB94" i="2"/>
  <c r="Z12" i="2"/>
  <c r="AC12" i="2"/>
  <c r="AD8" i="2"/>
  <c r="AE8" i="2" s="1"/>
  <c r="AF8" i="2" s="1"/>
  <c r="AG8" i="2" s="1"/>
  <c r="AH8" i="2" s="1"/>
  <c r="AI8" i="2" s="1"/>
  <c r="AJ8" i="2" s="1"/>
  <c r="AK8" i="2" s="1"/>
  <c r="AL8" i="2" s="1"/>
  <c r="AM8" i="2" s="1"/>
  <c r="AB12" i="2"/>
  <c r="O68" i="2"/>
  <c r="O49" i="2"/>
  <c r="AD24" i="2" l="1"/>
  <c r="AC24" i="2"/>
  <c r="AE24" i="2" l="1"/>
  <c r="AF24" i="2"/>
  <c r="AB16" i="2"/>
  <c r="AB5" i="2"/>
  <c r="AC5" i="2" s="1"/>
  <c r="AA16" i="2"/>
  <c r="AA14" i="2"/>
  <c r="AA12" i="2"/>
  <c r="AA4" i="2"/>
  <c r="Z16" i="2"/>
  <c r="Z14" i="2"/>
  <c r="Z5" i="2"/>
  <c r="Z25" i="2" s="1"/>
  <c r="Z4" i="2"/>
  <c r="N67" i="2"/>
  <c r="N60" i="2"/>
  <c r="N55" i="2"/>
  <c r="N48" i="2"/>
  <c r="N42" i="2"/>
  <c r="B6" i="2"/>
  <c r="B9" i="2" s="1"/>
  <c r="Z7" i="2" l="1"/>
  <c r="Z23" i="2" s="1"/>
  <c r="Z24" i="2"/>
  <c r="AA7" i="2"/>
  <c r="AD5" i="2"/>
  <c r="AE5" i="2" s="1"/>
  <c r="AF5" i="2" s="1"/>
  <c r="AG5" i="2" s="1"/>
  <c r="AH5" i="2" s="1"/>
  <c r="AI5" i="2" s="1"/>
  <c r="AJ5" i="2" s="1"/>
  <c r="AK5" i="2" s="1"/>
  <c r="AL5" i="2" s="1"/>
  <c r="AM5" i="2" s="1"/>
  <c r="N10" i="2"/>
  <c r="N26" i="2" s="1"/>
  <c r="O10" i="2"/>
  <c r="O26" i="2" s="1"/>
  <c r="O13" i="2"/>
  <c r="F10" i="2"/>
  <c r="F26" i="2" s="1"/>
  <c r="M10" i="2"/>
  <c r="M26" i="2" s="1"/>
  <c r="D10" i="2"/>
  <c r="D26" i="2" s="1"/>
  <c r="J10" i="2"/>
  <c r="J26" i="2" s="1"/>
  <c r="I10" i="2"/>
  <c r="I26" i="2" s="1"/>
  <c r="G10" i="2"/>
  <c r="G26" i="2" s="1"/>
  <c r="E10" i="2"/>
  <c r="E26" i="2" s="1"/>
  <c r="L10" i="2"/>
  <c r="L26" i="2" s="1"/>
  <c r="K10" i="2"/>
  <c r="K26" i="2" s="1"/>
  <c r="H10" i="2"/>
  <c r="H26" i="2" s="1"/>
  <c r="Z13" i="2"/>
  <c r="AA25" i="2"/>
  <c r="I23" i="2"/>
  <c r="N68" i="2"/>
  <c r="AA24" i="2"/>
  <c r="AB24" i="2"/>
  <c r="AD11" i="2"/>
  <c r="AE11" i="2" s="1"/>
  <c r="AF11" i="2" s="1"/>
  <c r="AG11" i="2" s="1"/>
  <c r="AH11" i="2" s="1"/>
  <c r="AI11" i="2" s="1"/>
  <c r="AJ11" i="2" s="1"/>
  <c r="AK11" i="2" s="1"/>
  <c r="AL11" i="2" s="1"/>
  <c r="AM11" i="2" s="1"/>
  <c r="H23" i="2"/>
  <c r="AB25" i="2"/>
  <c r="AC25" i="2"/>
  <c r="AG24" i="2"/>
  <c r="M23" i="2"/>
  <c r="J23" i="2"/>
  <c r="L23" i="2"/>
  <c r="F13" i="2"/>
  <c r="K23" i="2"/>
  <c r="L13" i="2"/>
  <c r="N49" i="2"/>
  <c r="H13" i="2"/>
  <c r="E13" i="2"/>
  <c r="K13" i="2"/>
  <c r="D13" i="2"/>
  <c r="G13" i="2"/>
  <c r="M13" i="2"/>
  <c r="I13" i="2"/>
  <c r="I71" i="2" s="1"/>
  <c r="J13" i="2"/>
  <c r="N13" i="2"/>
  <c r="Z27" i="2" l="1"/>
  <c r="Z71" i="2"/>
  <c r="N15" i="2"/>
  <c r="N17" i="2" s="1"/>
  <c r="N18" i="2" s="1"/>
  <c r="N71" i="2"/>
  <c r="J15" i="2"/>
  <c r="J17" i="2" s="1"/>
  <c r="J18" i="2" s="1"/>
  <c r="J71" i="2"/>
  <c r="O27" i="2"/>
  <c r="O71" i="2"/>
  <c r="D15" i="2"/>
  <c r="D17" i="2" s="1"/>
  <c r="D18" i="2" s="1"/>
  <c r="D71" i="2"/>
  <c r="K15" i="2"/>
  <c r="K17" i="2" s="1"/>
  <c r="K18" i="2" s="1"/>
  <c r="K71" i="2"/>
  <c r="F15" i="2"/>
  <c r="F17" i="2" s="1"/>
  <c r="F18" i="2" s="1"/>
  <c r="F71" i="2"/>
  <c r="E15" i="2"/>
  <c r="E17" i="2" s="1"/>
  <c r="E18" i="2" s="1"/>
  <c r="E71" i="2"/>
  <c r="H15" i="2"/>
  <c r="H17" i="2" s="1"/>
  <c r="H18" i="2" s="1"/>
  <c r="H71" i="2"/>
  <c r="M15" i="2"/>
  <c r="M17" i="2" s="1"/>
  <c r="M18" i="2" s="1"/>
  <c r="M71" i="2"/>
  <c r="L15" i="2"/>
  <c r="L17" i="2" s="1"/>
  <c r="L18" i="2" s="1"/>
  <c r="L71" i="2"/>
  <c r="G15" i="2"/>
  <c r="G17" i="2" s="1"/>
  <c r="G18" i="2" s="1"/>
  <c r="G71" i="2"/>
  <c r="AB10" i="2"/>
  <c r="AB26" i="2" s="1"/>
  <c r="AB13" i="2"/>
  <c r="AB71" i="2" s="1"/>
  <c r="AA23" i="2"/>
  <c r="AA10" i="2"/>
  <c r="AA26" i="2" s="1"/>
  <c r="O15" i="2"/>
  <c r="O17" i="2" s="1"/>
  <c r="O18" i="2" s="1"/>
  <c r="Z10" i="2"/>
  <c r="Z26" i="2" s="1"/>
  <c r="AD12" i="2"/>
  <c r="H27" i="2"/>
  <c r="L27" i="2"/>
  <c r="AB23" i="2"/>
  <c r="AC23" i="2"/>
  <c r="AH24" i="2"/>
  <c r="K27" i="2"/>
  <c r="F27" i="2"/>
  <c r="D27" i="2"/>
  <c r="M27" i="2"/>
  <c r="G27" i="2"/>
  <c r="J27" i="2"/>
  <c r="Z15" i="2"/>
  <c r="Z17" i="2" s="1"/>
  <c r="Z18" i="2" s="1"/>
  <c r="AA13" i="2"/>
  <c r="I15" i="2"/>
  <c r="I17" i="2" s="1"/>
  <c r="I18" i="2" s="1"/>
  <c r="I27" i="2"/>
  <c r="E27" i="2"/>
  <c r="N27" i="2"/>
  <c r="AA27" i="2" l="1"/>
  <c r="AA71" i="2"/>
  <c r="AC10" i="2"/>
  <c r="AC13" i="2"/>
  <c r="AB27" i="2"/>
  <c r="AB15" i="2"/>
  <c r="AB17" i="2" s="1"/>
  <c r="AB18" i="2" s="1"/>
  <c r="AE12" i="2"/>
  <c r="AA15" i="2"/>
  <c r="AA17" i="2" s="1"/>
  <c r="AA18" i="2" s="1"/>
  <c r="AD25" i="2"/>
  <c r="AD7" i="2"/>
  <c r="AD10" i="2" s="1"/>
  <c r="AI24" i="2"/>
  <c r="AD26" i="2" l="1"/>
  <c r="E4" i="3"/>
  <c r="AC26" i="2"/>
  <c r="D4" i="3"/>
  <c r="AF12" i="2"/>
  <c r="D5" i="3"/>
  <c r="AC15" i="2"/>
  <c r="AC16" i="2" s="1"/>
  <c r="AC17" i="2" s="1"/>
  <c r="AC27" i="2"/>
  <c r="AD23" i="2"/>
  <c r="AD13" i="2"/>
  <c r="AE25" i="2"/>
  <c r="AE7" i="2"/>
  <c r="AJ24" i="2"/>
  <c r="AC18" i="2" l="1"/>
  <c r="D6" i="3" s="1"/>
  <c r="AE10" i="2"/>
  <c r="AG12" i="2"/>
  <c r="AE23" i="2"/>
  <c r="AE13" i="2"/>
  <c r="AF25" i="2"/>
  <c r="AF7" i="2"/>
  <c r="E5" i="3"/>
  <c r="AD27" i="2"/>
  <c r="AD15" i="2"/>
  <c r="AK24" i="2"/>
  <c r="AE26" i="2" l="1"/>
  <c r="F4" i="3"/>
  <c r="AF10" i="2"/>
  <c r="AF26" i="2" s="1"/>
  <c r="AH12" i="2"/>
  <c r="AD16" i="2"/>
  <c r="AD17" i="2" s="1"/>
  <c r="AF23" i="2"/>
  <c r="AF13" i="2"/>
  <c r="AG25" i="2"/>
  <c r="AG7" i="2"/>
  <c r="F5" i="3"/>
  <c r="AE15" i="2"/>
  <c r="AE27" i="2"/>
  <c r="AL24" i="2"/>
  <c r="AG10" i="2" l="1"/>
  <c r="AG26" i="2" s="1"/>
  <c r="AD18" i="2"/>
  <c r="E6" i="3" s="1"/>
  <c r="AI12" i="2"/>
  <c r="AG13" i="2"/>
  <c r="AG23" i="2"/>
  <c r="AH25" i="2"/>
  <c r="AH7" i="2"/>
  <c r="AF15" i="2"/>
  <c r="AF27" i="2"/>
  <c r="AE16" i="2"/>
  <c r="AE17" i="2" s="1"/>
  <c r="AE18" i="2" s="1"/>
  <c r="F6" i="3" s="1"/>
  <c r="AM24" i="2"/>
  <c r="AH10" i="2" l="1"/>
  <c r="AH26" i="2" s="1"/>
  <c r="AJ12" i="2"/>
  <c r="AF16" i="2"/>
  <c r="AF17" i="2" s="1"/>
  <c r="AF18" i="2" s="1"/>
  <c r="AH23" i="2"/>
  <c r="AH13" i="2"/>
  <c r="AI25" i="2"/>
  <c r="AI7" i="2"/>
  <c r="AG15" i="2"/>
  <c r="AG27" i="2"/>
  <c r="AI10" i="2" l="1"/>
  <c r="AI26" i="2" s="1"/>
  <c r="AK12" i="2"/>
  <c r="AI23" i="2"/>
  <c r="AI13" i="2"/>
  <c r="AG16" i="2"/>
  <c r="AG17" i="2" s="1"/>
  <c r="AG18" i="2" s="1"/>
  <c r="AJ25" i="2"/>
  <c r="AJ7" i="2"/>
  <c r="AH27" i="2"/>
  <c r="AH15" i="2"/>
  <c r="AJ10" i="2" l="1"/>
  <c r="AJ26" i="2" s="1"/>
  <c r="AL12" i="2"/>
  <c r="AK25" i="2"/>
  <c r="AK7" i="2"/>
  <c r="AI15" i="2"/>
  <c r="AI27" i="2"/>
  <c r="AJ13" i="2"/>
  <c r="AJ23" i="2"/>
  <c r="AH16" i="2"/>
  <c r="AH17" i="2" s="1"/>
  <c r="AK10" i="2" l="1"/>
  <c r="AK26" i="2" s="1"/>
  <c r="AH18" i="2"/>
  <c r="AM12" i="2"/>
  <c r="AJ27" i="2"/>
  <c r="AJ15" i="2"/>
  <c r="AI16" i="2"/>
  <c r="AI17" i="2" s="1"/>
  <c r="AI18" i="2" s="1"/>
  <c r="AK23" i="2"/>
  <c r="AK13" i="2"/>
  <c r="AL25" i="2"/>
  <c r="AL7" i="2"/>
  <c r="AL10" i="2" l="1"/>
  <c r="AL26" i="2" s="1"/>
  <c r="AM25" i="2"/>
  <c r="AM7" i="2"/>
  <c r="AM10" i="2" s="1"/>
  <c r="AM26" i="2" s="1"/>
  <c r="AK15" i="2"/>
  <c r="AK27" i="2"/>
  <c r="AJ16" i="2"/>
  <c r="AJ17" i="2" s="1"/>
  <c r="AJ18" i="2" s="1"/>
  <c r="AL23" i="2"/>
  <c r="AL13" i="2"/>
  <c r="AL15" i="2" l="1"/>
  <c r="AL27" i="2"/>
  <c r="AK16" i="2"/>
  <c r="AK17" i="2" s="1"/>
  <c r="AK18" i="2" s="1"/>
  <c r="AM23" i="2"/>
  <c r="AM13" i="2"/>
  <c r="AL16" i="2" l="1"/>
  <c r="AL17" i="2" s="1"/>
  <c r="AL18" i="2" s="1"/>
  <c r="AM15" i="2"/>
  <c r="AM27" i="2"/>
  <c r="AM16" i="2" l="1"/>
  <c r="AM17" i="2" s="1"/>
  <c r="AM18" i="2" l="1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AP23" i="2" s="1"/>
  <c r="AP24" i="2" l="1"/>
  <c r="AP25" i="2" s="1"/>
  <c r="AP27" i="2" s="1"/>
</calcChain>
</file>

<file path=xl/sharedStrings.xml><?xml version="1.0" encoding="utf-8"?>
<sst xmlns="http://schemas.openxmlformats.org/spreadsheetml/2006/main" count="206" uniqueCount="177">
  <si>
    <t>Kapitalstruktur</t>
  </si>
  <si>
    <t>price</t>
  </si>
  <si>
    <t>Cash</t>
  </si>
  <si>
    <t>Debt</t>
  </si>
  <si>
    <t>Shares</t>
  </si>
  <si>
    <t>Shares (m)</t>
  </si>
  <si>
    <t>MC (SEKm)</t>
  </si>
  <si>
    <t>EUR/SEK</t>
  </si>
  <si>
    <t>Cash (SEKm)</t>
  </si>
  <si>
    <t>Q122</t>
  </si>
  <si>
    <t>Q222</t>
  </si>
  <si>
    <t>Q322</t>
  </si>
  <si>
    <t>Q422</t>
  </si>
  <si>
    <t>Q123</t>
  </si>
  <si>
    <t>Q223</t>
  </si>
  <si>
    <t>Q324</t>
  </si>
  <si>
    <t>Q323</t>
  </si>
  <si>
    <t>Q423</t>
  </si>
  <si>
    <t>Q124</t>
  </si>
  <si>
    <t>Q224</t>
  </si>
  <si>
    <t>Q424</t>
  </si>
  <si>
    <t>Live</t>
  </si>
  <si>
    <t>RNG</t>
  </si>
  <si>
    <t>Revenues</t>
  </si>
  <si>
    <t>EUR million</t>
  </si>
  <si>
    <t>Revenue y/y</t>
  </si>
  <si>
    <t>Evolution er en ledende B2B tilbyder av online casino spill, som innebærer både live og virtuelle spill. De tilbyr disse spillene under en rekke merker til 600+ operatører over hele veden</t>
  </si>
  <si>
    <t>De er involvert i utvikling, produksjon, markedsføring og lisensiering</t>
  </si>
  <si>
    <t>Personnel expense</t>
  </si>
  <si>
    <t>D/A/I</t>
  </si>
  <si>
    <t>Other operating expense</t>
  </si>
  <si>
    <t>Total Opex</t>
  </si>
  <si>
    <t>Financial items</t>
  </si>
  <si>
    <t>PTP</t>
  </si>
  <si>
    <t>Tax</t>
  </si>
  <si>
    <t>Net income</t>
  </si>
  <si>
    <t>Goodwill</t>
  </si>
  <si>
    <t>Other intangible assets</t>
  </si>
  <si>
    <t>Buildings</t>
  </si>
  <si>
    <t>Right if use assets</t>
  </si>
  <si>
    <t>PP&amp;E</t>
  </si>
  <si>
    <t>Other non-current receivables</t>
  </si>
  <si>
    <t>Deferred tax assets</t>
  </si>
  <si>
    <t>Total non-current assets</t>
  </si>
  <si>
    <t>Accounts receivables</t>
  </si>
  <si>
    <t>other receivables</t>
  </si>
  <si>
    <t>Prepaid expense and accrued income</t>
  </si>
  <si>
    <t>Total current assets</t>
  </si>
  <si>
    <t>Total assets</t>
  </si>
  <si>
    <t>Current tax receivables</t>
  </si>
  <si>
    <t>Share capital</t>
  </si>
  <si>
    <t>other capital contributed</t>
  </si>
  <si>
    <t>reserves</t>
  </si>
  <si>
    <t>Retained earnings inc profits</t>
  </si>
  <si>
    <t>Total Equity</t>
  </si>
  <si>
    <t>Defered tax liabilities</t>
  </si>
  <si>
    <t>Non-current lease liabilities</t>
  </si>
  <si>
    <t>Provision for pension</t>
  </si>
  <si>
    <t>other non-current liabilities</t>
  </si>
  <si>
    <t>Total non-current liabilities</t>
  </si>
  <si>
    <t>Accounts payable</t>
  </si>
  <si>
    <t>Provision</t>
  </si>
  <si>
    <t>Current taxliabilities</t>
  </si>
  <si>
    <t>Other current liabilities</t>
  </si>
  <si>
    <t>Current lease liabilities</t>
  </si>
  <si>
    <t>Accrued expenses and prepaid income</t>
  </si>
  <si>
    <t>Total current liabilities</t>
  </si>
  <si>
    <t>Total E/L</t>
  </si>
  <si>
    <t>CFFO</t>
  </si>
  <si>
    <t>CFFI</t>
  </si>
  <si>
    <t>CFFF</t>
  </si>
  <si>
    <t>EV (m)</t>
  </si>
  <si>
    <t>Employees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</si>
  <si>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</si>
  <si>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</si>
  <si>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</si>
  <si>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</si>
  <si>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</si>
  <si>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</si>
  <si>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</si>
  <si>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</si>
  <si>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</si>
  <si>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</si>
  <si>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</si>
  <si>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</si>
  <si>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</si>
  <si>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</si>
  <si>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Live y/y</t>
  </si>
  <si>
    <t>RNG y/y</t>
  </si>
  <si>
    <t>EV/EBIT</t>
  </si>
  <si>
    <t>P/E</t>
  </si>
  <si>
    <t>Discount</t>
  </si>
  <si>
    <t>TV</t>
  </si>
  <si>
    <t>NPV SEK</t>
  </si>
  <si>
    <t>NPV/Share</t>
  </si>
  <si>
    <t>NPV EUR</t>
  </si>
  <si>
    <t>Opp/nedside</t>
  </si>
  <si>
    <t>EPS (SEK)</t>
  </si>
  <si>
    <t>Operating profit (EBIT)</t>
  </si>
  <si>
    <t>Q125</t>
  </si>
  <si>
    <t>Q225</t>
  </si>
  <si>
    <t>Q425</t>
  </si>
  <si>
    <t>Q325</t>
  </si>
  <si>
    <t>Financial assets measured at amort cost</t>
  </si>
  <si>
    <t>EBITDA</t>
  </si>
  <si>
    <t>EBITDA-margin</t>
  </si>
  <si>
    <t>EBIT margin</t>
  </si>
  <si>
    <t>De operer i både Live og RNG segmentene.</t>
  </si>
  <si>
    <t>Live segmentet innebærer live-casino. Her streames spillee direkte fra Evolution sine studio med ekte dealere</t>
  </si>
  <si>
    <t>Random number generator (RNG) er spill som er styrt av datamaskinen. Her styrer en algoritme alle utfallene.</t>
  </si>
  <si>
    <t>EV/EBITDA</t>
  </si>
  <si>
    <t xml:space="preserve">Kunder: </t>
  </si>
  <si>
    <t>EURm</t>
  </si>
  <si>
    <t>Europe</t>
  </si>
  <si>
    <t>Asia</t>
  </si>
  <si>
    <t>NA</t>
  </si>
  <si>
    <t>LatAm</t>
  </si>
  <si>
    <t>Other</t>
  </si>
  <si>
    <t>Net revenues</t>
  </si>
  <si>
    <t>Share of regulated markets</t>
  </si>
  <si>
    <t>%</t>
  </si>
  <si>
    <t>Inntekter og fordeling</t>
  </si>
  <si>
    <t>Revenue q/q</t>
  </si>
  <si>
    <t>North America</t>
  </si>
  <si>
    <t>Asia har vokst solid de siste årene</t>
  </si>
  <si>
    <t>Europa har kympet bra de seneste årene</t>
  </si>
  <si>
    <t>Trigger blir nok at Asia får tilbake veksten sin</t>
  </si>
  <si>
    <t>De er utsatt for hacking som er problematisk</t>
  </si>
  <si>
    <t>Cash flow EUR million</t>
  </si>
  <si>
    <t>Live er Evolution sitt klart største segment og derfor er personell kostnader også deres største kostnad.</t>
  </si>
  <si>
    <t>Press releases:</t>
  </si>
  <si>
    <t>Balanse EUR million</t>
  </si>
  <si>
    <t>Evolutions største kunde står for rundt 13% av inntektene. De 5 største står for nesten halvparten på 46%</t>
  </si>
  <si>
    <t>17.02.25: EVO kjøper tilbake 210 810 aksjer</t>
  </si>
  <si>
    <t>13.02.25: Lanserer live dealer spill på bet365 i New Jearsey</t>
  </si>
  <si>
    <t>10.02.25: Starter tilbakekjøp av 500 mill euro</t>
  </si>
  <si>
    <t>24.02.25: EVO kjøper tilbake 359 100 aksjer</t>
  </si>
  <si>
    <t>07.01.25: EVO får ny CFO. Jacob Kaplan går av og Joakim Andersson kommer inn</t>
  </si>
  <si>
    <t>20.12.24: Evolution Malta holding lisenser på bakgrunn av gamling act 2005. Undersøkelsen oppstår grunnet kommisjonen har identifisert Evolutions spill være tilgjengelig fra UK gjennom aktører som ikke har lisenser. EVO har 3% av sin inntekt fra UK</t>
  </si>
  <si>
    <t>14.11.24: EVO forlenger sitt partnersakap med FanDuel casino med enda 3 år. Avtalen sikrer at Evolution er FanDuels eneste tilbyder av live casino spill</t>
  </si>
  <si>
    <t>23.10.24: EVO kjøper tilbake 130 137 aksjer</t>
  </si>
  <si>
    <t>03.03.25: EVO kjøper tilbake 288 382 aksjer</t>
  </si>
  <si>
    <t>21.10.24: EVO kjøper tilbake 707 100 aksjer</t>
  </si>
  <si>
    <t>14.10.24: EVO kjøper tilbake 591 859 aksjer</t>
  </si>
  <si>
    <t>07.10.24: EVO kjøper tilbake 335 068 aksjer</t>
  </si>
  <si>
    <t>10.03.25: EVO kjøper tilbake 297 324 aksjer</t>
  </si>
  <si>
    <t>17.03.25: EVO kjøper tilbake 557 731 aksjer</t>
  </si>
  <si>
    <t>24.03.25: EVO kjøper tilbake 207 854 aksjer</t>
  </si>
  <si>
    <t>y/y</t>
  </si>
  <si>
    <t>Model OP</t>
  </si>
  <si>
    <t>Reported OP</t>
  </si>
  <si>
    <t>D/A</t>
  </si>
  <si>
    <t>Interest received</t>
  </si>
  <si>
    <t>Interest paid</t>
  </si>
  <si>
    <t>WC</t>
  </si>
  <si>
    <t>Capex</t>
  </si>
  <si>
    <t>Increase/decrease financial assets</t>
  </si>
  <si>
    <t>Repayment of lease liability</t>
  </si>
  <si>
    <t>Repurchase of own shares</t>
  </si>
  <si>
    <t>Warrents</t>
  </si>
  <si>
    <t>New share issue</t>
  </si>
  <si>
    <t>Dividend</t>
  </si>
  <si>
    <t>FX</t>
  </si>
  <si>
    <t>CIC</t>
  </si>
  <si>
    <t>FCF</t>
  </si>
  <si>
    <t>Other revenue</t>
  </si>
  <si>
    <t>FY 2021</t>
  </si>
  <si>
    <t>FY2020</t>
  </si>
  <si>
    <t>FY2019</t>
  </si>
  <si>
    <t>31.03.25: EVO kjøper tilbake 178 880 aksjer</t>
  </si>
  <si>
    <t>Y/Y</t>
  </si>
  <si>
    <t>19.05.25: EVO kjøper tilbake 135 000 aksjer</t>
  </si>
  <si>
    <t>26.05.25: EVO kjøper tilbake 259 000 aksjer</t>
  </si>
  <si>
    <t>02.06.25: EVO kjøpter tilbake 202 847 aksjer</t>
  </si>
  <si>
    <t>09.06.25: EVO kjøper tilbake 217 000 aksjer</t>
  </si>
  <si>
    <t>16.06.25: EVO kjøper tilbake 98 045 aksjer</t>
  </si>
  <si>
    <t>23.06.25: EVO kjøper tilbake 49 500 aksjer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</si>
</sst>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10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3" fontId="4" fillId="0" borderId="1" xfId="0" applyNumberFormat="1" applyFont="1" applyBorder="1"/>
    <xf numFmtId="3" fontId="2" fillId="0" borderId="1" xfId="0" applyNumberFormat="1" applyFont="1" applyBorder="1"/>
    <xf numFmtId="164" fontId="1" fillId="0" borderId="0" xfId="0" applyNumberFormat="1" applyFont="1"/>
    <xf numFmtId="2" fontId="2" fillId="0" borderId="0" xfId="0" applyNumberFormat="1" applyFont="1"/>
    <xf numFmtId="164" fontId="1" fillId="0" borderId="1" xfId="0" applyNumberFormat="1" applyFont="1" applyBorder="1"/>
    <xf numFmtId="10" fontId="2" fillId="0" borderId="0" xfId="0" applyNumberFormat="1" applyFont="1"/>
    <xf numFmtId="10" fontId="2" fillId="0" borderId="1" xfId="0" applyNumberFormat="1" applyFont="1" applyBorder="1"/>
    <xf numFmtId="9" fontId="1" fillId="0" borderId="0" xfId="0" applyNumberFormat="1" applyFont="1"/>
    <xf numFmtId="0" fontId="1" fillId="0" borderId="3" xfId="0" applyFont="1" applyBorder="1"/>
    <xf numFmtId="4" fontId="1" fillId="0" borderId="3" xfId="0" applyNumberFormat="1" applyFont="1" applyBorder="1"/>
    <xf numFmtId="4" fontId="4" fillId="0" borderId="1" xfId="0" applyNumberFormat="1" applyFont="1" applyBorder="1"/>
    <xf numFmtId="0" fontId="4" fillId="0" borderId="1" xfId="0" applyFont="1" applyBorder="1"/>
    <xf numFmtId="3" fontId="3" fillId="0" borderId="1" xfId="0" applyNumberFormat="1" applyFont="1" applyBorder="1"/>
    <xf numFmtId="1" fontId="1" fillId="0" borderId="0" xfId="0" applyNumberFormat="1" applyFont="1"/>
    <xf numFmtId="1" fontId="1" fillId="0" borderId="1" xfId="0" applyNumberFormat="1" applyFont="1" applyBorder="1"/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10" fontId="1" fillId="0" borderId="3" xfId="0" applyNumberFormat="1" applyFont="1" applyBorder="1"/>
    <xf numFmtId="10" fontId="1" fillId="0" borderId="6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1" fillId="0" borderId="3" xfId="0" applyNumberFormat="1" applyFont="1" applyBorder="1"/>
    <xf numFmtId="0" fontId="2" fillId="0" borderId="4" xfId="0" applyFont="1" applyBorder="1"/>
    <xf numFmtId="165" fontId="2" fillId="0" borderId="5" xfId="0" applyNumberFormat="1" applyFont="1" applyBorder="1"/>
    <xf numFmtId="0" fontId="2" fillId="0" borderId="1" xfId="0" applyFont="1" applyBorder="1"/>
    <xf numFmtId="0" fontId="1" fillId="0" borderId="8" xfId="0" applyFont="1" applyBorder="1"/>
    <xf numFmtId="165" fontId="4" fillId="0" borderId="0" xfId="0" applyNumberFormat="1" applyFont="1"/>
    <xf numFmtId="0" fontId="1" fillId="0" borderId="3" xfId="0" applyFont="1" applyBorder="1" applyAlignment="1">
      <alignment horizontal="right"/>
    </xf>
    <xf numFmtId="0" fontId="2" fillId="0" borderId="6" xfId="0" applyFont="1" applyBorder="1"/>
    <xf numFmtId="165" fontId="5" fillId="0" borderId="7" xfId="0" applyNumberFormat="1" applyFont="1" applyBorder="1"/>
    <xf numFmtId="10" fontId="1" fillId="0" borderId="9" xfId="0" applyNumberFormat="1" applyFont="1" applyBorder="1"/>
    <xf numFmtId="10" fontId="1" fillId="0" borderId="7" xfId="0" applyNumberFormat="1" applyFont="1" applyBorder="1"/>
    <xf numFmtId="0" fontId="1" fillId="0" borderId="10" xfId="0" applyFont="1" applyBorder="1"/>
    <xf numFmtId="0" fontId="1" fillId="0" borderId="5" xfId="0" applyFont="1" applyBorder="1"/>
    <xf numFmtId="165" fontId="5" fillId="0" borderId="3" xfId="0" applyNumberFormat="1" applyFont="1" applyBorder="1"/>
    <xf numFmtId="10" fontId="5" fillId="0" borderId="6" xfId="0" applyNumberFormat="1" applyFont="1" applyBorder="1"/>
    <xf numFmtId="165" fontId="5" fillId="0" borderId="8" xfId="0" applyNumberFormat="1" applyFont="1" applyBorder="1"/>
    <xf numFmtId="0" fontId="5" fillId="0" borderId="6" xfId="0" applyFont="1" applyBorder="1"/>
    <xf numFmtId="0" fontId="1" fillId="0" borderId="6" xfId="0" applyFont="1" applyBorder="1"/>
    <xf numFmtId="0" fontId="1" fillId="0" borderId="12" xfId="0" applyFont="1" applyBorder="1"/>
    <xf numFmtId="10" fontId="1" fillId="0" borderId="11" xfId="0" applyNumberFormat="1" applyFont="1" applyBorder="1"/>
    <xf numFmtId="14" fontId="1" fillId="0" borderId="0" xfId="0" applyNumberFormat="1" applyFont="1"/>
    <xf numFmtId="0" fontId="6" fillId="0" borderId="2" xfId="0" applyFont="1" applyBorder="1"/>
    <xf numFmtId="164" fontId="7" fillId="0" borderId="2" xfId="0" applyNumberFormat="1" applyFont="1" applyBorder="1"/>
    <xf numFmtId="165" fontId="2" fillId="0" borderId="10" xfId="0" applyNumberFormat="1" applyFont="1" applyBorder="1"/>
    <xf numFmtId="0" fontId="2" fillId="0" borderId="3" xfId="0" applyFont="1" applyBorder="1" applyAlignment="1">
      <alignment horizontal="right"/>
    </xf>
    <xf numFmtId="10" fontId="1" fillId="0" borderId="13" xfId="0" applyNumberFormat="1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0" xfId="0" applyFont="1" applyAlignment="1">
      <alignment horizontal="center"/>
    </xf>
    <xf numFmtId="165" fontId="2" fillId="0" borderId="0" xfId="0" applyNumberFormat="1" applyFont="1" applyBorder="1"/>
    <xf numFmtId="165" fontId="1" fillId="0" borderId="0" xfId="0" applyNumberFormat="1" applyFont="1" applyBorder="1"/>
    <xf numFmtId="10" fontId="1" fillId="0" borderId="0" xfId="0" applyNumberFormat="1" applyFont="1" applyBorder="1"/>
    <xf numFmtId="3" fontId="4" fillId="0" borderId="0" xfId="0" applyNumberFormat="1" applyFont="1" applyBorder="1"/>
    <xf numFmtId="3" fontId="2" fillId="0" borderId="0" xfId="0" applyNumberFormat="1" applyFont="1" applyBorder="1"/>
    <xf numFmtId="3" fontId="1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698500</xdr:colOff>
      <xdr:row>9</xdr:row>
      <xdr:rowOff>12700</xdr:rowOff>
    </xdr:from>
    <xdr:to>
      <xdr:col>23</xdr:col>
      <xdr:colOff>63500</xdr:colOff>
      <xdr:row>14</xdr:row>
      <xdr:rowOff>152400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ACBECB2-9F18-3E4D-8E19-A24E7727FF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5918"/>
        <a:stretch/>
      </xdr:blipFill>
      <xdr:spPr>
        <a:xfrm>
          <a:off x="11430000" y="2184400"/>
          <a:ext cx="7620000" cy="13462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749300</xdr:colOff>
      <xdr:row>17</xdr:row>
      <xdr:rowOff>152400</xdr:rowOff>
    </xdr:from>
    <xdr:to>
      <xdr:col>22</xdr:col>
      <xdr:colOff>698500</xdr:colOff>
      <xdr:row>20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B5CE2C9-2C4D-3D37-3A9C-93D8A2704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9400" y="4254500"/>
          <a:ext cx="73787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</xdr:rowOff>
    </xdr:from>
    <xdr:to>
      <xdr:col>7</xdr:col>
      <xdr:colOff>364896</xdr:colOff>
      <xdr:row>19</xdr:row>
      <xdr:rowOff>14111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46F5333E-9CF8-A946-E489-F7CD65E94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98890"/>
          <a:ext cx="6404452" cy="2173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501650</xdr:colOff>
      <xdr:row>18</xdr:row>
      <xdr:rowOff>152400</xdr:rowOff>
    </xdr:from>
    <xdr:ext cx="65" cy="172227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ECE8F594-1423-9573-26CE-38B341FB3F3F}"/>
            </a:ext>
          </a:extLst>
        </xdr:cNvPr>
        <xdr:cNvSpPr txBox="1"/>
      </xdr:nvSpPr>
      <xdr:spPr>
        <a:xfrm>
          <a:off x="31845250" y="42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3775-938B-2A4A-A0CC-9B13753DF355}">
  <dimension ref="A3:O42"/>
  <sheetViews>
    <sheetView showGridLines="0" zoomScale="90" zoomScaleNormal="90" workbookViewId="0">
      <selection activeCell="F25" sqref="F25"/>
    </sheetView>
  </sheetViews>
  <sheetFormatPr baseColWidth="10" defaultRowHeight="19" x14ac:dyDescent="0.25"/>
  <cols>
    <col min="1" max="1" width="11.83203125" style="1" bestFit="1" customWidth="1"/>
    <col min="2" max="4" width="10.83203125" style="1"/>
    <col min="5" max="5" width="12.83203125" style="1" bestFit="1" customWidth="1"/>
    <col min="6" max="16384" width="10.83203125" style="1"/>
  </cols>
  <sheetData>
    <row r="3" spans="1:15" x14ac:dyDescent="0.25">
      <c r="A3" s="1" t="s">
        <v>26</v>
      </c>
    </row>
    <row r="4" spans="1:15" x14ac:dyDescent="0.25">
      <c r="A4" s="1" t="s">
        <v>27</v>
      </c>
    </row>
    <row r="6" spans="1:15" x14ac:dyDescent="0.25">
      <c r="A6" s="1" t="s">
        <v>107</v>
      </c>
    </row>
    <row r="7" spans="1:15" x14ac:dyDescent="0.25">
      <c r="A7" s="1" t="s">
        <v>108</v>
      </c>
    </row>
    <row r="8" spans="1:15" x14ac:dyDescent="0.25">
      <c r="A8" s="1" t="s">
        <v>109</v>
      </c>
      <c r="O8" s="6" t="s">
        <v>111</v>
      </c>
    </row>
    <row r="9" spans="1:15" x14ac:dyDescent="0.25">
      <c r="O9" s="1" t="s">
        <v>132</v>
      </c>
    </row>
    <row r="10" spans="1:15" x14ac:dyDescent="0.25">
      <c r="A10" s="1" t="s">
        <v>129</v>
      </c>
    </row>
    <row r="16" spans="1:15" x14ac:dyDescent="0.25">
      <c r="O16" s="13" t="s">
        <v>20</v>
      </c>
    </row>
    <row r="20" spans="1:2" x14ac:dyDescent="0.25">
      <c r="A20" s="6" t="s">
        <v>130</v>
      </c>
    </row>
    <row r="21" spans="1:2" x14ac:dyDescent="0.25">
      <c r="A21" s="1" t="s">
        <v>176</v>
      </c>
    </row>
    <row r="22" spans="1:2" x14ac:dyDescent="0.25">
      <c r="A22" s="1" t="s">
        <v>175</v>
      </c>
    </row>
    <row r="23" spans="1:2" x14ac:dyDescent="0.25">
      <c r="A23" s="1" t="s">
        <v>174</v>
      </c>
    </row>
    <row r="24" spans="1:2" x14ac:dyDescent="0.25">
      <c r="A24" s="1" t="s">
        <v>173</v>
      </c>
    </row>
    <row r="25" spans="1:2" x14ac:dyDescent="0.25">
      <c r="A25" s="1" t="s">
        <v>172</v>
      </c>
    </row>
    <row r="26" spans="1:2" x14ac:dyDescent="0.25">
      <c r="A26" s="1" t="s">
        <v>171</v>
      </c>
    </row>
    <row r="27" spans="1:2" x14ac:dyDescent="0.25">
      <c r="A27" s="1" t="s">
        <v>169</v>
      </c>
    </row>
    <row r="28" spans="1:2" x14ac:dyDescent="0.25">
      <c r="A28" s="1" t="s">
        <v>147</v>
      </c>
    </row>
    <row r="29" spans="1:2" x14ac:dyDescent="0.25">
      <c r="A29" s="1" t="s">
        <v>146</v>
      </c>
    </row>
    <row r="30" spans="1:2" x14ac:dyDescent="0.25">
      <c r="A30" s="1" t="s">
        <v>145</v>
      </c>
      <c r="B30" s="13"/>
    </row>
    <row r="31" spans="1:2" x14ac:dyDescent="0.25">
      <c r="A31" s="1" t="s">
        <v>141</v>
      </c>
    </row>
    <row r="32" spans="1:2" x14ac:dyDescent="0.25">
      <c r="A32" s="1" t="s">
        <v>136</v>
      </c>
    </row>
    <row r="33" spans="1:1" x14ac:dyDescent="0.25">
      <c r="A33" s="1" t="s">
        <v>133</v>
      </c>
    </row>
    <row r="34" spans="1:1" x14ac:dyDescent="0.25">
      <c r="A34" s="1" t="s">
        <v>134</v>
      </c>
    </row>
    <row r="35" spans="1:1" x14ac:dyDescent="0.25">
      <c r="A35" s="59" t="s">
        <v>135</v>
      </c>
    </row>
    <row r="36" spans="1:1" x14ac:dyDescent="0.25">
      <c r="A36" s="1" t="s">
        <v>137</v>
      </c>
    </row>
    <row r="37" spans="1:1" x14ac:dyDescent="0.25">
      <c r="A37" s="1" t="s">
        <v>138</v>
      </c>
    </row>
    <row r="38" spans="1:1" x14ac:dyDescent="0.25">
      <c r="A38" s="1" t="s">
        <v>139</v>
      </c>
    </row>
    <row r="39" spans="1:1" x14ac:dyDescent="0.25">
      <c r="A39" s="1" t="s">
        <v>140</v>
      </c>
    </row>
    <row r="40" spans="1:1" x14ac:dyDescent="0.25">
      <c r="A40" s="1" t="s">
        <v>142</v>
      </c>
    </row>
    <row r="41" spans="1:1" x14ac:dyDescent="0.25">
      <c r="A41" s="1" t="s">
        <v>143</v>
      </c>
    </row>
    <row r="42" spans="1:1" x14ac:dyDescent="0.25">
      <c r="A42" s="1" t="s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9C83-AC26-2D4C-BECF-527C3F0DF123}">
  <dimension ref="A3:DV108"/>
  <sheetViews>
    <sheetView showGridLines="0" tabSelected="1" zoomScale="90" zoomScaleNormal="90" workbookViewId="0">
      <pane xSplit="3" ySplit="3" topLeftCell="S4" activePane="bottomRight" state="frozen"/>
      <selection pane="topRight" activeCell="D1" sqref="D1"/>
      <selection pane="bottomLeft" activeCell="A4" sqref="A4"/>
      <selection pane="bottomRight" activeCell="Q45" sqref="Q45"/>
    </sheetView>
  </sheetViews>
  <sheetFormatPr baseColWidth="10" defaultRowHeight="19" x14ac:dyDescent="0.25"/>
  <cols>
    <col min="1" max="1" width="13" style="1" customWidth="1"/>
    <col min="2" max="2" width="12.83203125" style="4" bestFit="1" customWidth="1"/>
    <col min="3" max="3" width="39.33203125" style="1" customWidth="1"/>
    <col min="4" max="13" width="10.83203125" style="1"/>
    <col min="14" max="14" width="11.5" style="1" bestFit="1" customWidth="1"/>
    <col min="15" max="15" width="10.83203125" style="1"/>
    <col min="16" max="16" width="10.83203125" style="4"/>
    <col min="17" max="23" width="10.83203125" style="1"/>
    <col min="24" max="24" width="13.1640625" style="1" bestFit="1" customWidth="1"/>
    <col min="25" max="25" width="11.83203125" style="1" bestFit="1" customWidth="1"/>
    <col min="26" max="28" width="10.83203125" style="1"/>
    <col min="29" max="29" width="10.83203125" style="4"/>
    <col min="30" max="40" width="10.83203125" style="1"/>
    <col min="41" max="41" width="14.1640625" style="1" bestFit="1" customWidth="1"/>
    <col min="42" max="42" width="13.33203125" style="1" bestFit="1" customWidth="1"/>
    <col min="43" max="16384" width="10.83203125" style="1"/>
  </cols>
  <sheetData>
    <row r="3" spans="1:39" s="7" customFormat="1" x14ac:dyDescent="0.25">
      <c r="A3" s="12" t="s">
        <v>0</v>
      </c>
      <c r="B3" s="8"/>
      <c r="C3" s="9" t="s">
        <v>24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15</v>
      </c>
      <c r="O3" s="7" t="s">
        <v>20</v>
      </c>
      <c r="P3" s="8" t="s">
        <v>99</v>
      </c>
      <c r="Q3" s="7" t="s">
        <v>100</v>
      </c>
      <c r="R3" s="7" t="s">
        <v>102</v>
      </c>
      <c r="S3" s="7" t="s">
        <v>101</v>
      </c>
      <c r="W3" s="7" t="s">
        <v>168</v>
      </c>
      <c r="X3" s="7" t="s">
        <v>167</v>
      </c>
      <c r="Y3" s="7" t="s">
        <v>166</v>
      </c>
      <c r="Z3" s="7" t="s">
        <v>73</v>
      </c>
      <c r="AA3" s="7" t="s">
        <v>74</v>
      </c>
      <c r="AB3" s="7" t="s">
        <v>75</v>
      </c>
      <c r="AC3" s="8" t="s">
        <v>76</v>
      </c>
      <c r="AD3" s="7" t="s">
        <v>77</v>
      </c>
      <c r="AE3" s="7" t="s">
        <v>78</v>
      </c>
      <c r="AF3" s="7" t="s">
        <v>79</v>
      </c>
      <c r="AG3" s="7" t="s">
        <v>80</v>
      </c>
      <c r="AH3" s="7" t="s">
        <v>81</v>
      </c>
      <c r="AI3" s="7" t="s">
        <v>82</v>
      </c>
      <c r="AJ3" s="7" t="s">
        <v>83</v>
      </c>
      <c r="AK3" s="7" t="s">
        <v>84</v>
      </c>
      <c r="AL3" s="7" t="s">
        <v>85</v>
      </c>
      <c r="AM3" s="7" t="s">
        <v>86</v>
      </c>
    </row>
    <row r="4" spans="1:39" x14ac:dyDescent="0.25">
      <c r="A4" s="13" t="s">
        <v>1</v>
      </c>
      <c r="B4" s="24">
        <v>711</v>
      </c>
      <c r="C4" s="1" t="s">
        <v>21</v>
      </c>
      <c r="D4" s="27">
        <v>264.5</v>
      </c>
      <c r="E4" s="27">
        <v>278.5</v>
      </c>
      <c r="F4" s="27">
        <v>310.39999999999998</v>
      </c>
      <c r="G4" s="27">
        <v>334.947</v>
      </c>
      <c r="H4" s="27">
        <v>360.10399999999998</v>
      </c>
      <c r="I4" s="27">
        <v>371.8</v>
      </c>
      <c r="J4" s="27">
        <v>385.8</v>
      </c>
      <c r="K4" s="27">
        <v>405.6</v>
      </c>
      <c r="L4" s="27">
        <v>431.3</v>
      </c>
      <c r="M4" s="27">
        <v>438.1</v>
      </c>
      <c r="N4" s="27">
        <v>446.9</v>
      </c>
      <c r="O4" s="27">
        <v>459.4</v>
      </c>
      <c r="P4" s="28">
        <v>448.7</v>
      </c>
      <c r="Q4" s="2"/>
      <c r="R4" s="2"/>
      <c r="S4" s="2"/>
      <c r="T4" s="2"/>
      <c r="W4" s="2">
        <v>365.68700000000001</v>
      </c>
      <c r="X4" s="2">
        <v>543</v>
      </c>
      <c r="Y4" s="2">
        <v>839.23800000000006</v>
      </c>
      <c r="Z4" s="2">
        <f>SUM(D4:G4)</f>
        <v>1188.347</v>
      </c>
      <c r="AA4" s="2">
        <f>SUM(H4:K4)</f>
        <v>1523.3040000000001</v>
      </c>
      <c r="AB4" s="2">
        <f>SUM(L4:O4)</f>
        <v>1775.7000000000003</v>
      </c>
      <c r="AC4" s="5">
        <f>AB4*1.075</f>
        <v>1908.8775000000003</v>
      </c>
      <c r="AD4" s="2">
        <f>AC4*1.1</f>
        <v>2099.7652500000004</v>
      </c>
      <c r="AE4" s="2">
        <f>AD4*1.11</f>
        <v>2330.7394275000006</v>
      </c>
      <c r="AF4" s="2">
        <f t="shared" ref="AF4:AM4" si="0">AE4*1.11</f>
        <v>2587.1207645250011</v>
      </c>
      <c r="AG4" s="2">
        <f t="shared" si="0"/>
        <v>2871.7040486227515</v>
      </c>
      <c r="AH4" s="2">
        <f t="shared" si="0"/>
        <v>3187.5914939712543</v>
      </c>
      <c r="AI4" s="2">
        <f t="shared" si="0"/>
        <v>3538.2265583080925</v>
      </c>
      <c r="AJ4" s="2">
        <f t="shared" si="0"/>
        <v>3927.4314797219831</v>
      </c>
      <c r="AK4" s="2">
        <f t="shared" si="0"/>
        <v>4359.4489424914018</v>
      </c>
      <c r="AL4" s="2">
        <f t="shared" si="0"/>
        <v>4838.9883261654568</v>
      </c>
      <c r="AM4" s="2">
        <f t="shared" si="0"/>
        <v>5371.2770420436573</v>
      </c>
    </row>
    <row r="5" spans="1:39" x14ac:dyDescent="0.25">
      <c r="A5" s="13" t="s">
        <v>5</v>
      </c>
      <c r="B5" s="18">
        <v>205.61045200000001</v>
      </c>
      <c r="C5" s="1" t="s">
        <v>22</v>
      </c>
      <c r="D5" s="27">
        <v>62.3</v>
      </c>
      <c r="E5" s="27">
        <v>65.5</v>
      </c>
      <c r="F5" s="27">
        <v>68.099999999999994</v>
      </c>
      <c r="G5" s="27">
        <v>72.533000000000001</v>
      </c>
      <c r="H5" s="27">
        <v>69.47</v>
      </c>
      <c r="I5" s="27">
        <v>69.275000000000006</v>
      </c>
      <c r="J5" s="27">
        <v>66.8</v>
      </c>
      <c r="K5" s="27">
        <v>69.8</v>
      </c>
      <c r="L5" s="27">
        <v>70.099999999999994</v>
      </c>
      <c r="M5" s="27">
        <v>70.3</v>
      </c>
      <c r="N5" s="27">
        <v>72.5</v>
      </c>
      <c r="O5" s="27">
        <v>74.400000000000006</v>
      </c>
      <c r="P5" s="28">
        <v>72.3</v>
      </c>
      <c r="Q5" s="2"/>
      <c r="R5" s="2"/>
      <c r="S5" s="2"/>
      <c r="T5" s="2"/>
      <c r="W5" s="2">
        <v>6.5000000000000002E-2</v>
      </c>
      <c r="X5" s="2">
        <v>17.818999999999999</v>
      </c>
      <c r="Y5" s="2">
        <v>229.53899999999999</v>
      </c>
      <c r="Z5" s="2">
        <f>SUM(D5:G5)</f>
        <v>268.43299999999999</v>
      </c>
      <c r="AA5" s="2">
        <f>SUM(H5:K5)</f>
        <v>275.34500000000003</v>
      </c>
      <c r="AB5" s="2">
        <f>SUM(L5:O5)</f>
        <v>287.29999999999995</v>
      </c>
      <c r="AC5" s="5">
        <f>AB5*1.05</f>
        <v>301.66499999999996</v>
      </c>
      <c r="AD5" s="2">
        <f>AC5*1.06</f>
        <v>319.76489999999995</v>
      </c>
      <c r="AE5" s="2">
        <f t="shared" ref="AE5:AM5" si="1">AD5*1.06</f>
        <v>338.95079399999997</v>
      </c>
      <c r="AF5" s="2">
        <f t="shared" si="1"/>
        <v>359.28784164000001</v>
      </c>
      <c r="AG5" s="2">
        <f t="shared" si="1"/>
        <v>380.84511213840005</v>
      </c>
      <c r="AH5" s="2">
        <f t="shared" si="1"/>
        <v>403.69581886670409</v>
      </c>
      <c r="AI5" s="2">
        <f t="shared" si="1"/>
        <v>427.91756799870637</v>
      </c>
      <c r="AJ5" s="2">
        <f t="shared" si="1"/>
        <v>453.59262207862878</v>
      </c>
      <c r="AK5" s="2">
        <f t="shared" si="1"/>
        <v>480.80817940334651</v>
      </c>
      <c r="AL5" s="2">
        <f t="shared" si="1"/>
        <v>509.6566701675473</v>
      </c>
      <c r="AM5" s="2">
        <f t="shared" si="1"/>
        <v>540.23607037760019</v>
      </c>
    </row>
    <row r="6" spans="1:39" x14ac:dyDescent="0.25">
      <c r="A6" s="13" t="s">
        <v>6</v>
      </c>
      <c r="B6" s="24">
        <f>B4*B5</f>
        <v>146189.031372</v>
      </c>
      <c r="C6" s="1" t="s">
        <v>165</v>
      </c>
      <c r="D6" s="27"/>
      <c r="E6" s="27"/>
      <c r="F6" s="27"/>
      <c r="G6" s="27"/>
      <c r="H6" s="27"/>
      <c r="I6" s="27"/>
      <c r="J6" s="27"/>
      <c r="K6" s="27">
        <v>0</v>
      </c>
      <c r="L6" s="27">
        <v>0</v>
      </c>
      <c r="M6" s="27">
        <v>0</v>
      </c>
      <c r="N6" s="27">
        <v>59.65</v>
      </c>
      <c r="O6" s="27">
        <v>91.408000000000001</v>
      </c>
      <c r="P6" s="28">
        <v>0</v>
      </c>
      <c r="Q6" s="2"/>
      <c r="R6" s="2"/>
      <c r="S6" s="2"/>
      <c r="T6" s="2"/>
      <c r="W6" s="2">
        <v>0</v>
      </c>
      <c r="X6" s="2">
        <v>0</v>
      </c>
      <c r="Y6" s="2">
        <f>SUM(C6:F6)</f>
        <v>0</v>
      </c>
      <c r="Z6" s="2">
        <f>SUM(D6:G6)</f>
        <v>0</v>
      </c>
      <c r="AA6" s="2">
        <f>SUM(H6:K6)</f>
        <v>0</v>
      </c>
      <c r="AB6" s="2">
        <f>SUM(L6:O6)</f>
        <v>151.05799999999999</v>
      </c>
      <c r="AC6" s="5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x14ac:dyDescent="0.25">
      <c r="A7" s="13" t="s">
        <v>8</v>
      </c>
      <c r="B7" s="14">
        <v>10485</v>
      </c>
      <c r="C7" s="6" t="s">
        <v>23</v>
      </c>
      <c r="D7" s="31">
        <f t="shared" ref="D7:M7" si="2">SUM(D4:D6)</f>
        <v>326.8</v>
      </c>
      <c r="E7" s="31">
        <f t="shared" si="2"/>
        <v>344</v>
      </c>
      <c r="F7" s="31">
        <f t="shared" si="2"/>
        <v>378.5</v>
      </c>
      <c r="G7" s="31">
        <f t="shared" si="2"/>
        <v>407.48</v>
      </c>
      <c r="H7" s="31">
        <f t="shared" si="2"/>
        <v>429.57399999999996</v>
      </c>
      <c r="I7" s="31">
        <f t="shared" si="2"/>
        <v>441.07500000000005</v>
      </c>
      <c r="J7" s="31">
        <f t="shared" si="2"/>
        <v>452.6</v>
      </c>
      <c r="K7" s="31">
        <f t="shared" si="2"/>
        <v>475.40000000000003</v>
      </c>
      <c r="L7" s="31">
        <f t="shared" si="2"/>
        <v>501.4</v>
      </c>
      <c r="M7" s="31">
        <f t="shared" si="2"/>
        <v>508.40000000000003</v>
      </c>
      <c r="N7" s="31">
        <f>SUM(N4:N6)</f>
        <v>579.04999999999995</v>
      </c>
      <c r="O7" s="31">
        <f>SUM(O4:O6)</f>
        <v>625.20799999999997</v>
      </c>
      <c r="P7" s="29">
        <f>SUM(P4:P5)</f>
        <v>521</v>
      </c>
      <c r="Q7" s="30">
        <f>SUM(Q4:Q5)</f>
        <v>0</v>
      </c>
      <c r="R7" s="30">
        <f>SUM(R4:R5)</f>
        <v>0</v>
      </c>
      <c r="S7" s="30">
        <f>SUM(S4:S5)</f>
        <v>0</v>
      </c>
      <c r="T7" s="30"/>
      <c r="U7" s="6"/>
      <c r="V7" s="6"/>
      <c r="W7" s="30">
        <f t="shared" ref="W7:AA7" si="3">SUM(W4:W6)</f>
        <v>365.75200000000001</v>
      </c>
      <c r="X7" s="30">
        <f t="shared" si="3"/>
        <v>560.81899999999996</v>
      </c>
      <c r="Y7" s="30">
        <f t="shared" si="3"/>
        <v>1068.777</v>
      </c>
      <c r="Z7" s="30">
        <f t="shared" si="3"/>
        <v>1456.78</v>
      </c>
      <c r="AA7" s="30">
        <f t="shared" si="3"/>
        <v>1798.6490000000001</v>
      </c>
      <c r="AB7" s="30">
        <f>SUM(AB4:AB6)</f>
        <v>2214.058</v>
      </c>
      <c r="AC7" s="15">
        <f>SUM(AC4:AC5)</f>
        <v>2210.5425000000005</v>
      </c>
      <c r="AD7" s="30">
        <f t="shared" ref="AD7:AM7" si="4">SUM(AD4:AD5)</f>
        <v>2419.5301500000005</v>
      </c>
      <c r="AE7" s="30">
        <f t="shared" si="4"/>
        <v>2669.6902215000005</v>
      </c>
      <c r="AF7" s="30">
        <f t="shared" si="4"/>
        <v>2946.4086061650009</v>
      </c>
      <c r="AG7" s="30">
        <f t="shared" si="4"/>
        <v>3252.5491607611516</v>
      </c>
      <c r="AH7" s="30">
        <f t="shared" si="4"/>
        <v>3591.2873128379583</v>
      </c>
      <c r="AI7" s="30">
        <f t="shared" si="4"/>
        <v>3966.1441263067991</v>
      </c>
      <c r="AJ7" s="30">
        <f t="shared" si="4"/>
        <v>4381.0241018006118</v>
      </c>
      <c r="AK7" s="30">
        <f t="shared" si="4"/>
        <v>4840.2571218947487</v>
      </c>
      <c r="AL7" s="30">
        <f t="shared" si="4"/>
        <v>5348.6449963330042</v>
      </c>
      <c r="AM7" s="30">
        <f t="shared" si="4"/>
        <v>5911.5131124212576</v>
      </c>
    </row>
    <row r="8" spans="1:39" x14ac:dyDescent="0.25">
      <c r="A8" s="13" t="s">
        <v>3</v>
      </c>
      <c r="B8" s="14">
        <v>0</v>
      </c>
      <c r="C8" s="1" t="s">
        <v>28</v>
      </c>
      <c r="D8" s="27">
        <v>-63.468000000000004</v>
      </c>
      <c r="E8" s="27">
        <v>-68.337000000000003</v>
      </c>
      <c r="F8" s="27">
        <v>-76.254999999999995</v>
      </c>
      <c r="G8" s="27">
        <v>-81.537999999999997</v>
      </c>
      <c r="H8" s="27">
        <v>-82.933000000000007</v>
      </c>
      <c r="I8" s="27">
        <v>-87.47</v>
      </c>
      <c r="J8" s="27">
        <v>-91.037000000000006</v>
      </c>
      <c r="K8" s="27">
        <v>-93.86</v>
      </c>
      <c r="L8" s="27">
        <v>-106.771</v>
      </c>
      <c r="M8" s="27">
        <v>-111.425</v>
      </c>
      <c r="N8" s="27">
        <v>-110.593</v>
      </c>
      <c r="O8" s="27">
        <v>-109.04600000000001</v>
      </c>
      <c r="P8" s="28">
        <v>-119.949</v>
      </c>
      <c r="Q8" s="2"/>
      <c r="R8" s="2"/>
      <c r="S8" s="2"/>
      <c r="T8" s="2"/>
      <c r="U8" s="2"/>
      <c r="V8" s="2"/>
      <c r="W8" s="2">
        <v>-126.419</v>
      </c>
      <c r="X8" s="2">
        <v>-133.75200000000001</v>
      </c>
      <c r="Y8" s="2">
        <v>-207.16499999999999</v>
      </c>
      <c r="Z8" s="2">
        <f>SUM(D8:G8)</f>
        <v>-289.59800000000001</v>
      </c>
      <c r="AA8" s="2">
        <f>SUM(H8:K8)</f>
        <v>-355.30000000000007</v>
      </c>
      <c r="AB8" s="2">
        <f>SUM(L8:O8)</f>
        <v>-437.83499999999998</v>
      </c>
      <c r="AC8" s="5">
        <f>AB8*1.15</f>
        <v>-503.51024999999993</v>
      </c>
      <c r="AD8" s="2">
        <f>AC8*1.08</f>
        <v>-543.79106999999999</v>
      </c>
      <c r="AE8" s="2">
        <f t="shared" ref="AE8:AM8" si="5">AD8*1.08</f>
        <v>-587.29435560000002</v>
      </c>
      <c r="AF8" s="2">
        <f t="shared" si="5"/>
        <v>-634.2779040480001</v>
      </c>
      <c r="AG8" s="2">
        <f t="shared" si="5"/>
        <v>-685.02013637184018</v>
      </c>
      <c r="AH8" s="2">
        <f t="shared" si="5"/>
        <v>-739.82174728158748</v>
      </c>
      <c r="AI8" s="2">
        <f t="shared" si="5"/>
        <v>-799.00748706411457</v>
      </c>
      <c r="AJ8" s="2">
        <f t="shared" si="5"/>
        <v>-862.92808602924379</v>
      </c>
      <c r="AK8" s="2">
        <f t="shared" si="5"/>
        <v>-931.9623329115833</v>
      </c>
      <c r="AL8" s="2">
        <f t="shared" si="5"/>
        <v>-1006.51931954451</v>
      </c>
      <c r="AM8" s="2">
        <f t="shared" si="5"/>
        <v>-1087.0408651080709</v>
      </c>
    </row>
    <row r="9" spans="1:39" x14ac:dyDescent="0.25">
      <c r="A9" s="12" t="s">
        <v>71</v>
      </c>
      <c r="B9" s="26">
        <f>B6-B7+B8</f>
        <v>135704.031372</v>
      </c>
      <c r="C9" s="1" t="s">
        <v>30</v>
      </c>
      <c r="D9" s="27">
        <v>-33.621000000000002</v>
      </c>
      <c r="E9" s="27">
        <v>-37.402999999999999</v>
      </c>
      <c r="F9" s="27">
        <v>-41.262</v>
      </c>
      <c r="G9" s="27">
        <v>-46.412999999999997</v>
      </c>
      <c r="H9" s="27">
        <v>-46.482999999999997</v>
      </c>
      <c r="I9" s="27">
        <v>-41.911999999999999</v>
      </c>
      <c r="J9" s="27">
        <v>-43.006</v>
      </c>
      <c r="K9" s="27">
        <v>-44.487000000000002</v>
      </c>
      <c r="L9" s="27">
        <v>-48.893999999999998</v>
      </c>
      <c r="M9" s="27">
        <v>-51.218000000000004</v>
      </c>
      <c r="N9" s="27">
        <v>-53.179000000000002</v>
      </c>
      <c r="O9" s="27">
        <v>-61.241999999999997</v>
      </c>
      <c r="P9" s="28">
        <v>-59.018999999999998</v>
      </c>
      <c r="Q9" s="2"/>
      <c r="R9" s="2"/>
      <c r="S9" s="2"/>
      <c r="T9" s="2"/>
      <c r="W9" s="2">
        <v>-56.384999999999998</v>
      </c>
      <c r="X9" s="2">
        <v>-95.168999999999997</v>
      </c>
      <c r="Y9" s="2">
        <v>-126.962</v>
      </c>
      <c r="Z9" s="2">
        <f>SUM(D9:G9)</f>
        <v>-158.69900000000001</v>
      </c>
      <c r="AA9" s="2">
        <f>SUM(H9:K9)</f>
        <v>-175.88800000000001</v>
      </c>
      <c r="AB9" s="2">
        <f>SUM(L9:O9)</f>
        <v>-214.53299999999999</v>
      </c>
      <c r="AC9" s="5">
        <v>-250</v>
      </c>
      <c r="AD9" s="2">
        <f>AC9*1.05</f>
        <v>-262.5</v>
      </c>
      <c r="AE9" s="2">
        <f t="shared" ref="AE9:AM9" si="6">AD9*1.07</f>
        <v>-280.875</v>
      </c>
      <c r="AF9" s="2">
        <f t="shared" si="6"/>
        <v>-300.53625</v>
      </c>
      <c r="AG9" s="2">
        <f t="shared" si="6"/>
        <v>-321.57378750000004</v>
      </c>
      <c r="AH9" s="2">
        <f t="shared" si="6"/>
        <v>-344.08395262500005</v>
      </c>
      <c r="AI9" s="2">
        <f t="shared" si="6"/>
        <v>-368.16982930875008</v>
      </c>
      <c r="AJ9" s="2">
        <f t="shared" si="6"/>
        <v>-393.94171736036259</v>
      </c>
      <c r="AK9" s="2">
        <f t="shared" si="6"/>
        <v>-421.51763757558797</v>
      </c>
      <c r="AL9" s="2">
        <f t="shared" si="6"/>
        <v>-451.02387220587917</v>
      </c>
      <c r="AM9" s="2">
        <f t="shared" si="6"/>
        <v>-482.59554326029075</v>
      </c>
    </row>
    <row r="10" spans="1:39" x14ac:dyDescent="0.25">
      <c r="A10" s="13"/>
      <c r="B10" s="25"/>
      <c r="C10" s="6" t="s">
        <v>104</v>
      </c>
      <c r="D10" s="31">
        <f t="shared" ref="D10:M10" si="7">SUM(D7:D9)</f>
        <v>229.71099999999998</v>
      </c>
      <c r="E10" s="31">
        <f t="shared" si="7"/>
        <v>238.26000000000002</v>
      </c>
      <c r="F10" s="31">
        <f t="shared" si="7"/>
        <v>260.983</v>
      </c>
      <c r="G10" s="31">
        <f t="shared" si="7"/>
        <v>279.529</v>
      </c>
      <c r="H10" s="31">
        <f t="shared" si="7"/>
        <v>300.15799999999996</v>
      </c>
      <c r="I10" s="31">
        <f t="shared" si="7"/>
        <v>311.69300000000004</v>
      </c>
      <c r="J10" s="31">
        <f t="shared" si="7"/>
        <v>318.55700000000002</v>
      </c>
      <c r="K10" s="31">
        <f t="shared" si="7"/>
        <v>337.053</v>
      </c>
      <c r="L10" s="31">
        <f t="shared" si="7"/>
        <v>345.73499999999996</v>
      </c>
      <c r="M10" s="31">
        <f t="shared" si="7"/>
        <v>345.75700000000001</v>
      </c>
      <c r="N10" s="31">
        <f>SUM(N7:N9)</f>
        <v>415.27799999999991</v>
      </c>
      <c r="O10" s="31">
        <f>SUM(O7:O9)</f>
        <v>454.9199999999999</v>
      </c>
      <c r="P10" s="29">
        <f t="shared" ref="P10:S10" si="8">SUM(P7:P9)</f>
        <v>342.03199999999998</v>
      </c>
      <c r="Q10" s="30">
        <f t="shared" si="8"/>
        <v>0</v>
      </c>
      <c r="R10" s="30">
        <f t="shared" si="8"/>
        <v>0</v>
      </c>
      <c r="S10" s="30">
        <f t="shared" si="8"/>
        <v>0</v>
      </c>
      <c r="T10" s="30"/>
      <c r="W10" s="30">
        <f t="shared" ref="W10:X10" si="9">SUM(W7:W9)</f>
        <v>182.94800000000004</v>
      </c>
      <c r="X10" s="30">
        <f t="shared" si="9"/>
        <v>331.89799999999997</v>
      </c>
      <c r="Y10" s="30">
        <f t="shared" ref="Y10:Z10" si="10">SUM(Y7:Y9)</f>
        <v>734.65000000000009</v>
      </c>
      <c r="Z10" s="30">
        <f t="shared" si="10"/>
        <v>1008.4829999999999</v>
      </c>
      <c r="AA10" s="30">
        <f>SUM(AA7:AA9)</f>
        <v>1267.4610000000002</v>
      </c>
      <c r="AB10" s="30">
        <f>SUM(AB7:AB9)</f>
        <v>1561.69</v>
      </c>
      <c r="AC10" s="15">
        <f>SUM(AC7:AC9)</f>
        <v>1457.0322500000007</v>
      </c>
      <c r="AD10" s="30">
        <f t="shared" ref="AD10:AL10" si="11">SUM(AD7:AD9)</f>
        <v>1613.2390800000005</v>
      </c>
      <c r="AE10" s="30">
        <f t="shared" si="11"/>
        <v>1801.5208659000004</v>
      </c>
      <c r="AF10" s="30">
        <f t="shared" si="11"/>
        <v>2011.5944521170009</v>
      </c>
      <c r="AG10" s="30">
        <f t="shared" si="11"/>
        <v>2245.9552368893114</v>
      </c>
      <c r="AH10" s="30">
        <f t="shared" si="11"/>
        <v>2507.3816129313709</v>
      </c>
      <c r="AI10" s="30">
        <f t="shared" si="11"/>
        <v>2798.9668099339342</v>
      </c>
      <c r="AJ10" s="30">
        <f t="shared" si="11"/>
        <v>3124.1542984110056</v>
      </c>
      <c r="AK10" s="30">
        <f t="shared" si="11"/>
        <v>3486.7771514075775</v>
      </c>
      <c r="AL10" s="30">
        <f t="shared" si="11"/>
        <v>3891.1018045826149</v>
      </c>
      <c r="AM10" s="30">
        <f>SUM(AM7:AM8)</f>
        <v>4824.4722473131869</v>
      </c>
    </row>
    <row r="11" spans="1:39" x14ac:dyDescent="0.25">
      <c r="A11" s="13" t="s">
        <v>7</v>
      </c>
      <c r="B11" s="25">
        <v>10.82</v>
      </c>
      <c r="C11" s="1" t="s">
        <v>29</v>
      </c>
      <c r="D11" s="27">
        <v>-22.593</v>
      </c>
      <c r="E11" s="27">
        <v>-23.638000000000002</v>
      </c>
      <c r="F11" s="27">
        <v>-24.622</v>
      </c>
      <c r="G11" s="27">
        <v>-29.524999999999999</v>
      </c>
      <c r="H11" s="27">
        <v>-28.678000000000001</v>
      </c>
      <c r="I11" s="27">
        <v>-30.178000000000001</v>
      </c>
      <c r="J11" s="27">
        <v>-31.462</v>
      </c>
      <c r="K11" s="27">
        <v>-34.365000000000002</v>
      </c>
      <c r="L11" s="27">
        <v>-34.174999999999997</v>
      </c>
      <c r="M11" s="27">
        <v>-34.637999999999998</v>
      </c>
      <c r="N11" s="27">
        <v>-36.078000000000003</v>
      </c>
      <c r="O11" s="27">
        <v>-37.331000000000003</v>
      </c>
      <c r="P11" s="28">
        <v>-38.540999999999997</v>
      </c>
      <c r="Q11" s="2"/>
      <c r="R11" s="2"/>
      <c r="S11" s="2"/>
      <c r="T11" s="2"/>
      <c r="W11" s="2">
        <v>-25.475999999999999</v>
      </c>
      <c r="X11" s="2">
        <v>-32.512999999999998</v>
      </c>
      <c r="Y11" s="2">
        <v>-80.646000000000001</v>
      </c>
      <c r="Z11" s="2">
        <f>SUM(D11:G11)</f>
        <v>-100.37800000000001</v>
      </c>
      <c r="AA11" s="2">
        <f>SUM(H11:K11)</f>
        <v>-124.68299999999999</v>
      </c>
      <c r="AB11" s="2">
        <f>SUM(L11:O11)</f>
        <v>-142.22199999999998</v>
      </c>
      <c r="AC11" s="5">
        <f>AB11*1.05</f>
        <v>-149.33309999999997</v>
      </c>
      <c r="AD11" s="2">
        <f>AC11*1.14</f>
        <v>-170.23973399999994</v>
      </c>
      <c r="AE11" s="2">
        <f t="shared" ref="AE11:AM11" si="12">AD11*1.1</f>
        <v>-187.26370739999996</v>
      </c>
      <c r="AF11" s="2">
        <f t="shared" si="12"/>
        <v>-205.99007813999998</v>
      </c>
      <c r="AG11" s="2">
        <f t="shared" si="12"/>
        <v>-226.58908595399998</v>
      </c>
      <c r="AH11" s="2">
        <f t="shared" si="12"/>
        <v>-249.2479945494</v>
      </c>
      <c r="AI11" s="2">
        <f t="shared" si="12"/>
        <v>-274.17279400434001</v>
      </c>
      <c r="AJ11" s="2">
        <f t="shared" si="12"/>
        <v>-301.59007340477405</v>
      </c>
      <c r="AK11" s="2">
        <f t="shared" si="12"/>
        <v>-331.74908074525149</v>
      </c>
      <c r="AL11" s="2">
        <f t="shared" si="12"/>
        <v>-364.9239888197767</v>
      </c>
      <c r="AM11" s="2">
        <f t="shared" si="12"/>
        <v>-401.41638770175439</v>
      </c>
    </row>
    <row r="12" spans="1:39" x14ac:dyDescent="0.25">
      <c r="C12" s="1" t="s">
        <v>31</v>
      </c>
      <c r="D12" s="27">
        <f t="shared" ref="D12:O12" si="13">D8+D11+D9</f>
        <v>-119.68200000000002</v>
      </c>
      <c r="E12" s="27">
        <f t="shared" si="13"/>
        <v>-129.37800000000001</v>
      </c>
      <c r="F12" s="27">
        <f t="shared" si="13"/>
        <v>-142.13900000000001</v>
      </c>
      <c r="G12" s="27">
        <f t="shared" si="13"/>
        <v>-157.476</v>
      </c>
      <c r="H12" s="27">
        <f t="shared" si="13"/>
        <v>-158.09399999999999</v>
      </c>
      <c r="I12" s="27">
        <f t="shared" si="13"/>
        <v>-159.56</v>
      </c>
      <c r="J12" s="27">
        <f t="shared" si="13"/>
        <v>-165.505</v>
      </c>
      <c r="K12" s="27">
        <f t="shared" si="13"/>
        <v>-172.71199999999999</v>
      </c>
      <c r="L12" s="27">
        <f t="shared" si="13"/>
        <v>-189.84</v>
      </c>
      <c r="M12" s="27">
        <f t="shared" si="13"/>
        <v>-197.28100000000001</v>
      </c>
      <c r="N12" s="27">
        <f t="shared" si="13"/>
        <v>-199.85</v>
      </c>
      <c r="O12" s="27">
        <f t="shared" si="13"/>
        <v>-207.619</v>
      </c>
      <c r="P12" s="28">
        <f>P8+P11+P9</f>
        <v>-217.50900000000001</v>
      </c>
      <c r="Q12" s="2"/>
      <c r="R12" s="2"/>
      <c r="S12" s="2"/>
      <c r="T12" s="2"/>
      <c r="W12" s="2">
        <f t="shared" ref="W12" si="14">W8+W9+W11</f>
        <v>-208.28</v>
      </c>
      <c r="X12" s="2">
        <f t="shared" ref="X12:Y12" si="15">X8+X9+X11</f>
        <v>-261.43399999999997</v>
      </c>
      <c r="Y12" s="2">
        <f t="shared" si="15"/>
        <v>-414.77300000000002</v>
      </c>
      <c r="Z12" s="2">
        <f t="shared" ref="Z12:AM12" si="16">Z8+Z9+Z11</f>
        <v>-548.67500000000007</v>
      </c>
      <c r="AA12" s="2">
        <f t="shared" si="16"/>
        <v>-655.87100000000009</v>
      </c>
      <c r="AB12" s="2">
        <f t="shared" si="16"/>
        <v>-794.58999999999992</v>
      </c>
      <c r="AC12" s="5">
        <f t="shared" si="16"/>
        <v>-902.84334999999987</v>
      </c>
      <c r="AD12" s="2">
        <f t="shared" si="16"/>
        <v>-976.53080399999999</v>
      </c>
      <c r="AE12" s="2">
        <f t="shared" si="16"/>
        <v>-1055.4330629999999</v>
      </c>
      <c r="AF12" s="2">
        <f t="shared" si="16"/>
        <v>-1140.804232188</v>
      </c>
      <c r="AG12" s="2">
        <f t="shared" si="16"/>
        <v>-1233.1830098258401</v>
      </c>
      <c r="AH12" s="2">
        <f t="shared" si="16"/>
        <v>-1333.1536944559875</v>
      </c>
      <c r="AI12" s="2">
        <f t="shared" si="16"/>
        <v>-1441.3501103772046</v>
      </c>
      <c r="AJ12" s="2">
        <f t="shared" si="16"/>
        <v>-1558.4598767943805</v>
      </c>
      <c r="AK12" s="2">
        <f t="shared" si="16"/>
        <v>-1685.2290512324225</v>
      </c>
      <c r="AL12" s="2">
        <f t="shared" si="16"/>
        <v>-1822.467180570166</v>
      </c>
      <c r="AM12" s="2">
        <f t="shared" si="16"/>
        <v>-1971.0527960701161</v>
      </c>
    </row>
    <row r="13" spans="1:39" x14ac:dyDescent="0.25">
      <c r="A13" s="2"/>
      <c r="C13" s="6" t="s">
        <v>98</v>
      </c>
      <c r="D13" s="31">
        <f t="shared" ref="D13:S13" si="17">D7+D12</f>
        <v>207.11799999999999</v>
      </c>
      <c r="E13" s="31">
        <f t="shared" si="17"/>
        <v>214.62199999999999</v>
      </c>
      <c r="F13" s="31">
        <f t="shared" si="17"/>
        <v>236.36099999999999</v>
      </c>
      <c r="G13" s="31">
        <f t="shared" si="17"/>
        <v>250.00400000000002</v>
      </c>
      <c r="H13" s="31">
        <f t="shared" si="17"/>
        <v>271.47999999999996</v>
      </c>
      <c r="I13" s="31">
        <f t="shared" si="17"/>
        <v>281.51500000000004</v>
      </c>
      <c r="J13" s="31">
        <f t="shared" si="17"/>
        <v>287.09500000000003</v>
      </c>
      <c r="K13" s="31">
        <f t="shared" si="17"/>
        <v>302.68800000000005</v>
      </c>
      <c r="L13" s="31">
        <f t="shared" si="17"/>
        <v>311.55999999999995</v>
      </c>
      <c r="M13" s="31">
        <f t="shared" si="17"/>
        <v>311.11900000000003</v>
      </c>
      <c r="N13" s="31">
        <f t="shared" si="17"/>
        <v>379.19999999999993</v>
      </c>
      <c r="O13" s="31">
        <f t="shared" si="17"/>
        <v>417.58899999999994</v>
      </c>
      <c r="P13" s="29">
        <f t="shared" si="17"/>
        <v>303.49099999999999</v>
      </c>
      <c r="Q13" s="30">
        <f t="shared" si="17"/>
        <v>0</v>
      </c>
      <c r="R13" s="30">
        <f t="shared" si="17"/>
        <v>0</v>
      </c>
      <c r="S13" s="30">
        <f t="shared" si="17"/>
        <v>0</v>
      </c>
      <c r="T13" s="30"/>
      <c r="W13" s="30">
        <f t="shared" ref="W13" si="18">W7+W12</f>
        <v>157.47200000000001</v>
      </c>
      <c r="X13" s="30">
        <f t="shared" ref="X13:Y13" si="19">X7+X12</f>
        <v>299.38499999999999</v>
      </c>
      <c r="Y13" s="30">
        <f t="shared" si="19"/>
        <v>654.00400000000002</v>
      </c>
      <c r="Z13" s="30">
        <f t="shared" ref="Z13:AM13" si="20">Z7+Z12</f>
        <v>908.1049999999999</v>
      </c>
      <c r="AA13" s="30">
        <f t="shared" si="20"/>
        <v>1142.778</v>
      </c>
      <c r="AB13" s="30">
        <f t="shared" si="20"/>
        <v>1419.4680000000001</v>
      </c>
      <c r="AC13" s="15">
        <f t="shared" si="20"/>
        <v>1307.6991500000006</v>
      </c>
      <c r="AD13" s="30">
        <f t="shared" si="20"/>
        <v>1442.9993460000005</v>
      </c>
      <c r="AE13" s="30">
        <f t="shared" si="20"/>
        <v>1614.2571585000005</v>
      </c>
      <c r="AF13" s="30">
        <f t="shared" si="20"/>
        <v>1805.6043739770009</v>
      </c>
      <c r="AG13" s="30">
        <f t="shared" si="20"/>
        <v>2019.3661509353115</v>
      </c>
      <c r="AH13" s="30">
        <f t="shared" si="20"/>
        <v>2258.1336183819708</v>
      </c>
      <c r="AI13" s="30">
        <f t="shared" si="20"/>
        <v>2524.7940159295945</v>
      </c>
      <c r="AJ13" s="30">
        <f t="shared" si="20"/>
        <v>2822.564225006231</v>
      </c>
      <c r="AK13" s="30">
        <f t="shared" si="20"/>
        <v>3155.0280706623262</v>
      </c>
      <c r="AL13" s="30">
        <f t="shared" si="20"/>
        <v>3526.1778157628382</v>
      </c>
      <c r="AM13" s="30">
        <f t="shared" si="20"/>
        <v>3940.4603163511415</v>
      </c>
    </row>
    <row r="14" spans="1:39" x14ac:dyDescent="0.25">
      <c r="C14" s="1" t="s">
        <v>32</v>
      </c>
      <c r="D14" s="27">
        <v>4.3109999999999999</v>
      </c>
      <c r="E14" s="27">
        <v>2.4129999999999998</v>
      </c>
      <c r="F14" s="27">
        <v>1.341</v>
      </c>
      <c r="G14" s="27">
        <v>-9.5340000000000007</v>
      </c>
      <c r="H14" s="27">
        <v>-1.425</v>
      </c>
      <c r="I14" s="27">
        <v>1.4930000000000001</v>
      </c>
      <c r="J14" s="27">
        <v>5.36</v>
      </c>
      <c r="K14" s="27">
        <v>0.44900000000000001</v>
      </c>
      <c r="L14" s="27">
        <v>5.8769999999999998</v>
      </c>
      <c r="M14" s="27">
        <v>6.7919999999999998</v>
      </c>
      <c r="N14" s="27">
        <v>-1.0089999999999999</v>
      </c>
      <c r="O14" s="27">
        <v>7.7110000000000003</v>
      </c>
      <c r="P14" s="28">
        <v>-1.2</v>
      </c>
      <c r="Q14" s="2">
        <v>0</v>
      </c>
      <c r="R14" s="2">
        <v>0</v>
      </c>
      <c r="S14" s="2">
        <v>0</v>
      </c>
      <c r="T14" s="2"/>
      <c r="W14" s="2">
        <f>0.045-0.245</f>
        <v>-0.2</v>
      </c>
      <c r="X14" s="2">
        <f>0.047-1</f>
        <v>-0.95299999999999996</v>
      </c>
      <c r="Y14" s="2">
        <f>1.317-7.83</f>
        <v>-6.5129999999999999</v>
      </c>
      <c r="Z14" s="2">
        <f>SUM(D14:G14)</f>
        <v>-1.4690000000000012</v>
      </c>
      <c r="AA14" s="2">
        <f>SUM(H14:K14)</f>
        <v>5.8770000000000007</v>
      </c>
      <c r="AB14" s="2">
        <f>SUM(L14:O14)</f>
        <v>19.371000000000002</v>
      </c>
      <c r="AC14" s="5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</row>
    <row r="15" spans="1:39" x14ac:dyDescent="0.25">
      <c r="C15" s="1" t="s">
        <v>33</v>
      </c>
      <c r="D15" s="27">
        <f t="shared" ref="D15:S15" si="21">SUM(D13:D14)</f>
        <v>211.429</v>
      </c>
      <c r="E15" s="27">
        <f t="shared" si="21"/>
        <v>217.035</v>
      </c>
      <c r="F15" s="27">
        <f t="shared" si="21"/>
        <v>237.702</v>
      </c>
      <c r="G15" s="27">
        <f t="shared" si="21"/>
        <v>240.47000000000003</v>
      </c>
      <c r="H15" s="27">
        <f t="shared" si="21"/>
        <v>270.05499999999995</v>
      </c>
      <c r="I15" s="27">
        <f t="shared" si="21"/>
        <v>283.00800000000004</v>
      </c>
      <c r="J15" s="27">
        <f t="shared" si="21"/>
        <v>292.45500000000004</v>
      </c>
      <c r="K15" s="27">
        <f t="shared" si="21"/>
        <v>303.13700000000006</v>
      </c>
      <c r="L15" s="27">
        <f t="shared" si="21"/>
        <v>317.43699999999995</v>
      </c>
      <c r="M15" s="27">
        <f t="shared" si="21"/>
        <v>317.911</v>
      </c>
      <c r="N15" s="27">
        <f t="shared" si="21"/>
        <v>378.19099999999992</v>
      </c>
      <c r="O15" s="27">
        <f t="shared" si="21"/>
        <v>425.29999999999995</v>
      </c>
      <c r="P15" s="28">
        <f t="shared" si="21"/>
        <v>302.291</v>
      </c>
      <c r="Q15" s="2">
        <f t="shared" si="21"/>
        <v>0</v>
      </c>
      <c r="R15" s="2">
        <f t="shared" si="21"/>
        <v>0</v>
      </c>
      <c r="S15" s="2">
        <f t="shared" si="21"/>
        <v>0</v>
      </c>
      <c r="T15" s="2"/>
      <c r="W15" s="2">
        <f>SUM(W13:W14)</f>
        <v>157.27200000000002</v>
      </c>
      <c r="X15" s="2">
        <f>SUM(X13:X14)</f>
        <v>298.43200000000002</v>
      </c>
      <c r="Y15" s="2">
        <f>SUM(Y13:Y14)</f>
        <v>647.49099999999999</v>
      </c>
      <c r="Z15" s="2">
        <f>SUM(Z13:Z14)</f>
        <v>906.63599999999985</v>
      </c>
      <c r="AA15" s="2">
        <f t="shared" ref="AA15:AM15" si="22">SUM(AA13:AA14)</f>
        <v>1148.655</v>
      </c>
      <c r="AB15" s="2">
        <f t="shared" si="22"/>
        <v>1438.8390000000002</v>
      </c>
      <c r="AC15" s="5">
        <f t="shared" si="22"/>
        <v>1307.6991500000006</v>
      </c>
      <c r="AD15" s="2">
        <f t="shared" si="22"/>
        <v>1442.9993460000005</v>
      </c>
      <c r="AE15" s="2">
        <f t="shared" si="22"/>
        <v>1614.2571585000005</v>
      </c>
      <c r="AF15" s="2">
        <f t="shared" si="22"/>
        <v>1805.6043739770009</v>
      </c>
      <c r="AG15" s="2">
        <f t="shared" si="22"/>
        <v>2019.3661509353115</v>
      </c>
      <c r="AH15" s="2">
        <f t="shared" si="22"/>
        <v>2258.1336183819708</v>
      </c>
      <c r="AI15" s="2">
        <f t="shared" si="22"/>
        <v>2524.7940159295945</v>
      </c>
      <c r="AJ15" s="2">
        <f t="shared" si="22"/>
        <v>2822.564225006231</v>
      </c>
      <c r="AK15" s="2">
        <f t="shared" si="22"/>
        <v>3155.0280706623262</v>
      </c>
      <c r="AL15" s="2">
        <f t="shared" si="22"/>
        <v>3526.1778157628382</v>
      </c>
      <c r="AM15" s="2">
        <f t="shared" si="22"/>
        <v>3940.4603163511415</v>
      </c>
    </row>
    <row r="16" spans="1:39" x14ac:dyDescent="0.25">
      <c r="C16" s="1" t="s">
        <v>34</v>
      </c>
      <c r="D16" s="27">
        <v>-13.707000000000001</v>
      </c>
      <c r="E16" s="27">
        <v>-16.12</v>
      </c>
      <c r="F16" s="27">
        <v>-16.437000000000001</v>
      </c>
      <c r="G16" s="27">
        <v>-16.968</v>
      </c>
      <c r="H16" s="27">
        <v>-18.905000000000001</v>
      </c>
      <c r="I16" s="27">
        <v>-18.919</v>
      </c>
      <c r="J16" s="27">
        <v>-19.736999999999998</v>
      </c>
      <c r="K16" s="27">
        <v>-20.187999999999999</v>
      </c>
      <c r="L16" s="27">
        <v>-48.331000000000003</v>
      </c>
      <c r="M16" s="27">
        <v>-48.777999999999999</v>
      </c>
      <c r="N16" s="27">
        <v>-49.558999999999997</v>
      </c>
      <c r="O16" s="27">
        <v>-48.241</v>
      </c>
      <c r="P16" s="28">
        <v>-47.52</v>
      </c>
      <c r="Q16" s="2"/>
      <c r="R16" s="2"/>
      <c r="S16" s="2"/>
      <c r="T16" s="2"/>
      <c r="W16" s="2">
        <v>-7.5460000000000003</v>
      </c>
      <c r="X16" s="2">
        <v>-14</v>
      </c>
      <c r="Y16" s="2">
        <v>-42</v>
      </c>
      <c r="Z16" s="2">
        <f>SUM(D16:G16)</f>
        <v>-63.231999999999999</v>
      </c>
      <c r="AA16" s="2">
        <f>SUM(H16:K16)</f>
        <v>-77.748999999999995</v>
      </c>
      <c r="AB16" s="2">
        <f>SUM(L16:O16)</f>
        <v>-194.90899999999999</v>
      </c>
      <c r="AC16" s="5">
        <f>AC15*-0.15</f>
        <v>-196.1548725000001</v>
      </c>
      <c r="AD16" s="2">
        <f t="shared" ref="AD16:AM16" si="23">AD15*-0.15</f>
        <v>-216.44990190000007</v>
      </c>
      <c r="AE16" s="2">
        <f t="shared" si="23"/>
        <v>-242.13857377500005</v>
      </c>
      <c r="AF16" s="2">
        <f t="shared" si="23"/>
        <v>-270.84065609655011</v>
      </c>
      <c r="AG16" s="2">
        <f t="shared" si="23"/>
        <v>-302.90492264029672</v>
      </c>
      <c r="AH16" s="2">
        <f t="shared" si="23"/>
        <v>-338.72004275729563</v>
      </c>
      <c r="AI16" s="2">
        <f t="shared" si="23"/>
        <v>-378.71910238943917</v>
      </c>
      <c r="AJ16" s="2">
        <f t="shared" si="23"/>
        <v>-423.38463375093465</v>
      </c>
      <c r="AK16" s="2">
        <f t="shared" si="23"/>
        <v>-473.25421059934888</v>
      </c>
      <c r="AL16" s="2">
        <f t="shared" si="23"/>
        <v>-528.92667236442571</v>
      </c>
      <c r="AM16" s="2">
        <f t="shared" si="23"/>
        <v>-591.06904745267116</v>
      </c>
    </row>
    <row r="17" spans="3:126" x14ac:dyDescent="0.25">
      <c r="C17" s="6" t="s">
        <v>35</v>
      </c>
      <c r="D17" s="31">
        <f t="shared" ref="D17:S17" si="24">SUM(D15:D16)</f>
        <v>197.72200000000001</v>
      </c>
      <c r="E17" s="31">
        <f t="shared" si="24"/>
        <v>200.91499999999999</v>
      </c>
      <c r="F17" s="31">
        <f t="shared" si="24"/>
        <v>221.26499999999999</v>
      </c>
      <c r="G17" s="31">
        <f t="shared" si="24"/>
        <v>223.50200000000004</v>
      </c>
      <c r="H17" s="31">
        <f t="shared" si="24"/>
        <v>251.14999999999995</v>
      </c>
      <c r="I17" s="31">
        <f t="shared" si="24"/>
        <v>264.08900000000006</v>
      </c>
      <c r="J17" s="31">
        <f t="shared" si="24"/>
        <v>272.71800000000002</v>
      </c>
      <c r="K17" s="31">
        <f t="shared" si="24"/>
        <v>282.94900000000007</v>
      </c>
      <c r="L17" s="31">
        <f t="shared" si="24"/>
        <v>269.10599999999994</v>
      </c>
      <c r="M17" s="31">
        <f t="shared" si="24"/>
        <v>269.13299999999998</v>
      </c>
      <c r="N17" s="31">
        <f t="shared" si="24"/>
        <v>328.63199999999995</v>
      </c>
      <c r="O17" s="31">
        <f t="shared" si="24"/>
        <v>377.05899999999997</v>
      </c>
      <c r="P17" s="29">
        <f t="shared" si="24"/>
        <v>254.77099999999999</v>
      </c>
      <c r="Q17" s="30">
        <f t="shared" si="24"/>
        <v>0</v>
      </c>
      <c r="R17" s="30">
        <f t="shared" si="24"/>
        <v>0</v>
      </c>
      <c r="S17" s="30">
        <f t="shared" si="24"/>
        <v>0</v>
      </c>
      <c r="T17" s="30"/>
      <c r="W17" s="30">
        <f>SUM(W15:W16)</f>
        <v>149.72600000000003</v>
      </c>
      <c r="X17" s="30">
        <f>SUM(X15:X16)</f>
        <v>284.43200000000002</v>
      </c>
      <c r="Y17" s="30">
        <f>SUM(Y15:Y16)</f>
        <v>605.49099999999999</v>
      </c>
      <c r="Z17" s="30">
        <f>SUM(Z15:Z16)</f>
        <v>843.40399999999988</v>
      </c>
      <c r="AA17" s="30">
        <f t="shared" ref="AA17:AM17" si="25">SUM(AA15:AA16)</f>
        <v>1070.9059999999999</v>
      </c>
      <c r="AB17" s="30">
        <f t="shared" si="25"/>
        <v>1243.9300000000003</v>
      </c>
      <c r="AC17" s="15">
        <f>SUM(AC15:AC16)</f>
        <v>1111.5442775000006</v>
      </c>
      <c r="AD17" s="30">
        <f t="shared" si="25"/>
        <v>1226.5494441000005</v>
      </c>
      <c r="AE17" s="30">
        <f t="shared" si="25"/>
        <v>1372.1185847250003</v>
      </c>
      <c r="AF17" s="30">
        <f t="shared" si="25"/>
        <v>1534.7637178804507</v>
      </c>
      <c r="AG17" s="30">
        <f t="shared" si="25"/>
        <v>1716.4612282950147</v>
      </c>
      <c r="AH17" s="30">
        <f t="shared" si="25"/>
        <v>1919.4135756246751</v>
      </c>
      <c r="AI17" s="30">
        <f t="shared" si="25"/>
        <v>2146.0749135401552</v>
      </c>
      <c r="AJ17" s="30">
        <f t="shared" si="25"/>
        <v>2399.1795912552961</v>
      </c>
      <c r="AK17" s="30">
        <f t="shared" si="25"/>
        <v>2681.7738600629773</v>
      </c>
      <c r="AL17" s="30">
        <f t="shared" si="25"/>
        <v>2997.2511433984128</v>
      </c>
      <c r="AM17" s="30">
        <f t="shared" si="25"/>
        <v>3349.3912688984701</v>
      </c>
      <c r="AN17" s="30">
        <f>AM17*(1+$AP$22)</f>
        <v>3282.4034435205008</v>
      </c>
      <c r="AO17" s="30">
        <f t="shared" ref="AO17:BS17" si="26">AN17*(1+$AP$22)</f>
        <v>3216.7553746500907</v>
      </c>
      <c r="AP17" s="30">
        <f t="shared" si="26"/>
        <v>3152.4202671570888</v>
      </c>
      <c r="AQ17" s="30">
        <f t="shared" si="26"/>
        <v>3089.3718618139469</v>
      </c>
      <c r="AR17" s="30">
        <f t="shared" si="26"/>
        <v>3027.584424577668</v>
      </c>
      <c r="AS17" s="30">
        <f t="shared" si="26"/>
        <v>2967.0327360861147</v>
      </c>
      <c r="AT17" s="30">
        <f t="shared" si="26"/>
        <v>2907.6920813643924</v>
      </c>
      <c r="AU17" s="30">
        <f t="shared" si="26"/>
        <v>2849.5382397371045</v>
      </c>
      <c r="AV17" s="30">
        <f t="shared" si="26"/>
        <v>2792.5474749423624</v>
      </c>
      <c r="AW17" s="30">
        <f t="shared" si="26"/>
        <v>2736.6965254435149</v>
      </c>
      <c r="AX17" s="30">
        <f t="shared" si="26"/>
        <v>2681.9625949346446</v>
      </c>
      <c r="AY17" s="30">
        <f t="shared" si="26"/>
        <v>2628.3233430359514</v>
      </c>
      <c r="AZ17" s="30">
        <f t="shared" si="26"/>
        <v>2575.7568761752323</v>
      </c>
      <c r="BA17" s="30">
        <f t="shared" si="26"/>
        <v>2524.2417386517277</v>
      </c>
      <c r="BB17" s="30">
        <f t="shared" si="26"/>
        <v>2473.7569038786933</v>
      </c>
      <c r="BC17" s="30">
        <f t="shared" si="26"/>
        <v>2424.2817658011195</v>
      </c>
      <c r="BD17" s="30">
        <f t="shared" si="26"/>
        <v>2375.7961304850969</v>
      </c>
      <c r="BE17" s="30">
        <f t="shared" si="26"/>
        <v>2328.2802078753948</v>
      </c>
      <c r="BF17" s="30">
        <f t="shared" si="26"/>
        <v>2281.7146037178868</v>
      </c>
      <c r="BG17" s="30">
        <f t="shared" si="26"/>
        <v>2236.0803116435291</v>
      </c>
      <c r="BH17" s="30">
        <f t="shared" si="26"/>
        <v>2191.3587054106583</v>
      </c>
      <c r="BI17" s="30">
        <f t="shared" si="26"/>
        <v>2147.5315313024453</v>
      </c>
      <c r="BJ17" s="30">
        <f t="shared" si="26"/>
        <v>2104.5809006763961</v>
      </c>
      <c r="BK17" s="30">
        <f t="shared" si="26"/>
        <v>2062.4892826628684</v>
      </c>
      <c r="BL17" s="30">
        <f t="shared" si="26"/>
        <v>2021.2394970096109</v>
      </c>
      <c r="BM17" s="30">
        <f t="shared" si="26"/>
        <v>1980.8147070694185</v>
      </c>
      <c r="BN17" s="30">
        <f t="shared" si="26"/>
        <v>1941.1984129280302</v>
      </c>
      <c r="BO17" s="30">
        <f t="shared" si="26"/>
        <v>1902.3744446694695</v>
      </c>
      <c r="BP17" s="30">
        <f t="shared" si="26"/>
        <v>1864.32695577608</v>
      </c>
      <c r="BQ17" s="30">
        <f t="shared" si="26"/>
        <v>1827.0404166605583</v>
      </c>
      <c r="BR17" s="30">
        <f t="shared" si="26"/>
        <v>1790.4996083273472</v>
      </c>
      <c r="BS17" s="30">
        <f t="shared" si="26"/>
        <v>1754.6896161608004</v>
      </c>
      <c r="BT17" s="30">
        <f t="shared" ref="BT17:CY17" si="27">BS17*(1+$AP$22)</f>
        <v>1719.5958238375842</v>
      </c>
      <c r="BU17" s="30">
        <f t="shared" si="27"/>
        <v>1685.2039073608325</v>
      </c>
      <c r="BV17" s="30">
        <f t="shared" si="27"/>
        <v>1651.4998292136158</v>
      </c>
      <c r="BW17" s="30">
        <f t="shared" si="27"/>
        <v>1618.4698326293435</v>
      </c>
      <c r="BX17" s="30">
        <f t="shared" si="27"/>
        <v>1586.1004359767567</v>
      </c>
      <c r="BY17" s="30">
        <f t="shared" si="27"/>
        <v>1554.3784272572216</v>
      </c>
      <c r="BZ17" s="30">
        <f t="shared" si="27"/>
        <v>1523.2908587120771</v>
      </c>
      <c r="CA17" s="30">
        <f t="shared" si="27"/>
        <v>1492.8250415378357</v>
      </c>
      <c r="CB17" s="30">
        <f t="shared" si="27"/>
        <v>1462.968540707079</v>
      </c>
      <c r="CC17" s="30">
        <f t="shared" si="27"/>
        <v>1433.7091698929373</v>
      </c>
      <c r="CD17" s="30">
        <f t="shared" si="27"/>
        <v>1405.0349864950786</v>
      </c>
      <c r="CE17" s="30">
        <f t="shared" si="27"/>
        <v>1376.9342867651769</v>
      </c>
      <c r="CF17" s="30">
        <f t="shared" si="27"/>
        <v>1349.3956010298734</v>
      </c>
      <c r="CG17" s="30">
        <f t="shared" si="27"/>
        <v>1322.4076890092758</v>
      </c>
      <c r="CH17" s="30">
        <f t="shared" si="27"/>
        <v>1295.9595352290903</v>
      </c>
      <c r="CI17" s="30">
        <f t="shared" si="27"/>
        <v>1270.0403445245086</v>
      </c>
      <c r="CJ17" s="30">
        <f t="shared" si="27"/>
        <v>1244.6395376340183</v>
      </c>
      <c r="CK17" s="30">
        <f t="shared" si="27"/>
        <v>1219.7467468813379</v>
      </c>
      <c r="CL17" s="30">
        <f t="shared" si="27"/>
        <v>1195.351811943711</v>
      </c>
      <c r="CM17" s="30">
        <f t="shared" si="27"/>
        <v>1171.4447757048367</v>
      </c>
      <c r="CN17" s="30">
        <f t="shared" si="27"/>
        <v>1148.0158801907401</v>
      </c>
      <c r="CO17" s="30">
        <f t="shared" si="27"/>
        <v>1125.0555625869251</v>
      </c>
      <c r="CP17" s="30">
        <f t="shared" si="27"/>
        <v>1102.5544513351865</v>
      </c>
      <c r="CQ17" s="30">
        <f t="shared" si="27"/>
        <v>1080.5033623084828</v>
      </c>
      <c r="CR17" s="30">
        <f t="shared" si="27"/>
        <v>1058.8932950623132</v>
      </c>
      <c r="CS17" s="30">
        <f t="shared" si="27"/>
        <v>1037.7154291610668</v>
      </c>
      <c r="CT17" s="30">
        <f t="shared" si="27"/>
        <v>1016.9611205778455</v>
      </c>
      <c r="CU17" s="30">
        <f t="shared" si="27"/>
        <v>996.62189816628859</v>
      </c>
      <c r="CV17" s="30">
        <f t="shared" si="27"/>
        <v>976.68946020296278</v>
      </c>
      <c r="CW17" s="30">
        <f t="shared" si="27"/>
        <v>957.15567099890347</v>
      </c>
      <c r="CX17" s="30">
        <f t="shared" si="27"/>
        <v>938.01255757892534</v>
      </c>
      <c r="CY17" s="30">
        <f t="shared" si="27"/>
        <v>919.25230642734687</v>
      </c>
      <c r="CZ17" s="30">
        <f t="shared" ref="CZ17:DV17" si="28">CY17*(1+$AP$22)</f>
        <v>900.86726029879992</v>
      </c>
      <c r="DA17" s="30">
        <f t="shared" si="28"/>
        <v>882.84991509282395</v>
      </c>
      <c r="DB17" s="30">
        <f t="shared" si="28"/>
        <v>865.1929167909675</v>
      </c>
      <c r="DC17" s="30">
        <f t="shared" si="28"/>
        <v>847.88905845514819</v>
      </c>
      <c r="DD17" s="30">
        <f t="shared" si="28"/>
        <v>830.9312772860452</v>
      </c>
      <c r="DE17" s="30">
        <f t="shared" si="28"/>
        <v>814.31265174032433</v>
      </c>
      <c r="DF17" s="30">
        <f t="shared" si="28"/>
        <v>798.02639870551786</v>
      </c>
      <c r="DG17" s="30">
        <f t="shared" si="28"/>
        <v>782.06587073140747</v>
      </c>
      <c r="DH17" s="30">
        <f t="shared" si="28"/>
        <v>766.42455331677934</v>
      </c>
      <c r="DI17" s="30">
        <f t="shared" si="28"/>
        <v>751.09606225044377</v>
      </c>
      <c r="DJ17" s="30">
        <f t="shared" si="28"/>
        <v>736.07414100543485</v>
      </c>
      <c r="DK17" s="30">
        <f t="shared" si="28"/>
        <v>721.35265818532616</v>
      </c>
      <c r="DL17" s="30">
        <f t="shared" si="28"/>
        <v>706.92560502161962</v>
      </c>
      <c r="DM17" s="30">
        <f t="shared" si="28"/>
        <v>692.7870929211872</v>
      </c>
      <c r="DN17" s="30">
        <f t="shared" si="28"/>
        <v>678.93135106276338</v>
      </c>
      <c r="DO17" s="30">
        <f t="shared" si="28"/>
        <v>665.35272404150805</v>
      </c>
      <c r="DP17" s="30">
        <f t="shared" si="28"/>
        <v>652.04566956067788</v>
      </c>
      <c r="DQ17" s="30">
        <f t="shared" si="28"/>
        <v>639.00475616946426</v>
      </c>
      <c r="DR17" s="30">
        <f t="shared" si="28"/>
        <v>626.22466104607497</v>
      </c>
      <c r="DS17" s="30">
        <f t="shared" si="28"/>
        <v>613.70016782515347</v>
      </c>
      <c r="DT17" s="30">
        <f t="shared" si="28"/>
        <v>601.42616446865043</v>
      </c>
      <c r="DU17" s="30">
        <f t="shared" si="28"/>
        <v>589.39764117927746</v>
      </c>
      <c r="DV17" s="30">
        <f t="shared" si="28"/>
        <v>577.6096883556919</v>
      </c>
    </row>
    <row r="18" spans="3:126" x14ac:dyDescent="0.25">
      <c r="C18" s="1" t="s">
        <v>97</v>
      </c>
      <c r="D18" s="16">
        <f>(D17*B11)/D19</f>
        <v>10.02253194771245</v>
      </c>
      <c r="E18" s="16">
        <f>(E17*B11)/E19</f>
        <v>10.184385178556996</v>
      </c>
      <c r="F18" s="16">
        <f>(F17*B11)/F19</f>
        <v>11.22902602070071</v>
      </c>
      <c r="G18" s="16">
        <f>(G17*B11)/G19</f>
        <v>11.342552024399025</v>
      </c>
      <c r="H18" s="16">
        <f>(H17*B11)/H19</f>
        <v>12.736667896208585</v>
      </c>
      <c r="I18" s="16">
        <f>(I17*B11)/I19</f>
        <v>13.373964004929658</v>
      </c>
      <c r="J18" s="16">
        <f>(J17*B11)/J19</f>
        <v>13.803961379916569</v>
      </c>
      <c r="K18" s="16">
        <f>(K17*B11)/K19</f>
        <v>14.34044885002508</v>
      </c>
      <c r="L18" s="16">
        <f>(L17*B11)/L19</f>
        <v>13.77837454965581</v>
      </c>
      <c r="M18" s="16">
        <f>(M17*B11)/M19</f>
        <v>13.798169945346102</v>
      </c>
      <c r="N18" s="16">
        <f>(N17*B11)/N19</f>
        <v>16.987457557371894</v>
      </c>
      <c r="O18" s="16">
        <f>(O17*B11)/O19</f>
        <v>19.75084275203189</v>
      </c>
      <c r="P18" s="18">
        <f>(P17/P19)*B11</f>
        <v>13.407014055880778</v>
      </c>
      <c r="Q18" s="16" t="e">
        <f t="shared" ref="Q18:S18" si="29">(Q17*E12)/Q19</f>
        <v>#DIV/0!</v>
      </c>
      <c r="R18" s="16" t="e">
        <f t="shared" si="29"/>
        <v>#DIV/0!</v>
      </c>
      <c r="S18" s="16" t="e">
        <f t="shared" si="29"/>
        <v>#DIV/0!</v>
      </c>
      <c r="T18" s="16"/>
      <c r="W18" s="16">
        <f>(W17*$B$11)/W19</f>
        <v>8.9634805609168531</v>
      </c>
      <c r="X18" s="16">
        <f>(X17*$B$11)/X19</f>
        <v>16.732393448813902</v>
      </c>
      <c r="Y18" s="16">
        <f t="shared" ref="Y18" si="30">(Y17*$B$11)/Y19</f>
        <v>30.654964022636335</v>
      </c>
      <c r="Z18" s="16">
        <f t="shared" ref="Z18:AM18" si="31">(Z17*$B$11)/Z19</f>
        <v>42.789601228504104</v>
      </c>
      <c r="AA18" s="16">
        <f t="shared" si="31"/>
        <v>54.255714395803786</v>
      </c>
      <c r="AB18" s="16">
        <f>(AB17*$B$11)/AB19</f>
        <v>65.460303545269198</v>
      </c>
      <c r="AC18" s="18">
        <f>(AC17*$B$11)/AC19</f>
        <v>58.493665888881978</v>
      </c>
      <c r="AD18" s="16">
        <f t="shared" si="31"/>
        <v>64.545672926987223</v>
      </c>
      <c r="AE18" s="16">
        <f t="shared" si="31"/>
        <v>72.206071930256272</v>
      </c>
      <c r="AF18" s="16">
        <f t="shared" si="31"/>
        <v>80.765074274854854</v>
      </c>
      <c r="AG18" s="16">
        <f t="shared" si="31"/>
        <v>90.326684803708616</v>
      </c>
      <c r="AH18" s="16">
        <f t="shared" si="31"/>
        <v>101.00680527787073</v>
      </c>
      <c r="AI18" s="16">
        <f t="shared" si="31"/>
        <v>112.93458254984274</v>
      </c>
      <c r="AJ18" s="16">
        <f t="shared" si="31"/>
        <v>126.25390842184572</v>
      </c>
      <c r="AK18" s="16">
        <f t="shared" si="31"/>
        <v>141.12508816371559</v>
      </c>
      <c r="AL18" s="16">
        <f t="shared" si="31"/>
        <v>157.72669655709345</v>
      </c>
      <c r="AM18" s="16">
        <f t="shared" si="31"/>
        <v>176.25764243483812</v>
      </c>
    </row>
    <row r="19" spans="3:126" x14ac:dyDescent="0.25">
      <c r="C19" s="1" t="s">
        <v>4</v>
      </c>
      <c r="D19" s="16">
        <v>213.45425</v>
      </c>
      <c r="E19" s="16">
        <v>213.45425</v>
      </c>
      <c r="F19" s="16">
        <v>213.20525000000001</v>
      </c>
      <c r="G19" s="16">
        <v>213.20525000000001</v>
      </c>
      <c r="H19" s="16">
        <v>213.35588100000001</v>
      </c>
      <c r="I19" s="16">
        <v>213.65714600000001</v>
      </c>
      <c r="J19" s="16">
        <v>213.76535899999999</v>
      </c>
      <c r="K19" s="16">
        <v>213.48761200000001</v>
      </c>
      <c r="L19" s="16">
        <v>211.32586499999999</v>
      </c>
      <c r="M19" s="16">
        <v>211.04386099999999</v>
      </c>
      <c r="N19" s="16">
        <v>209.31903600000001</v>
      </c>
      <c r="O19" s="16">
        <v>206.562243</v>
      </c>
      <c r="P19" s="18">
        <v>205.61045200000001</v>
      </c>
      <c r="Q19" s="16"/>
      <c r="R19" s="16"/>
      <c r="S19" s="16"/>
      <c r="T19" s="16"/>
      <c r="W19" s="16">
        <v>180.73730499999999</v>
      </c>
      <c r="X19" s="16">
        <v>183.92791500000001</v>
      </c>
      <c r="Y19" s="16">
        <v>213.7145754</v>
      </c>
      <c r="Z19" s="16">
        <v>213.26750000000001</v>
      </c>
      <c r="AA19" s="16">
        <v>213.566498</v>
      </c>
      <c r="AB19" s="16">
        <v>205.61045200000001</v>
      </c>
      <c r="AC19" s="18">
        <v>205.61045200000001</v>
      </c>
      <c r="AD19" s="16">
        <v>205.61045200000001</v>
      </c>
      <c r="AE19" s="16">
        <v>205.61045200000001</v>
      </c>
      <c r="AF19" s="16">
        <v>205.61045200000001</v>
      </c>
      <c r="AG19" s="16">
        <v>205.61045200000001</v>
      </c>
      <c r="AH19" s="16">
        <v>205.61045200000001</v>
      </c>
      <c r="AI19" s="16">
        <v>205.61045200000001</v>
      </c>
      <c r="AJ19" s="16">
        <v>205.61045200000001</v>
      </c>
      <c r="AK19" s="16">
        <v>205.61045200000001</v>
      </c>
      <c r="AL19" s="16">
        <v>205.61045200000001</v>
      </c>
      <c r="AM19" s="16">
        <v>205.61045200000001</v>
      </c>
    </row>
    <row r="21" spans="3:126" x14ac:dyDescent="0.25">
      <c r="O21" s="27"/>
      <c r="AO21" s="1" t="s">
        <v>91</v>
      </c>
      <c r="AP21" s="21">
        <v>0.1</v>
      </c>
    </row>
    <row r="22" spans="3:126" x14ac:dyDescent="0.25">
      <c r="Q22" s="17"/>
      <c r="R22" s="17"/>
      <c r="S22" s="17"/>
      <c r="T22" s="17"/>
      <c r="U22" s="6"/>
      <c r="V22" s="6"/>
      <c r="W22" s="6"/>
      <c r="X22" s="6"/>
      <c r="Y22" s="6"/>
      <c r="AO22" s="1" t="s">
        <v>92</v>
      </c>
      <c r="AP22" s="21">
        <v>-0.02</v>
      </c>
    </row>
    <row r="23" spans="3:126" x14ac:dyDescent="0.25">
      <c r="C23" s="6" t="s">
        <v>25</v>
      </c>
      <c r="D23" s="37"/>
      <c r="E23" s="37"/>
      <c r="F23" s="37"/>
      <c r="G23" s="37"/>
      <c r="H23" s="37">
        <f t="shared" ref="H23:O23" si="32">(H7-D7)/D7</f>
        <v>0.3144859241126069</v>
      </c>
      <c r="I23" s="37">
        <f t="shared" si="32"/>
        <v>0.28219476744186062</v>
      </c>
      <c r="J23" s="37">
        <f t="shared" si="32"/>
        <v>0.19577278731836201</v>
      </c>
      <c r="K23" s="37">
        <f t="shared" si="32"/>
        <v>0.16668302738784729</v>
      </c>
      <c r="L23" s="37">
        <f t="shared" si="32"/>
        <v>0.1672028567836974</v>
      </c>
      <c r="M23" s="37">
        <f t="shared" si="32"/>
        <v>0.15263844017457345</v>
      </c>
      <c r="N23" s="37">
        <f>(N7-J7)/J7</f>
        <v>0.27938577110030915</v>
      </c>
      <c r="O23" s="37">
        <f>(O7-K7)/K7</f>
        <v>0.31511989903239362</v>
      </c>
      <c r="P23" s="38">
        <f>(P7-L7)/L7</f>
        <v>3.9090546469884371E-2</v>
      </c>
      <c r="Q23" s="68">
        <f t="shared" ref="Q23:S23" si="33">(Q7-M7)/M7</f>
        <v>-1</v>
      </c>
      <c r="R23" s="68">
        <f t="shared" si="33"/>
        <v>-1</v>
      </c>
      <c r="S23" s="68">
        <f t="shared" si="33"/>
        <v>-1</v>
      </c>
      <c r="X23" s="19">
        <f t="shared" ref="X23" si="34">(X7-W7)/W7</f>
        <v>0.53333132833176566</v>
      </c>
      <c r="Y23" s="19">
        <f t="shared" ref="Y23" si="35">(Y7-X7)/X7</f>
        <v>0.90574320770159378</v>
      </c>
      <c r="Z23" s="19">
        <f t="shared" ref="Z23" si="36">(Z7-Y7)/Y7</f>
        <v>0.36303457129036265</v>
      </c>
      <c r="AA23" s="19">
        <f t="shared" ref="AA23:AM23" si="37">(AA7-Z7)/Z7</f>
        <v>0.23467441892392821</v>
      </c>
      <c r="AB23" s="19">
        <f t="shared" si="37"/>
        <v>0.23095612317911934</v>
      </c>
      <c r="AC23" s="20">
        <f>(AC7-AB7)/AB7</f>
        <v>-1.5878084494622632E-3</v>
      </c>
      <c r="AD23" s="19">
        <f t="shared" si="37"/>
        <v>9.4541339965189528E-2</v>
      </c>
      <c r="AE23" s="19">
        <f t="shared" si="37"/>
        <v>0.10339200422858955</v>
      </c>
      <c r="AF23" s="19">
        <f t="shared" si="37"/>
        <v>0.10365187033180301</v>
      </c>
      <c r="AG23" s="19">
        <f t="shared" si="37"/>
        <v>0.10390295288833627</v>
      </c>
      <c r="AH23" s="19">
        <f t="shared" si="37"/>
        <v>0.104145436497426</v>
      </c>
      <c r="AI23" s="19">
        <f t="shared" si="37"/>
        <v>0.10437951097057062</v>
      </c>
      <c r="AJ23" s="19">
        <f t="shared" si="37"/>
        <v>0.10460537042564344</v>
      </c>
      <c r="AK23" s="19">
        <f t="shared" si="37"/>
        <v>0.10482321243231486</v>
      </c>
      <c r="AL23" s="19">
        <f t="shared" si="37"/>
        <v>0.10503323720935798</v>
      </c>
      <c r="AM23" s="19">
        <f t="shared" si="37"/>
        <v>0.10523564687395631</v>
      </c>
      <c r="AO23" s="1" t="s">
        <v>95</v>
      </c>
      <c r="AP23" s="3">
        <f>NPV(AP21,AC17:DV17)</f>
        <v>21526.703860686819</v>
      </c>
    </row>
    <row r="24" spans="3:126" x14ac:dyDescent="0.25">
      <c r="C24" s="1" t="s">
        <v>87</v>
      </c>
      <c r="D24" s="35"/>
      <c r="E24" s="35"/>
      <c r="F24" s="35"/>
      <c r="G24" s="35"/>
      <c r="H24" s="35">
        <f t="shared" ref="H24:P25" si="38">(H4-D4)/D4</f>
        <v>0.36145179584120979</v>
      </c>
      <c r="I24" s="35">
        <f t="shared" si="38"/>
        <v>0.33500897666068225</v>
      </c>
      <c r="J24" s="35">
        <f t="shared" si="38"/>
        <v>0.24291237113402075</v>
      </c>
      <c r="K24" s="35">
        <f t="shared" si="38"/>
        <v>0.21093784986878528</v>
      </c>
      <c r="L24" s="35">
        <f t="shared" si="38"/>
        <v>0.19770955057427864</v>
      </c>
      <c r="M24" s="35">
        <f t="shared" si="38"/>
        <v>0.17832167832167833</v>
      </c>
      <c r="N24" s="35">
        <f t="shared" si="38"/>
        <v>0.15837221358216683</v>
      </c>
      <c r="O24" s="35">
        <f t="shared" si="38"/>
        <v>0.13264299802761328</v>
      </c>
      <c r="P24" s="36">
        <f t="shared" si="38"/>
        <v>4.0343148620449749E-2</v>
      </c>
      <c r="Q24" s="69">
        <f t="shared" ref="Q24:Q25" si="39">(Q4-M4)/M4</f>
        <v>-1</v>
      </c>
      <c r="R24" s="69">
        <f t="shared" ref="R24:R25" si="40">(R4-N4)/N4</f>
        <v>-1</v>
      </c>
      <c r="S24" s="69">
        <f t="shared" ref="S24:S25" si="41">(S4-O4)/O4</f>
        <v>-1</v>
      </c>
      <c r="W24" s="10"/>
      <c r="X24" s="10">
        <f t="shared" ref="X24:Z24" si="42">(X4-W4)/W4</f>
        <v>0.48487641070095461</v>
      </c>
      <c r="Y24" s="10">
        <f t="shared" si="42"/>
        <v>0.5455580110497239</v>
      </c>
      <c r="Z24" s="10">
        <f t="shared" si="42"/>
        <v>0.41598330866810118</v>
      </c>
      <c r="AA24" s="10">
        <f t="shared" ref="AA24:AM24" si="43">(AA4-Z4)/Z4</f>
        <v>0.28186800656710548</v>
      </c>
      <c r="AB24" s="10">
        <f t="shared" si="43"/>
        <v>0.16568984260528441</v>
      </c>
      <c r="AC24" s="11">
        <f t="shared" si="43"/>
        <v>7.4999999999999997E-2</v>
      </c>
      <c r="AD24" s="10">
        <f t="shared" si="43"/>
        <v>0.10000000000000003</v>
      </c>
      <c r="AE24" s="10">
        <f t="shared" si="43"/>
        <v>0.11000000000000008</v>
      </c>
      <c r="AF24" s="10">
        <f t="shared" si="43"/>
        <v>0.11000000000000017</v>
      </c>
      <c r="AG24" s="10">
        <f t="shared" si="43"/>
        <v>0.11000000000000014</v>
      </c>
      <c r="AH24" s="10">
        <f t="shared" si="43"/>
        <v>0.11000000000000003</v>
      </c>
      <c r="AI24" s="10">
        <f t="shared" si="43"/>
        <v>0.11000000000000008</v>
      </c>
      <c r="AJ24" s="10">
        <f t="shared" si="43"/>
        <v>0.11000000000000011</v>
      </c>
      <c r="AK24" s="10">
        <f t="shared" si="43"/>
        <v>0.11000000000000014</v>
      </c>
      <c r="AL24" s="10">
        <f t="shared" si="43"/>
        <v>0.11000000000000018</v>
      </c>
      <c r="AM24" s="10">
        <f t="shared" si="43"/>
        <v>0.11000000000000006</v>
      </c>
      <c r="AO24" s="22" t="s">
        <v>93</v>
      </c>
      <c r="AP24" s="23">
        <f>AP23*B11</f>
        <v>232918.93577263138</v>
      </c>
    </row>
    <row r="25" spans="3:126" x14ac:dyDescent="0.25">
      <c r="C25" s="1" t="s">
        <v>88</v>
      </c>
      <c r="D25" s="35"/>
      <c r="E25" s="35"/>
      <c r="F25" s="35"/>
      <c r="G25" s="35"/>
      <c r="H25" s="35">
        <f t="shared" si="38"/>
        <v>0.11508828250401287</v>
      </c>
      <c r="I25" s="39">
        <f t="shared" si="38"/>
        <v>5.7633587786259627E-2</v>
      </c>
      <c r="J25" s="39">
        <f t="shared" si="38"/>
        <v>-1.9089574155653412E-2</v>
      </c>
      <c r="K25" s="39">
        <f t="shared" si="38"/>
        <v>-3.7679401100188935E-2</v>
      </c>
      <c r="L25" s="39">
        <f t="shared" si="38"/>
        <v>9.0686627321145165E-3</v>
      </c>
      <c r="M25" s="39">
        <f t="shared" si="38"/>
        <v>1.4796102490075661E-2</v>
      </c>
      <c r="N25" s="39">
        <f t="shared" si="38"/>
        <v>8.5329341317365318E-2</v>
      </c>
      <c r="O25" s="39">
        <f t="shared" si="38"/>
        <v>6.5902578796561723E-2</v>
      </c>
      <c r="P25" s="36">
        <f t="shared" si="38"/>
        <v>3.138373751783171E-2</v>
      </c>
      <c r="Q25" s="69">
        <f t="shared" si="39"/>
        <v>-1</v>
      </c>
      <c r="R25" s="39">
        <f t="shared" si="40"/>
        <v>-1</v>
      </c>
      <c r="S25" s="39">
        <f t="shared" si="41"/>
        <v>-1</v>
      </c>
      <c r="T25" s="22"/>
      <c r="U25" s="22"/>
      <c r="V25" s="22"/>
      <c r="W25" s="33"/>
      <c r="X25" s="33">
        <f>(X5-W5)/W5</f>
        <v>273.13846153846151</v>
      </c>
      <c r="Y25" s="33">
        <f>(Y5-X5)/X5</f>
        <v>11.881699309725574</v>
      </c>
      <c r="Z25" s="33">
        <f t="shared" ref="Z25" si="44">(Z5-Y5)/Y5</f>
        <v>0.1694439724839788</v>
      </c>
      <c r="AA25" s="33">
        <f t="shared" ref="AA25:AM25" si="45">(AA5-Z5)/Z5</f>
        <v>2.5749442132673831E-2</v>
      </c>
      <c r="AB25" s="33">
        <f t="shared" si="45"/>
        <v>4.3418257095643377E-2</v>
      </c>
      <c r="AC25" s="34">
        <f t="shared" si="45"/>
        <v>5.0000000000000037E-2</v>
      </c>
      <c r="AD25" s="33">
        <f t="shared" si="45"/>
        <v>5.9999999999999977E-2</v>
      </c>
      <c r="AE25" s="33">
        <f t="shared" si="45"/>
        <v>6.0000000000000067E-2</v>
      </c>
      <c r="AF25" s="33">
        <f t="shared" si="45"/>
        <v>6.0000000000000116E-2</v>
      </c>
      <c r="AG25" s="33">
        <f t="shared" si="45"/>
        <v>6.0000000000000123E-2</v>
      </c>
      <c r="AH25" s="33">
        <f t="shared" si="45"/>
        <v>6.0000000000000081E-2</v>
      </c>
      <c r="AI25" s="33">
        <f t="shared" si="45"/>
        <v>6.0000000000000102E-2</v>
      </c>
      <c r="AJ25" s="33">
        <f t="shared" si="45"/>
        <v>6.0000000000000053E-2</v>
      </c>
      <c r="AK25" s="33">
        <f t="shared" si="45"/>
        <v>6.0000000000000019E-2</v>
      </c>
      <c r="AL25" s="33">
        <f t="shared" si="45"/>
        <v>0.06</v>
      </c>
      <c r="AM25" s="33">
        <f t="shared" si="45"/>
        <v>6.0000000000000088E-2</v>
      </c>
      <c r="AO25" s="1" t="s">
        <v>94</v>
      </c>
      <c r="AP25" s="16">
        <f>AP24/AM19</f>
        <v>1132.8166127110667</v>
      </c>
    </row>
    <row r="26" spans="3:126" x14ac:dyDescent="0.25">
      <c r="C26" s="40" t="s">
        <v>105</v>
      </c>
      <c r="D26" s="41">
        <f t="shared" ref="D26:O26" si="46">D10/D7</f>
        <v>0.7029100367197062</v>
      </c>
      <c r="E26" s="41">
        <f t="shared" si="46"/>
        <v>0.69261627906976753</v>
      </c>
      <c r="F26" s="41">
        <f t="shared" si="46"/>
        <v>0.68951915455746371</v>
      </c>
      <c r="G26" s="41">
        <f t="shared" si="46"/>
        <v>0.68599440463335615</v>
      </c>
      <c r="H26" s="41">
        <f t="shared" si="46"/>
        <v>0.69873409470778025</v>
      </c>
      <c r="I26" s="37">
        <f t="shared" si="46"/>
        <v>0.70666666666666667</v>
      </c>
      <c r="J26" s="37">
        <f t="shared" si="46"/>
        <v>0.7038378258948299</v>
      </c>
      <c r="K26" s="37">
        <f t="shared" si="46"/>
        <v>0.70898822044594023</v>
      </c>
      <c r="L26" s="37">
        <f t="shared" si="46"/>
        <v>0.68953928998803349</v>
      </c>
      <c r="M26" s="37">
        <f t="shared" si="46"/>
        <v>0.68008851298190398</v>
      </c>
      <c r="N26" s="37">
        <f t="shared" si="46"/>
        <v>0.71717122873672379</v>
      </c>
      <c r="O26" s="37">
        <f t="shared" si="46"/>
        <v>0.72762984478765458</v>
      </c>
      <c r="P26" s="62">
        <f t="shared" ref="P26:S26" si="47">P10/P7</f>
        <v>0.65649136276391551</v>
      </c>
      <c r="Q26" s="41" t="e">
        <f t="shared" si="47"/>
        <v>#DIV/0!</v>
      </c>
      <c r="R26" s="68" t="e">
        <f t="shared" si="47"/>
        <v>#DIV/0!</v>
      </c>
      <c r="S26" s="68" t="e">
        <f t="shared" si="47"/>
        <v>#DIV/0!</v>
      </c>
      <c r="T26" s="6"/>
      <c r="U26" s="6"/>
      <c r="V26" s="6"/>
      <c r="W26" s="37">
        <f t="shared" ref="W26:Y26" si="48">W10/W7</f>
        <v>0.50019685469935926</v>
      </c>
      <c r="X26" s="37">
        <f t="shared" si="48"/>
        <v>0.59180947863749267</v>
      </c>
      <c r="Y26" s="37">
        <f t="shared" si="48"/>
        <v>0.68737444761629418</v>
      </c>
      <c r="Z26" s="37">
        <f t="shared" ref="Z26:AM26" si="49">Z10/Z7</f>
        <v>0.69226856491714606</v>
      </c>
      <c r="AA26" s="37">
        <f t="shared" si="49"/>
        <v>0.7046738969081795</v>
      </c>
      <c r="AB26" s="37">
        <f t="shared" si="49"/>
        <v>0.70535189231718409</v>
      </c>
      <c r="AC26" s="38">
        <f t="shared" si="49"/>
        <v>0.6591288111402519</v>
      </c>
      <c r="AD26" s="37">
        <f t="shared" si="49"/>
        <v>0.66675717184181404</v>
      </c>
      <c r="AE26" s="37">
        <f t="shared" si="49"/>
        <v>0.67480520825663148</v>
      </c>
      <c r="AF26" s="37">
        <f t="shared" si="49"/>
        <v>0.68272759179021691</v>
      </c>
      <c r="AG26" s="37">
        <f t="shared" si="49"/>
        <v>0.69052153430440999</v>
      </c>
      <c r="AH26" s="37">
        <f t="shared" si="49"/>
        <v>0.6981846325600588</v>
      </c>
      <c r="AI26" s="37">
        <f t="shared" si="49"/>
        <v>0.70571485069562534</v>
      </c>
      <c r="AJ26" s="37">
        <f t="shared" si="49"/>
        <v>0.71311050243411589</v>
      </c>
      <c r="AK26" s="37">
        <f t="shared" si="49"/>
        <v>0.7203702331504771</v>
      </c>
      <c r="AL26" s="37">
        <f t="shared" si="49"/>
        <v>0.72749300191923916</v>
      </c>
      <c r="AM26" s="37">
        <f t="shared" si="49"/>
        <v>0.81611461491576787</v>
      </c>
      <c r="AP26" s="16"/>
    </row>
    <row r="27" spans="3:126" x14ac:dyDescent="0.25">
      <c r="C27" s="1" t="s">
        <v>106</v>
      </c>
      <c r="D27" s="35">
        <f t="shared" ref="D27:O27" si="50">D13/D7</f>
        <v>0.63377600979192161</v>
      </c>
      <c r="E27" s="35">
        <f t="shared" si="50"/>
        <v>0.62390116279069763</v>
      </c>
      <c r="F27" s="35">
        <f t="shared" si="50"/>
        <v>0.62446763540290617</v>
      </c>
      <c r="G27" s="35">
        <f t="shared" si="50"/>
        <v>0.61353686070481994</v>
      </c>
      <c r="H27" s="35">
        <f t="shared" si="50"/>
        <v>0.63197493330601939</v>
      </c>
      <c r="I27" s="35">
        <f t="shared" si="50"/>
        <v>0.63824746358329087</v>
      </c>
      <c r="J27" s="35">
        <f t="shared" si="50"/>
        <v>0.63432390631904556</v>
      </c>
      <c r="K27" s="35">
        <f t="shared" si="50"/>
        <v>0.63670172486327303</v>
      </c>
      <c r="L27" s="35">
        <f t="shared" si="50"/>
        <v>0.62138013562026317</v>
      </c>
      <c r="M27" s="35">
        <f t="shared" si="50"/>
        <v>0.61195712037765537</v>
      </c>
      <c r="N27" s="35">
        <f t="shared" si="50"/>
        <v>0.65486572834815637</v>
      </c>
      <c r="O27" s="35">
        <f t="shared" si="50"/>
        <v>0.66792011618533342</v>
      </c>
      <c r="P27" s="36">
        <f t="shared" ref="P27:S27" si="51">P13/P7</f>
        <v>0.58251631477927057</v>
      </c>
      <c r="Q27" s="69" t="e">
        <f t="shared" si="51"/>
        <v>#DIV/0!</v>
      </c>
      <c r="R27" s="69" t="e">
        <f t="shared" si="51"/>
        <v>#DIV/0!</v>
      </c>
      <c r="S27" s="69" t="e">
        <f t="shared" si="51"/>
        <v>#DIV/0!</v>
      </c>
      <c r="W27" s="35">
        <f t="shared" ref="W27:Y27" si="52">W13/W7</f>
        <v>0.43054310024278747</v>
      </c>
      <c r="X27" s="35">
        <f t="shared" si="52"/>
        <v>0.53383533724784649</v>
      </c>
      <c r="Y27" s="35">
        <f t="shared" si="52"/>
        <v>0.61191810826767412</v>
      </c>
      <c r="Z27" s="35">
        <f t="shared" ref="Z27:AM27" si="53">Z13/Z7</f>
        <v>0.62336454371971051</v>
      </c>
      <c r="AA27" s="35">
        <f t="shared" si="53"/>
        <v>0.63535353479194656</v>
      </c>
      <c r="AB27" s="35">
        <f t="shared" si="53"/>
        <v>0.64111599605791725</v>
      </c>
      <c r="AC27" s="36">
        <f t="shared" si="53"/>
        <v>0.59157385573903254</v>
      </c>
      <c r="AD27" s="35">
        <f t="shared" si="53"/>
        <v>0.5963965135958319</v>
      </c>
      <c r="AE27" s="35">
        <f t="shared" si="53"/>
        <v>0.6046608499742</v>
      </c>
      <c r="AF27" s="35">
        <f t="shared" si="53"/>
        <v>0.61281533396250398</v>
      </c>
      <c r="AG27" s="35">
        <f t="shared" si="53"/>
        <v>0.62085645785066179</v>
      </c>
      <c r="AH27" s="35">
        <f t="shared" si="53"/>
        <v>0.62878110874329241</v>
      </c>
      <c r="AI27" s="35">
        <f t="shared" si="53"/>
        <v>0.63658655246112716</v>
      </c>
      <c r="AJ27" s="35">
        <f t="shared" si="53"/>
        <v>0.64427041701189225</v>
      </c>
      <c r="AK27" s="35">
        <f t="shared" si="53"/>
        <v>0.65183067576940434</v>
      </c>
      <c r="AL27" s="35">
        <f t="shared" si="53"/>
        <v>0.65926563048778941</v>
      </c>
      <c r="AM27" s="35">
        <f t="shared" si="53"/>
        <v>0.66657389426599689</v>
      </c>
      <c r="AO27" s="6" t="s">
        <v>96</v>
      </c>
      <c r="AP27" s="37">
        <f>(AP25-B4)/B4</f>
        <v>0.5932723104234412</v>
      </c>
    </row>
    <row r="29" spans="3:126" x14ac:dyDescent="0.25">
      <c r="C29" s="1" t="s">
        <v>72</v>
      </c>
      <c r="D29" s="2">
        <v>14341</v>
      </c>
      <c r="E29" s="2">
        <v>15297</v>
      </c>
      <c r="F29" s="2">
        <v>15917</v>
      </c>
      <c r="G29" s="2">
        <v>17026</v>
      </c>
      <c r="H29" s="2">
        <v>17331</v>
      </c>
      <c r="I29" s="2">
        <v>17447</v>
      </c>
      <c r="J29" s="2">
        <v>17823</v>
      </c>
      <c r="K29" s="2">
        <v>19221</v>
      </c>
      <c r="L29" s="2">
        <v>20537</v>
      </c>
      <c r="M29" s="2">
        <v>21141</v>
      </c>
      <c r="N29" s="2">
        <v>20772</v>
      </c>
      <c r="O29" s="2">
        <v>21252</v>
      </c>
      <c r="P29" s="5">
        <v>22223</v>
      </c>
    </row>
    <row r="30" spans="3:126" x14ac:dyDescent="0.25">
      <c r="C30" s="1" t="s">
        <v>148</v>
      </c>
      <c r="H30" s="10">
        <f>(H29-D29)/D29</f>
        <v>0.20849313158078236</v>
      </c>
      <c r="I30" s="10">
        <f t="shared" ref="I30:N30" si="54">(I29-E29)/E29</f>
        <v>0.14055043472576323</v>
      </c>
      <c r="J30" s="10">
        <f t="shared" si="54"/>
        <v>0.11974618332600365</v>
      </c>
      <c r="K30" s="10">
        <f t="shared" si="54"/>
        <v>0.1289204745683073</v>
      </c>
      <c r="L30" s="10">
        <f t="shared" si="54"/>
        <v>0.18498644048237262</v>
      </c>
      <c r="M30" s="10">
        <f t="shared" si="54"/>
        <v>0.21172694446036569</v>
      </c>
      <c r="N30" s="10">
        <f t="shared" si="54"/>
        <v>0.16546036020871907</v>
      </c>
      <c r="O30" s="10">
        <f>(O29-K29)/K29</f>
        <v>0.10566567816450757</v>
      </c>
      <c r="P30" s="11">
        <f>(P29-L29)/L29</f>
        <v>8.2095729658664851E-2</v>
      </c>
      <c r="Q30" s="70">
        <f t="shared" ref="Q30:S30" si="55">(Q29-M29)/M29</f>
        <v>-1</v>
      </c>
      <c r="R30" s="70">
        <f t="shared" si="55"/>
        <v>-1</v>
      </c>
      <c r="S30" s="70">
        <f t="shared" si="55"/>
        <v>-1</v>
      </c>
    </row>
    <row r="32" spans="3:126" x14ac:dyDescent="0.25">
      <c r="C32" s="12" t="s">
        <v>131</v>
      </c>
    </row>
    <row r="34" spans="3:19" x14ac:dyDescent="0.25">
      <c r="C34" s="1" t="s">
        <v>36</v>
      </c>
      <c r="D34" s="2">
        <v>2183.203</v>
      </c>
      <c r="E34" s="2">
        <v>2233.5940000000001</v>
      </c>
      <c r="F34" s="2">
        <v>2361.4110000000001</v>
      </c>
      <c r="G34" s="2">
        <v>2315.3319999999999</v>
      </c>
      <c r="H34" s="2">
        <v>2306.5520000000001</v>
      </c>
      <c r="I34" s="2">
        <v>2233.5940000000001</v>
      </c>
      <c r="J34" s="2">
        <v>2262.373</v>
      </c>
      <c r="K34" s="2">
        <v>2324.0050000000001</v>
      </c>
      <c r="L34" s="2">
        <v>2265.5639999999999</v>
      </c>
      <c r="M34" s="2">
        <v>2293.096</v>
      </c>
      <c r="N34" s="2">
        <v>2297.9940000000001</v>
      </c>
      <c r="O34" s="2">
        <v>2276.5239999999999</v>
      </c>
      <c r="P34" s="5">
        <v>2366.1680000000001</v>
      </c>
    </row>
    <row r="35" spans="3:19" x14ac:dyDescent="0.25">
      <c r="C35" s="1" t="s">
        <v>37</v>
      </c>
      <c r="D35" s="2">
        <v>743.36699999999996</v>
      </c>
      <c r="E35" s="2">
        <v>699.30899999999997</v>
      </c>
      <c r="F35" s="2">
        <v>766.19799999999998</v>
      </c>
      <c r="G35" s="2">
        <v>742.928</v>
      </c>
      <c r="H35" s="2">
        <v>731.51199999999994</v>
      </c>
      <c r="I35" s="2">
        <v>699.30899999999997</v>
      </c>
      <c r="J35" s="2">
        <v>698.82500000000005</v>
      </c>
      <c r="K35" s="2">
        <v>714.50900000000001</v>
      </c>
      <c r="L35" s="2">
        <v>690.93100000000004</v>
      </c>
      <c r="M35" s="2">
        <v>697.63800000000003</v>
      </c>
      <c r="N35" s="2">
        <v>699.92499999999995</v>
      </c>
      <c r="O35" s="2">
        <v>692.399</v>
      </c>
      <c r="P35" s="5">
        <v>709.8</v>
      </c>
    </row>
    <row r="36" spans="3:19" x14ac:dyDescent="0.25">
      <c r="C36" s="1" t="s">
        <v>38</v>
      </c>
      <c r="D36" s="2">
        <v>11.353999999999999</v>
      </c>
      <c r="E36" s="2">
        <v>11</v>
      </c>
      <c r="F36" s="2">
        <v>11.242000000000001</v>
      </c>
      <c r="G36" s="2">
        <v>11.186999999999999</v>
      </c>
      <c r="H36" s="2">
        <v>11.132999999999999</v>
      </c>
      <c r="I36" s="2">
        <v>11.077999999999999</v>
      </c>
      <c r="J36" s="2">
        <v>11.023</v>
      </c>
      <c r="K36" s="2">
        <v>10.968</v>
      </c>
      <c r="L36" s="2">
        <v>20.486999999999998</v>
      </c>
      <c r="M36" s="2">
        <v>20.073</v>
      </c>
      <c r="N36" s="2">
        <v>19.864999999999998</v>
      </c>
      <c r="O36" s="2">
        <v>20.126000000000001</v>
      </c>
      <c r="P36" s="5">
        <v>19.875</v>
      </c>
    </row>
    <row r="37" spans="3:19" x14ac:dyDescent="0.25">
      <c r="C37" s="1" t="s">
        <v>39</v>
      </c>
      <c r="D37" s="2">
        <v>52.741</v>
      </c>
      <c r="E37" s="2">
        <v>68.849000000000004</v>
      </c>
      <c r="F37" s="2">
        <v>59.518000000000001</v>
      </c>
      <c r="G37" s="2">
        <v>67.900000000000006</v>
      </c>
      <c r="H37" s="2">
        <v>69.025999999999996</v>
      </c>
      <c r="I37" s="2">
        <v>68.849000000000004</v>
      </c>
      <c r="J37" s="2">
        <v>69.753</v>
      </c>
      <c r="K37" s="2">
        <v>70.382000000000005</v>
      </c>
      <c r="L37" s="2">
        <v>70.474999999999994</v>
      </c>
      <c r="M37" s="2">
        <v>69.221999999999994</v>
      </c>
      <c r="N37" s="2">
        <v>72.058000000000007</v>
      </c>
      <c r="O37" s="2">
        <v>83.673000000000002</v>
      </c>
      <c r="P37" s="5">
        <v>83.45</v>
      </c>
    </row>
    <row r="38" spans="3:19" x14ac:dyDescent="0.25">
      <c r="C38" s="1" t="s">
        <v>40</v>
      </c>
      <c r="D38" s="2">
        <v>78.680000000000007</v>
      </c>
      <c r="E38" s="2">
        <v>119.05500000000001</v>
      </c>
      <c r="F38" s="2">
        <v>105.373</v>
      </c>
      <c r="G38" s="2">
        <v>110.996</v>
      </c>
      <c r="H38" s="2">
        <v>115.83799999999999</v>
      </c>
      <c r="I38" s="2">
        <v>119.05500000000001</v>
      </c>
      <c r="J38" s="2">
        <v>121.056</v>
      </c>
      <c r="K38" s="2">
        <v>121.10599999999999</v>
      </c>
      <c r="L38" s="2">
        <v>123.666</v>
      </c>
      <c r="M38" s="2">
        <v>132.45500000000001</v>
      </c>
      <c r="N38" s="2">
        <v>135.821</v>
      </c>
      <c r="O38" s="2">
        <v>147.49299999999999</v>
      </c>
      <c r="P38" s="5">
        <v>151.79300000000001</v>
      </c>
    </row>
    <row r="39" spans="3:19" x14ac:dyDescent="0.25">
      <c r="C39" s="1" t="s">
        <v>103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100.824</v>
      </c>
      <c r="P39" s="5">
        <v>101.6</v>
      </c>
    </row>
    <row r="40" spans="3:19" x14ac:dyDescent="0.25">
      <c r="C40" s="1" t="s">
        <v>41</v>
      </c>
      <c r="D40" s="2">
        <v>10.233000000000001</v>
      </c>
      <c r="E40" s="2">
        <v>7.742</v>
      </c>
      <c r="F40" s="2">
        <v>9.6539999999999999</v>
      </c>
      <c r="G40" s="2">
        <v>8.8680000000000003</v>
      </c>
      <c r="H40" s="2">
        <v>8.4819999999999993</v>
      </c>
      <c r="I40" s="2">
        <v>7.742</v>
      </c>
      <c r="J40" s="2">
        <v>7.5309999999999997</v>
      </c>
      <c r="K40" s="2">
        <v>6.7789999999999999</v>
      </c>
      <c r="L40" s="2">
        <v>11.507</v>
      </c>
      <c r="M40" s="2">
        <v>9.9329999999999998</v>
      </c>
      <c r="N40" s="2">
        <v>110.36199999999999</v>
      </c>
      <c r="O40" s="2">
        <v>10.537000000000001</v>
      </c>
      <c r="P40" s="5">
        <v>10.6</v>
      </c>
    </row>
    <row r="41" spans="3:19" x14ac:dyDescent="0.25">
      <c r="C41" s="1" t="s">
        <v>42</v>
      </c>
      <c r="D41" s="2">
        <v>2.7269999999999999</v>
      </c>
      <c r="E41" s="2">
        <v>3.069</v>
      </c>
      <c r="F41" s="2">
        <v>2.718</v>
      </c>
      <c r="G41" s="2">
        <v>2.7850000000000001</v>
      </c>
      <c r="H41" s="2">
        <v>2.6869999999999998</v>
      </c>
      <c r="I41" s="2">
        <v>3.069</v>
      </c>
      <c r="J41" s="2">
        <v>3.794</v>
      </c>
      <c r="K41" s="2">
        <v>3.4710000000000001</v>
      </c>
      <c r="L41" s="2">
        <v>5.2480000000000002</v>
      </c>
      <c r="M41" s="2">
        <v>8.1460000000000008</v>
      </c>
      <c r="N41" s="2">
        <v>10.255000000000001</v>
      </c>
      <c r="O41" s="2">
        <v>9.3019999999999996</v>
      </c>
      <c r="P41" s="5">
        <v>8.6999999999999993</v>
      </c>
    </row>
    <row r="42" spans="3:19" x14ac:dyDescent="0.25">
      <c r="C42" s="13" t="s">
        <v>43</v>
      </c>
      <c r="D42" s="32">
        <f t="shared" ref="D42:M42" si="56">SUM(D34:D41)</f>
        <v>3082.3049999999994</v>
      </c>
      <c r="E42" s="32">
        <f t="shared" si="56"/>
        <v>3142.6180000000004</v>
      </c>
      <c r="F42" s="32">
        <f t="shared" si="56"/>
        <v>3316.114</v>
      </c>
      <c r="G42" s="32">
        <f t="shared" si="56"/>
        <v>3259.9959999999996</v>
      </c>
      <c r="H42" s="32">
        <f>SUM(H34:H41)</f>
        <v>3245.23</v>
      </c>
      <c r="I42" s="32">
        <f>SUM(I34:I41)</f>
        <v>3142.6960000000004</v>
      </c>
      <c r="J42" s="32">
        <f>SUM(J34:J41)</f>
        <v>3174.3550000000005</v>
      </c>
      <c r="K42" s="32">
        <f>SUM(K34:K41)</f>
        <v>3251.2200000000003</v>
      </c>
      <c r="L42" s="32">
        <f>SUM(L34:L41)</f>
        <v>3187.8780000000002</v>
      </c>
      <c r="M42" s="32">
        <f t="shared" si="56"/>
        <v>3230.5630000000001</v>
      </c>
      <c r="N42" s="32">
        <f>SUM(N34:N41)</f>
        <v>3346.2799999999997</v>
      </c>
      <c r="O42" s="32">
        <f>SUM(O34:O41)</f>
        <v>3340.8779999999997</v>
      </c>
      <c r="P42" s="14">
        <f>SUM(P34:P41)</f>
        <v>3451.9859999999994</v>
      </c>
      <c r="Q42" s="71">
        <f t="shared" ref="Q42:S42" si="57">SUM(Q34:Q41)</f>
        <v>0</v>
      </c>
      <c r="R42" s="71">
        <f t="shared" si="57"/>
        <v>0</v>
      </c>
      <c r="S42" s="71">
        <f t="shared" si="57"/>
        <v>0</v>
      </c>
    </row>
    <row r="43" spans="3:19" x14ac:dyDescent="0.25">
      <c r="C43" s="1" t="s">
        <v>44</v>
      </c>
      <c r="D43" s="2">
        <v>234.459</v>
      </c>
      <c r="E43" s="2">
        <v>316.12599999999998</v>
      </c>
      <c r="F43" s="2">
        <v>265.41899999999998</v>
      </c>
      <c r="G43" s="2">
        <v>277.012</v>
      </c>
      <c r="H43" s="2">
        <v>287.87200000000001</v>
      </c>
      <c r="I43" s="2">
        <v>316.12599999999998</v>
      </c>
      <c r="J43" s="2">
        <v>326.56</v>
      </c>
      <c r="K43" s="2">
        <v>348.42</v>
      </c>
      <c r="L43" s="2">
        <v>396.815</v>
      </c>
      <c r="M43" s="2">
        <v>358.108</v>
      </c>
      <c r="N43" s="2">
        <v>353.685</v>
      </c>
      <c r="O43" s="2">
        <v>408.98500000000001</v>
      </c>
      <c r="P43" s="5">
        <v>390.73500000000001</v>
      </c>
      <c r="R43" s="74"/>
      <c r="S43" s="74"/>
    </row>
    <row r="44" spans="3:19" x14ac:dyDescent="0.25">
      <c r="C44" s="1" t="s">
        <v>49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231.99199999999999</v>
      </c>
      <c r="J44" s="2">
        <v>0</v>
      </c>
      <c r="K44" s="2">
        <v>0</v>
      </c>
      <c r="L44" s="2">
        <v>0</v>
      </c>
      <c r="M44" s="2">
        <v>447.77199999999999</v>
      </c>
      <c r="N44" s="2">
        <v>552.36400000000003</v>
      </c>
      <c r="O44" s="2">
        <v>726.601</v>
      </c>
      <c r="P44" s="5">
        <v>820.28700000000003</v>
      </c>
      <c r="R44" s="74"/>
      <c r="S44" s="74"/>
    </row>
    <row r="45" spans="3:19" x14ac:dyDescent="0.25">
      <c r="C45" s="1" t="s">
        <v>45</v>
      </c>
      <c r="D45" s="2">
        <v>216.92599999999999</v>
      </c>
      <c r="E45" s="2">
        <v>251.637</v>
      </c>
      <c r="F45" s="2">
        <v>262.35000000000002</v>
      </c>
      <c r="G45" s="2">
        <v>262.346</v>
      </c>
      <c r="H45" s="2">
        <v>328.49099999999999</v>
      </c>
      <c r="I45" s="2">
        <v>19.645</v>
      </c>
      <c r="J45" s="2">
        <v>328.54</v>
      </c>
      <c r="K45" s="2">
        <v>342.06599999999997</v>
      </c>
      <c r="L45" s="2">
        <v>434.983</v>
      </c>
      <c r="M45" s="2">
        <v>31.73</v>
      </c>
      <c r="N45" s="2">
        <v>32.982999999999997</v>
      </c>
      <c r="O45" s="2">
        <v>31.786999999999999</v>
      </c>
      <c r="P45" s="5">
        <v>26.5</v>
      </c>
      <c r="R45" s="74"/>
      <c r="S45" s="74"/>
    </row>
    <row r="46" spans="3:19" x14ac:dyDescent="0.25">
      <c r="C46" s="1" t="s">
        <v>46</v>
      </c>
      <c r="D46" s="2">
        <v>36.896999999999998</v>
      </c>
      <c r="E46" s="2">
        <v>33.524999999999999</v>
      </c>
      <c r="F46" s="2">
        <v>38.671999999999997</v>
      </c>
      <c r="G46" s="2">
        <v>37.463000000000001</v>
      </c>
      <c r="H46" s="2">
        <v>34.93</v>
      </c>
      <c r="I46" s="2">
        <v>33.524999999999999</v>
      </c>
      <c r="J46" s="2">
        <v>32.396000000000001</v>
      </c>
      <c r="K46" s="2">
        <v>46.021999999999998</v>
      </c>
      <c r="L46" s="2">
        <v>45.622</v>
      </c>
      <c r="M46" s="2">
        <v>42.804000000000002</v>
      </c>
      <c r="N46" s="2">
        <v>39.078000000000003</v>
      </c>
      <c r="O46" s="2">
        <v>37.046999999999997</v>
      </c>
      <c r="P46" s="5">
        <v>35.799999999999997</v>
      </c>
      <c r="R46" s="74"/>
      <c r="S46" s="74"/>
    </row>
    <row r="47" spans="3:19" x14ac:dyDescent="0.25">
      <c r="C47" s="1" t="s">
        <v>2</v>
      </c>
      <c r="D47" s="2">
        <v>439.51600000000002</v>
      </c>
      <c r="E47" s="2">
        <v>541.70699999999999</v>
      </c>
      <c r="F47" s="2">
        <v>319.666</v>
      </c>
      <c r="G47" s="2">
        <v>532.55399999999997</v>
      </c>
      <c r="H47" s="2">
        <v>759.73599999999999</v>
      </c>
      <c r="I47" s="2">
        <v>541.70699999999999</v>
      </c>
      <c r="J47" s="2">
        <v>813.32</v>
      </c>
      <c r="K47" s="2">
        <v>985.75599999999997</v>
      </c>
      <c r="L47" s="2">
        <v>974.125</v>
      </c>
      <c r="M47" s="2">
        <v>688.68700000000001</v>
      </c>
      <c r="N47" s="2">
        <v>663.73</v>
      </c>
      <c r="O47" s="2">
        <v>801.47400000000005</v>
      </c>
      <c r="P47" s="5">
        <v>969.2</v>
      </c>
      <c r="R47" s="74"/>
      <c r="S47" s="74"/>
    </row>
    <row r="48" spans="3:19" x14ac:dyDescent="0.25">
      <c r="C48" s="13" t="s">
        <v>47</v>
      </c>
      <c r="D48" s="32">
        <f t="shared" ref="D48:M48" si="58">SUM(D43:D47)</f>
        <v>927.798</v>
      </c>
      <c r="E48" s="32">
        <f t="shared" si="58"/>
        <v>1142.9949999999999</v>
      </c>
      <c r="F48" s="32">
        <f t="shared" si="58"/>
        <v>886.10699999999997</v>
      </c>
      <c r="G48" s="32">
        <f t="shared" si="58"/>
        <v>1109.375</v>
      </c>
      <c r="H48" s="32">
        <f>SUM(H43:H47)</f>
        <v>1411.029</v>
      </c>
      <c r="I48" s="32">
        <f t="shared" si="58"/>
        <v>1142.9949999999999</v>
      </c>
      <c r="J48" s="32">
        <f t="shared" si="58"/>
        <v>1500.816</v>
      </c>
      <c r="K48" s="32">
        <f t="shared" si="58"/>
        <v>1722.2640000000001</v>
      </c>
      <c r="L48" s="32">
        <f>SUM(L43:L47)</f>
        <v>1851.5450000000001</v>
      </c>
      <c r="M48" s="32">
        <f t="shared" si="58"/>
        <v>1569.1010000000001</v>
      </c>
      <c r="N48" s="32">
        <f>SUM(N43:N47)</f>
        <v>1641.84</v>
      </c>
      <c r="O48" s="32">
        <f>SUM(O43:O47)</f>
        <v>2005.8940000000002</v>
      </c>
      <c r="P48" s="14">
        <f>SUM(P43:P47)</f>
        <v>2242.5219999999999</v>
      </c>
      <c r="Q48" s="71">
        <f t="shared" ref="Q48:S48" si="59">SUM(Q43:Q47)</f>
        <v>0</v>
      </c>
      <c r="R48" s="71">
        <f t="shared" si="59"/>
        <v>0</v>
      </c>
      <c r="S48" s="71">
        <f t="shared" si="59"/>
        <v>0</v>
      </c>
    </row>
    <row r="49" spans="3:19" x14ac:dyDescent="0.25">
      <c r="C49" s="6" t="s">
        <v>48</v>
      </c>
      <c r="D49" s="30">
        <f t="shared" ref="D49:M49" si="60">D42+D48</f>
        <v>4010.1029999999992</v>
      </c>
      <c r="E49" s="30">
        <f t="shared" si="60"/>
        <v>4285.6130000000003</v>
      </c>
      <c r="F49" s="30">
        <f t="shared" si="60"/>
        <v>4202.2209999999995</v>
      </c>
      <c r="G49" s="30">
        <f t="shared" si="60"/>
        <v>4369.3709999999992</v>
      </c>
      <c r="H49" s="30">
        <f t="shared" si="60"/>
        <v>4656.259</v>
      </c>
      <c r="I49" s="30">
        <f t="shared" si="60"/>
        <v>4285.6910000000007</v>
      </c>
      <c r="J49" s="30">
        <f t="shared" si="60"/>
        <v>4675.1710000000003</v>
      </c>
      <c r="K49" s="30">
        <f t="shared" si="60"/>
        <v>4973.4840000000004</v>
      </c>
      <c r="L49" s="30">
        <f>L42+L48</f>
        <v>5039.4230000000007</v>
      </c>
      <c r="M49" s="30">
        <f t="shared" si="60"/>
        <v>4799.6640000000007</v>
      </c>
      <c r="N49" s="30">
        <f>N42+N48</f>
        <v>4988.12</v>
      </c>
      <c r="O49" s="30">
        <f>O42+O48</f>
        <v>5346.7719999999999</v>
      </c>
      <c r="P49" s="15">
        <f>P42+P48</f>
        <v>5694.5079999999998</v>
      </c>
      <c r="Q49" s="72">
        <f t="shared" ref="Q49:S49" si="61">Q42+Q48</f>
        <v>0</v>
      </c>
      <c r="R49" s="72">
        <f t="shared" si="61"/>
        <v>0</v>
      </c>
      <c r="S49" s="72">
        <f t="shared" si="61"/>
        <v>0</v>
      </c>
    </row>
    <row r="50" spans="3:19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</row>
    <row r="51" spans="3:19" x14ac:dyDescent="0.25">
      <c r="C51" s="1" t="s">
        <v>50</v>
      </c>
      <c r="D51" s="2">
        <v>0.64700000000000002</v>
      </c>
      <c r="E51" s="2">
        <v>0.64800000000000002</v>
      </c>
      <c r="F51" s="2">
        <v>0.64700000000000002</v>
      </c>
      <c r="G51" s="2">
        <v>0.64700000000000002</v>
      </c>
      <c r="H51" s="2">
        <v>0.64800000000000002</v>
      </c>
      <c r="I51" s="2">
        <v>0.64800000000000002</v>
      </c>
      <c r="J51" s="2">
        <v>0.64800000000000002</v>
      </c>
      <c r="K51" s="2">
        <v>0.64800000000000002</v>
      </c>
      <c r="L51" s="2">
        <v>0.65</v>
      </c>
      <c r="M51" s="2">
        <v>0.65</v>
      </c>
      <c r="N51" s="2">
        <v>0.65</v>
      </c>
      <c r="O51" s="2">
        <v>0.65</v>
      </c>
      <c r="P51" s="5">
        <v>1</v>
      </c>
    </row>
    <row r="52" spans="3:19" x14ac:dyDescent="0.25">
      <c r="C52" s="1" t="s">
        <v>51</v>
      </c>
      <c r="D52" s="2">
        <v>2404.6089999999999</v>
      </c>
      <c r="E52" s="2">
        <v>2382.078</v>
      </c>
      <c r="F52" s="2">
        <v>2404.2069999999999</v>
      </c>
      <c r="G52" s="2">
        <v>2403.9630000000002</v>
      </c>
      <c r="H52" s="2">
        <v>2379.9749999999999</v>
      </c>
      <c r="I52" s="2">
        <v>2382.078</v>
      </c>
      <c r="J52" s="2">
        <v>2401.92</v>
      </c>
      <c r="K52" s="2">
        <v>2411.607</v>
      </c>
      <c r="L52" s="2">
        <v>2429.2739999999999</v>
      </c>
      <c r="M52" s="2">
        <v>2429.2669999999998</v>
      </c>
      <c r="N52" s="2">
        <v>2429.0770000000002</v>
      </c>
      <c r="O52" s="2">
        <v>2429.0529999999999</v>
      </c>
      <c r="P52" s="5">
        <v>2429.0529999999999</v>
      </c>
    </row>
    <row r="53" spans="3:19" x14ac:dyDescent="0.25">
      <c r="C53" s="1" t="s">
        <v>52</v>
      </c>
      <c r="D53" s="2">
        <v>-37.752000000000002</v>
      </c>
      <c r="E53" s="2">
        <v>-325.47199999999998</v>
      </c>
      <c r="F53" s="2">
        <v>-145.20099999999999</v>
      </c>
      <c r="G53" s="2">
        <v>-215.27799999999999</v>
      </c>
      <c r="H53" s="2">
        <v>-226.63399999999999</v>
      </c>
      <c r="I53" s="2">
        <v>-325.47199999999998</v>
      </c>
      <c r="J53" s="2">
        <v>-285.94299999999998</v>
      </c>
      <c r="K53" s="2">
        <v>-206.952</v>
      </c>
      <c r="L53" s="2">
        <v>-283.31900000000002</v>
      </c>
      <c r="M53" s="2">
        <v>-248.01400000000001</v>
      </c>
      <c r="N53" s="2">
        <v>-243.816</v>
      </c>
      <c r="O53" s="2">
        <v>-267.30099999999999</v>
      </c>
      <c r="P53" s="5">
        <v>-155.15299999999999</v>
      </c>
    </row>
    <row r="54" spans="3:19" x14ac:dyDescent="0.25">
      <c r="C54" s="1" t="s">
        <v>53</v>
      </c>
      <c r="D54" s="2">
        <v>925.78</v>
      </c>
      <c r="E54" s="2">
        <v>1359.7809999999999</v>
      </c>
      <c r="F54" s="2">
        <v>1046.674</v>
      </c>
      <c r="G54" s="2">
        <v>1270.9490000000001</v>
      </c>
      <c r="H54" s="2">
        <v>1522.64</v>
      </c>
      <c r="I54" s="2">
        <v>1359.7809999999999</v>
      </c>
      <c r="J54" s="2">
        <v>1633.17</v>
      </c>
      <c r="K54" s="2">
        <v>1800.912</v>
      </c>
      <c r="L54" s="2">
        <v>1786.6780000000001</v>
      </c>
      <c r="M54" s="2">
        <v>1496.924</v>
      </c>
      <c r="N54" s="2">
        <v>1582.3019999999999</v>
      </c>
      <c r="O54" s="2">
        <v>1809.433</v>
      </c>
      <c r="P54" s="5">
        <v>1910.4190000000001</v>
      </c>
    </row>
    <row r="55" spans="3:19" x14ac:dyDescent="0.25">
      <c r="C55" s="13" t="s">
        <v>54</v>
      </c>
      <c r="D55" s="32">
        <f t="shared" ref="D55:M55" si="62">SUM(D51:D54)</f>
        <v>3293.2839999999997</v>
      </c>
      <c r="E55" s="32">
        <f t="shared" si="62"/>
        <v>3417.0349999999999</v>
      </c>
      <c r="F55" s="32">
        <f t="shared" si="62"/>
        <v>3306.3269999999998</v>
      </c>
      <c r="G55" s="32">
        <f t="shared" si="62"/>
        <v>3460.2810000000004</v>
      </c>
      <c r="H55" s="32">
        <f t="shared" si="62"/>
        <v>3676.6289999999999</v>
      </c>
      <c r="I55" s="32">
        <f t="shared" si="62"/>
        <v>3417.0349999999999</v>
      </c>
      <c r="J55" s="32">
        <f t="shared" si="62"/>
        <v>3749.7950000000001</v>
      </c>
      <c r="K55" s="32">
        <f t="shared" si="62"/>
        <v>4006.2150000000001</v>
      </c>
      <c r="L55" s="32">
        <f t="shared" si="62"/>
        <v>3933.2830000000004</v>
      </c>
      <c r="M55" s="32">
        <f t="shared" si="62"/>
        <v>3678.8269999999998</v>
      </c>
      <c r="N55" s="32">
        <f>SUM(N51:N54)</f>
        <v>3768.2130000000006</v>
      </c>
      <c r="O55" s="32">
        <f>SUM(O51:O54)</f>
        <v>3971.835</v>
      </c>
      <c r="P55" s="14">
        <f>SUM(P51:P54)</f>
        <v>4185.3190000000004</v>
      </c>
      <c r="Q55" s="71">
        <f t="shared" ref="Q55:S55" si="63">SUM(Q51:Q54)</f>
        <v>0</v>
      </c>
      <c r="R55" s="71">
        <f t="shared" si="63"/>
        <v>0</v>
      </c>
      <c r="S55" s="71">
        <f t="shared" si="63"/>
        <v>0</v>
      </c>
    </row>
    <row r="56" spans="3:19" x14ac:dyDescent="0.25">
      <c r="C56" s="1" t="s">
        <v>55</v>
      </c>
      <c r="D56" s="2">
        <v>56.8</v>
      </c>
      <c r="E56" s="2">
        <v>61.238999999999997</v>
      </c>
      <c r="F56" s="2">
        <v>59.914000000000001</v>
      </c>
      <c r="G56" s="2">
        <v>66.113</v>
      </c>
      <c r="H56" s="2">
        <v>64.337000000000003</v>
      </c>
      <c r="I56" s="2">
        <v>61.238999999999997</v>
      </c>
      <c r="J56" s="2">
        <v>60.844999999999999</v>
      </c>
      <c r="K56" s="2">
        <v>61.393000000000001</v>
      </c>
      <c r="L56" s="2">
        <v>59.295999999999999</v>
      </c>
      <c r="M56" s="2">
        <v>60.192999999999998</v>
      </c>
      <c r="N56" s="2">
        <v>62.040999999999997</v>
      </c>
      <c r="O56" s="2">
        <v>62.975999999999999</v>
      </c>
      <c r="P56" s="5">
        <v>63.9</v>
      </c>
      <c r="R56" s="74"/>
      <c r="S56" s="74"/>
    </row>
    <row r="57" spans="3:19" x14ac:dyDescent="0.25">
      <c r="C57" s="1" t="s">
        <v>56</v>
      </c>
      <c r="D57" s="2">
        <v>50.164000000000001</v>
      </c>
      <c r="E57" s="2">
        <v>65.575999999999993</v>
      </c>
      <c r="F57" s="2">
        <v>52.036000000000001</v>
      </c>
      <c r="G57" s="2">
        <v>65.158000000000001</v>
      </c>
      <c r="H57" s="2">
        <v>65.769000000000005</v>
      </c>
      <c r="I57" s="2">
        <v>0</v>
      </c>
      <c r="J57" s="2">
        <v>65.704999999999998</v>
      </c>
      <c r="K57" s="2">
        <v>65.534000000000006</v>
      </c>
      <c r="L57" s="2">
        <v>65.289000000000001</v>
      </c>
      <c r="M57" s="2">
        <v>1.6040000000000001</v>
      </c>
      <c r="N57" s="2">
        <v>67.576999999999998</v>
      </c>
      <c r="O57" s="2">
        <v>77.394000000000005</v>
      </c>
      <c r="P57" s="5">
        <v>76.289000000000001</v>
      </c>
      <c r="R57" s="74"/>
      <c r="S57" s="74"/>
    </row>
    <row r="58" spans="3:19" x14ac:dyDescent="0.25">
      <c r="C58" s="1" t="s">
        <v>57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65.575999999999993</v>
      </c>
      <c r="J58" s="2">
        <v>0</v>
      </c>
      <c r="K58" s="2"/>
      <c r="L58" s="2">
        <v>0</v>
      </c>
      <c r="M58" s="2">
        <v>63.62</v>
      </c>
      <c r="N58" s="2">
        <v>1.609</v>
      </c>
      <c r="O58" s="2">
        <v>1.61</v>
      </c>
      <c r="P58" s="5">
        <v>2</v>
      </c>
      <c r="R58" s="74"/>
      <c r="S58" s="74"/>
    </row>
    <row r="59" spans="3:19" x14ac:dyDescent="0.25">
      <c r="C59" s="1" t="s">
        <v>58</v>
      </c>
      <c r="D59" s="2">
        <v>230</v>
      </c>
      <c r="E59" s="2">
        <v>352.75599999999997</v>
      </c>
      <c r="F59" s="2">
        <v>365.83499999999998</v>
      </c>
      <c r="G59" s="2">
        <v>351.92599999999999</v>
      </c>
      <c r="H59" s="2">
        <v>352.34100000000001</v>
      </c>
      <c r="I59" s="2">
        <v>352.75599999999997</v>
      </c>
      <c r="J59" s="2">
        <v>285.54899999999998</v>
      </c>
      <c r="K59" s="2">
        <v>279.01900000000001</v>
      </c>
      <c r="L59" s="2">
        <v>279.43400000000003</v>
      </c>
      <c r="M59" s="2">
        <v>279.84800000000001</v>
      </c>
      <c r="N59" s="2">
        <v>232.97</v>
      </c>
      <c r="O59" s="2">
        <v>129.869</v>
      </c>
      <c r="P59" s="5">
        <v>129.79900000000001</v>
      </c>
      <c r="R59" s="74"/>
      <c r="S59" s="74"/>
    </row>
    <row r="60" spans="3:19" x14ac:dyDescent="0.25">
      <c r="C60" s="13" t="s">
        <v>59</v>
      </c>
      <c r="D60" s="32">
        <f t="shared" ref="D60:M60" si="64">SUM(D56:D59)</f>
        <v>336.964</v>
      </c>
      <c r="E60" s="32">
        <f t="shared" si="64"/>
        <v>479.57099999999997</v>
      </c>
      <c r="F60" s="32">
        <f t="shared" si="64"/>
        <v>477.78499999999997</v>
      </c>
      <c r="G60" s="32">
        <f t="shared" si="64"/>
        <v>483.197</v>
      </c>
      <c r="H60" s="32">
        <f>SUM(H56:H59)</f>
        <v>482.447</v>
      </c>
      <c r="I60" s="32">
        <f t="shared" si="64"/>
        <v>479.57099999999997</v>
      </c>
      <c r="J60" s="32">
        <f t="shared" si="64"/>
        <v>412.09899999999999</v>
      </c>
      <c r="K60" s="32">
        <f>SUM(K56:K59)</f>
        <v>405.94600000000003</v>
      </c>
      <c r="L60" s="32">
        <f>SUM(L56:L59)</f>
        <v>404.01900000000001</v>
      </c>
      <c r="M60" s="32">
        <f t="shared" si="64"/>
        <v>405.26499999999999</v>
      </c>
      <c r="N60" s="32">
        <f>SUM(N56:N59)</f>
        <v>364.197</v>
      </c>
      <c r="O60" s="32">
        <f>SUM(O56:O59)</f>
        <v>271.84900000000005</v>
      </c>
      <c r="P60" s="14">
        <f>SUM(P56:P59)</f>
        <v>271.988</v>
      </c>
      <c r="R60" s="74"/>
      <c r="S60" s="74"/>
    </row>
    <row r="61" spans="3:19" x14ac:dyDescent="0.25">
      <c r="C61" s="1" t="s">
        <v>60</v>
      </c>
      <c r="D61" s="2">
        <v>14.573</v>
      </c>
      <c r="E61" s="2">
        <v>12.661</v>
      </c>
      <c r="F61" s="2">
        <v>10.871</v>
      </c>
      <c r="G61" s="2">
        <v>10.093999999999999</v>
      </c>
      <c r="H61" s="2">
        <v>7.4210000000000003</v>
      </c>
      <c r="I61" s="2">
        <v>12.661</v>
      </c>
      <c r="J61" s="2">
        <v>9.2149999999999999</v>
      </c>
      <c r="K61" s="2">
        <v>13.063000000000001</v>
      </c>
      <c r="L61" s="2">
        <v>15.103999999999999</v>
      </c>
      <c r="M61" s="2">
        <v>16.148</v>
      </c>
      <c r="N61" s="2">
        <v>13.906000000000001</v>
      </c>
      <c r="O61" s="2">
        <v>16.053000000000001</v>
      </c>
      <c r="P61" s="5">
        <v>17.79</v>
      </c>
      <c r="R61" s="74"/>
      <c r="S61" s="74"/>
    </row>
    <row r="62" spans="3:19" x14ac:dyDescent="0.25">
      <c r="C62" s="1" t="s">
        <v>61</v>
      </c>
      <c r="D62" s="2">
        <v>1.9950000000000001</v>
      </c>
      <c r="E62" s="2">
        <v>0.18</v>
      </c>
      <c r="F62" s="2">
        <v>0.48799999999999999</v>
      </c>
      <c r="G62" s="2">
        <v>0.38</v>
      </c>
      <c r="H62" s="2">
        <v>0.28299999999999997</v>
      </c>
      <c r="I62" s="2">
        <v>0.18</v>
      </c>
      <c r="J62" s="2">
        <v>9.0999999999999998E-2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5">
        <v>0</v>
      </c>
      <c r="R62" s="74"/>
      <c r="S62" s="74"/>
    </row>
    <row r="63" spans="3:19" x14ac:dyDescent="0.25">
      <c r="C63" s="1" t="s">
        <v>62</v>
      </c>
      <c r="D63" s="2">
        <v>258.53199999999998</v>
      </c>
      <c r="E63" s="2">
        <v>273.52499999999998</v>
      </c>
      <c r="F63" s="2">
        <v>302.036</v>
      </c>
      <c r="G63" s="2">
        <v>312.67700000000002</v>
      </c>
      <c r="H63" s="2">
        <v>383.32299999999998</v>
      </c>
      <c r="I63" s="2">
        <v>273.52499999999998</v>
      </c>
      <c r="J63" s="2">
        <v>394.73899999999998</v>
      </c>
      <c r="K63" s="2">
        <v>418.95699999999999</v>
      </c>
      <c r="L63" s="2">
        <v>557.85699999999997</v>
      </c>
      <c r="M63" s="2">
        <v>586.26900000000001</v>
      </c>
      <c r="N63" s="2">
        <v>736.23400000000004</v>
      </c>
      <c r="O63" s="2">
        <v>957.24099999999999</v>
      </c>
      <c r="P63" s="5">
        <v>1094.2570000000001</v>
      </c>
      <c r="R63" s="74"/>
      <c r="S63" s="74"/>
    </row>
    <row r="64" spans="3:19" x14ac:dyDescent="0.25">
      <c r="C64" s="1" t="s">
        <v>63</v>
      </c>
      <c r="D64" s="2">
        <v>43.911999999999999</v>
      </c>
      <c r="E64" s="2">
        <v>34.064999999999998</v>
      </c>
      <c r="F64" s="2">
        <v>43.183999999999997</v>
      </c>
      <c r="G64" s="2">
        <v>43.320999999999998</v>
      </c>
      <c r="H64" s="2">
        <v>41.177</v>
      </c>
      <c r="I64" s="2">
        <v>34.064999999999998</v>
      </c>
      <c r="J64" s="2">
        <v>36.869</v>
      </c>
      <c r="K64" s="2">
        <v>62.029000000000003</v>
      </c>
      <c r="L64" s="2">
        <v>64.158000000000001</v>
      </c>
      <c r="M64" s="2">
        <v>48.234999999999999</v>
      </c>
      <c r="N64" s="2">
        <v>40.738999999999997</v>
      </c>
      <c r="O64" s="2">
        <v>61.01</v>
      </c>
      <c r="P64" s="5">
        <v>58.35</v>
      </c>
      <c r="R64" s="74"/>
      <c r="S64" s="74"/>
    </row>
    <row r="65" spans="3:28" x14ac:dyDescent="0.25">
      <c r="C65" s="1" t="s">
        <v>64</v>
      </c>
      <c r="D65" s="2">
        <v>15.927</v>
      </c>
      <c r="E65" s="2">
        <v>14.122</v>
      </c>
      <c r="F65" s="2">
        <v>17.172999999999998</v>
      </c>
      <c r="G65" s="2">
        <v>14.395</v>
      </c>
      <c r="H65" s="2">
        <v>14.116</v>
      </c>
      <c r="I65" s="2">
        <v>14.122</v>
      </c>
      <c r="J65" s="2">
        <v>14.423</v>
      </c>
      <c r="K65" s="2">
        <v>13.923</v>
      </c>
      <c r="L65" s="2">
        <v>14.436999999999999</v>
      </c>
      <c r="M65" s="2">
        <v>15.506</v>
      </c>
      <c r="N65" s="2">
        <v>14.499000000000001</v>
      </c>
      <c r="O65" s="2">
        <v>16.268000000000001</v>
      </c>
      <c r="P65" s="5">
        <v>16.600000000000001</v>
      </c>
      <c r="R65" s="74"/>
      <c r="S65" s="74"/>
    </row>
    <row r="66" spans="3:28" x14ac:dyDescent="0.25">
      <c r="C66" s="1" t="s">
        <v>65</v>
      </c>
      <c r="D66" s="2">
        <v>44.915999999999997</v>
      </c>
      <c r="E66" s="2">
        <v>54.531999999999996</v>
      </c>
      <c r="F66" s="2">
        <v>44.356999999999999</v>
      </c>
      <c r="G66" s="2">
        <v>45.026000000000003</v>
      </c>
      <c r="H66" s="2">
        <v>50.863</v>
      </c>
      <c r="I66" s="2">
        <v>54.531999999999996</v>
      </c>
      <c r="J66" s="2">
        <v>57.94</v>
      </c>
      <c r="K66" s="2">
        <v>53.350999999999999</v>
      </c>
      <c r="L66" s="2">
        <v>50.564999999999998</v>
      </c>
      <c r="M66" s="2">
        <v>49.514000000000003</v>
      </c>
      <c r="N66" s="2">
        <v>50.332000000000001</v>
      </c>
      <c r="O66" s="2">
        <v>52.515999999999998</v>
      </c>
      <c r="P66" s="5">
        <v>51.029000000000003</v>
      </c>
      <c r="R66" s="74"/>
      <c r="S66" s="74"/>
    </row>
    <row r="67" spans="3:28" x14ac:dyDescent="0.25">
      <c r="C67" s="13" t="s">
        <v>66</v>
      </c>
      <c r="D67" s="32">
        <f t="shared" ref="D67:M67" si="65">SUM(D61:D66)</f>
        <v>379.85499999999996</v>
      </c>
      <c r="E67" s="32">
        <f t="shared" si="65"/>
        <v>389.08499999999998</v>
      </c>
      <c r="F67" s="32">
        <f t="shared" si="65"/>
        <v>418.10899999999992</v>
      </c>
      <c r="G67" s="32">
        <f t="shared" si="65"/>
        <v>425.89299999999997</v>
      </c>
      <c r="H67" s="32">
        <f t="shared" si="65"/>
        <v>497.18299999999999</v>
      </c>
      <c r="I67" s="32">
        <f t="shared" si="65"/>
        <v>389.08499999999998</v>
      </c>
      <c r="J67" s="32">
        <f t="shared" si="65"/>
        <v>513.27700000000004</v>
      </c>
      <c r="K67" s="32">
        <f t="shared" si="65"/>
        <v>561.32299999999998</v>
      </c>
      <c r="L67" s="32">
        <f t="shared" si="65"/>
        <v>702.12100000000009</v>
      </c>
      <c r="M67" s="32">
        <f t="shared" si="65"/>
        <v>715.67200000000003</v>
      </c>
      <c r="N67" s="32">
        <f>SUM(N61:N66)</f>
        <v>855.71</v>
      </c>
      <c r="O67" s="32">
        <f>SUM(O61:O66)</f>
        <v>1103.0880000000002</v>
      </c>
      <c r="P67" s="14">
        <f>SUM(P61:P66)</f>
        <v>1238.0259999999998</v>
      </c>
      <c r="Q67" s="71">
        <f t="shared" ref="Q67:S67" si="66">SUM(Q61:Q66)</f>
        <v>0</v>
      </c>
      <c r="R67" s="71">
        <f t="shared" si="66"/>
        <v>0</v>
      </c>
      <c r="S67" s="71">
        <f t="shared" si="66"/>
        <v>0</v>
      </c>
    </row>
    <row r="68" spans="3:28" x14ac:dyDescent="0.25">
      <c r="C68" s="6" t="s">
        <v>67</v>
      </c>
      <c r="D68" s="30">
        <f t="shared" ref="D68:M68" si="67">D55+D60+D67</f>
        <v>4010.1029999999996</v>
      </c>
      <c r="E68" s="30">
        <f t="shared" si="67"/>
        <v>4285.6909999999998</v>
      </c>
      <c r="F68" s="30">
        <f t="shared" si="67"/>
        <v>4202.2209999999995</v>
      </c>
      <c r="G68" s="30">
        <f t="shared" si="67"/>
        <v>4369.3710000000001</v>
      </c>
      <c r="H68" s="30">
        <f t="shared" si="67"/>
        <v>4656.259</v>
      </c>
      <c r="I68" s="30">
        <f t="shared" si="67"/>
        <v>4285.6909999999998</v>
      </c>
      <c r="J68" s="30">
        <f t="shared" si="67"/>
        <v>4675.1710000000003</v>
      </c>
      <c r="K68" s="30">
        <f t="shared" si="67"/>
        <v>4973.4840000000004</v>
      </c>
      <c r="L68" s="30">
        <f t="shared" si="67"/>
        <v>5039.4230000000007</v>
      </c>
      <c r="M68" s="30">
        <f t="shared" si="67"/>
        <v>4799.7639999999992</v>
      </c>
      <c r="N68" s="30">
        <f>N55+N60+N67</f>
        <v>4988.1200000000008</v>
      </c>
      <c r="O68" s="30">
        <f>O55+O60+O67</f>
        <v>5346.7720000000008</v>
      </c>
      <c r="P68" s="15">
        <f>P55+P60+P67</f>
        <v>5695.3330000000005</v>
      </c>
      <c r="Q68" s="72">
        <f t="shared" ref="Q68:S68" si="68">Q55+Q60+Q67</f>
        <v>0</v>
      </c>
      <c r="R68" s="72">
        <f t="shared" si="68"/>
        <v>0</v>
      </c>
      <c r="S68" s="72">
        <f t="shared" si="68"/>
        <v>0</v>
      </c>
    </row>
    <row r="69" spans="3:28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5"/>
      <c r="R69" s="74"/>
      <c r="S69" s="74"/>
    </row>
    <row r="70" spans="3:28" x14ac:dyDescent="0.25">
      <c r="C70" s="12" t="s">
        <v>128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5"/>
      <c r="R70" s="74"/>
      <c r="S70" s="74"/>
    </row>
    <row r="71" spans="3:28" x14ac:dyDescent="0.25">
      <c r="C71" s="1" t="s">
        <v>149</v>
      </c>
      <c r="D71" s="2">
        <f t="shared" ref="D71:N71" si="69">D13</f>
        <v>207.11799999999999</v>
      </c>
      <c r="E71" s="2">
        <f t="shared" si="69"/>
        <v>214.62199999999999</v>
      </c>
      <c r="F71" s="2">
        <f t="shared" si="69"/>
        <v>236.36099999999999</v>
      </c>
      <c r="G71" s="2">
        <f t="shared" si="69"/>
        <v>250.00400000000002</v>
      </c>
      <c r="H71" s="2">
        <f t="shared" si="69"/>
        <v>271.47999999999996</v>
      </c>
      <c r="I71" s="2">
        <f t="shared" si="69"/>
        <v>281.51500000000004</v>
      </c>
      <c r="J71" s="2">
        <f t="shared" si="69"/>
        <v>287.09500000000003</v>
      </c>
      <c r="K71" s="2">
        <f t="shared" si="69"/>
        <v>302.68800000000005</v>
      </c>
      <c r="L71" s="2">
        <f t="shared" si="69"/>
        <v>311.55999999999995</v>
      </c>
      <c r="M71" s="2">
        <f t="shared" si="69"/>
        <v>311.11900000000003</v>
      </c>
      <c r="N71" s="2">
        <f t="shared" si="69"/>
        <v>379.19999999999993</v>
      </c>
      <c r="O71" s="2">
        <f>O13</f>
        <v>417.58899999999994</v>
      </c>
      <c r="P71" s="5">
        <f>P13</f>
        <v>303.49099999999999</v>
      </c>
      <c r="Q71" s="73">
        <f t="shared" ref="Q71:S71" si="70">Q13</f>
        <v>0</v>
      </c>
      <c r="R71" s="73">
        <f t="shared" si="70"/>
        <v>0</v>
      </c>
      <c r="S71" s="73">
        <f t="shared" si="70"/>
        <v>0</v>
      </c>
      <c r="W71" s="2">
        <f t="shared" ref="W71:Y71" si="71">W13</f>
        <v>157.47200000000001</v>
      </c>
      <c r="X71" s="2">
        <f t="shared" si="71"/>
        <v>299.38499999999999</v>
      </c>
      <c r="Y71" s="2">
        <f t="shared" si="71"/>
        <v>654.00400000000002</v>
      </c>
      <c r="Z71" s="2">
        <f t="shared" ref="Z71:AA71" si="72">Z13</f>
        <v>908.1049999999999</v>
      </c>
      <c r="AA71" s="2">
        <f t="shared" si="72"/>
        <v>1142.778</v>
      </c>
      <c r="AB71" s="2">
        <f>AB13</f>
        <v>1419.4680000000001</v>
      </c>
    </row>
    <row r="72" spans="3:28" x14ac:dyDescent="0.25">
      <c r="C72" s="1" t="s">
        <v>150</v>
      </c>
      <c r="D72" s="2">
        <v>207</v>
      </c>
      <c r="E72" s="2">
        <v>215</v>
      </c>
      <c r="F72" s="2">
        <v>236.393</v>
      </c>
      <c r="G72" s="2">
        <v>250</v>
      </c>
      <c r="H72" s="2">
        <v>271</v>
      </c>
      <c r="I72" s="2">
        <v>282</v>
      </c>
      <c r="J72" s="27">
        <v>287.137</v>
      </c>
      <c r="K72" s="2">
        <v>302.59800000000001</v>
      </c>
      <c r="L72" s="2">
        <v>312</v>
      </c>
      <c r="M72" s="2">
        <v>311</v>
      </c>
      <c r="N72" s="2">
        <v>379.17899999999997</v>
      </c>
      <c r="O72" s="2">
        <v>417.63400000000001</v>
      </c>
      <c r="P72" s="5">
        <v>303.39999999999998</v>
      </c>
      <c r="Q72" s="2"/>
      <c r="R72" s="74"/>
      <c r="S72" s="74"/>
      <c r="W72" s="2">
        <v>157</v>
      </c>
      <c r="X72" s="1">
        <v>299</v>
      </c>
      <c r="Y72" s="2">
        <v>654</v>
      </c>
      <c r="Z72" s="2">
        <f t="shared" ref="Z72:Z78" si="73">SUM(D72:G72)</f>
        <v>908.39300000000003</v>
      </c>
      <c r="AA72" s="2">
        <f t="shared" ref="AA72:AA78" si="74">SUM(H72:K72)</f>
        <v>1142.7349999999999</v>
      </c>
      <c r="AB72" s="2">
        <f t="shared" ref="AB72:AB78" si="75">SUM(L72:O72)</f>
        <v>1419.8130000000001</v>
      </c>
    </row>
    <row r="73" spans="3:28" x14ac:dyDescent="0.25">
      <c r="C73" s="1" t="s">
        <v>151</v>
      </c>
      <c r="D73" s="2">
        <v>22.593</v>
      </c>
      <c r="E73" s="2">
        <v>23.6</v>
      </c>
      <c r="F73" s="2">
        <v>24.622</v>
      </c>
      <c r="G73" s="2">
        <v>29.524999999999999</v>
      </c>
      <c r="H73" s="2">
        <v>28.678000000000001</v>
      </c>
      <c r="I73" s="2">
        <v>30.178000000000001</v>
      </c>
      <c r="J73" s="2">
        <v>31.462</v>
      </c>
      <c r="K73" s="2">
        <v>34.365000000000002</v>
      </c>
      <c r="L73" s="2">
        <v>34.174999999999997</v>
      </c>
      <c r="M73" s="2">
        <v>34.637999999999998</v>
      </c>
      <c r="N73" s="2">
        <v>36</v>
      </c>
      <c r="O73" s="2">
        <v>37.331000000000003</v>
      </c>
      <c r="P73" s="5">
        <v>38.5</v>
      </c>
      <c r="R73" s="74"/>
      <c r="S73" s="74"/>
      <c r="W73" s="2">
        <v>25.475999999999999</v>
      </c>
      <c r="X73" s="2">
        <v>32.512999999999998</v>
      </c>
      <c r="Y73" s="2">
        <v>80.646000000000001</v>
      </c>
      <c r="Z73" s="2">
        <f t="shared" si="73"/>
        <v>100.34</v>
      </c>
      <c r="AA73" s="2">
        <f t="shared" si="74"/>
        <v>124.68299999999999</v>
      </c>
      <c r="AB73" s="2">
        <f t="shared" si="75"/>
        <v>142.14400000000001</v>
      </c>
    </row>
    <row r="74" spans="3:28" x14ac:dyDescent="0.25">
      <c r="C74" s="1" t="s">
        <v>117</v>
      </c>
      <c r="D74" s="2">
        <v>1.6</v>
      </c>
      <c r="E74" s="2">
        <v>-1.4</v>
      </c>
      <c r="F74" s="2">
        <v>-1</v>
      </c>
      <c r="G74" s="2">
        <v>-2.5230000000000001</v>
      </c>
      <c r="H74" s="2">
        <v>-0.35399999999999998</v>
      </c>
      <c r="I74" s="2">
        <v>0.32100000000000001</v>
      </c>
      <c r="J74" s="2">
        <v>2.2970000000000002</v>
      </c>
      <c r="K74" s="2">
        <v>-1.129</v>
      </c>
      <c r="L74" s="2">
        <v>-0.14499999999999999</v>
      </c>
      <c r="M74" s="2">
        <v>0.84199999999999997</v>
      </c>
      <c r="N74" s="2">
        <v>-60.749000000000002</v>
      </c>
      <c r="O74" s="2">
        <v>-88</v>
      </c>
      <c r="P74" s="5">
        <v>-3.4</v>
      </c>
      <c r="R74" s="74"/>
      <c r="S74" s="74"/>
      <c r="W74" s="2">
        <v>1.2</v>
      </c>
      <c r="X74" s="2">
        <f>9.9+13.8</f>
        <v>23.700000000000003</v>
      </c>
      <c r="Y74" s="2">
        <f>-7.7-2.84</f>
        <v>-10.54</v>
      </c>
      <c r="Z74" s="2">
        <f t="shared" si="73"/>
        <v>-3.323</v>
      </c>
      <c r="AA74" s="2">
        <f t="shared" si="74"/>
        <v>1.1350000000000002</v>
      </c>
      <c r="AB74" s="2">
        <f t="shared" si="75"/>
        <v>-148.05199999999999</v>
      </c>
    </row>
    <row r="75" spans="3:28" x14ac:dyDescent="0.25">
      <c r="C75" s="1" t="s">
        <v>152</v>
      </c>
      <c r="D75" s="2">
        <v>0</v>
      </c>
      <c r="E75" s="2">
        <v>0</v>
      </c>
      <c r="F75" s="2">
        <v>4.2000000000000003E-2</v>
      </c>
      <c r="G75" s="2">
        <v>0.22</v>
      </c>
      <c r="H75" s="2">
        <v>1.4219999999999999</v>
      </c>
      <c r="I75" s="2">
        <v>1</v>
      </c>
      <c r="J75" s="2">
        <v>4.452</v>
      </c>
      <c r="K75" s="2">
        <v>7.3719999999999999</v>
      </c>
      <c r="L75" s="2">
        <v>7</v>
      </c>
      <c r="M75" s="2">
        <v>6.32</v>
      </c>
      <c r="N75" s="2">
        <v>3.738</v>
      </c>
      <c r="O75" s="2">
        <v>3.8940000000000001</v>
      </c>
      <c r="P75" s="5">
        <v>4.7</v>
      </c>
      <c r="R75" s="74"/>
      <c r="S75" s="74"/>
      <c r="W75" s="2">
        <v>2.3E-2</v>
      </c>
      <c r="X75" s="2">
        <v>2.468</v>
      </c>
      <c r="Y75" s="2">
        <v>0</v>
      </c>
      <c r="Z75" s="2">
        <f t="shared" si="73"/>
        <v>0.26200000000000001</v>
      </c>
      <c r="AA75" s="2">
        <f t="shared" si="74"/>
        <v>14.245999999999999</v>
      </c>
      <c r="AB75" s="2">
        <f t="shared" si="75"/>
        <v>20.951999999999998</v>
      </c>
    </row>
    <row r="76" spans="3:28" x14ac:dyDescent="0.25">
      <c r="C76" s="1" t="s">
        <v>153</v>
      </c>
      <c r="D76" s="2">
        <v>0</v>
      </c>
      <c r="E76" s="2">
        <v>-0.29799999999999999</v>
      </c>
      <c r="F76" s="2">
        <v>-0.27100000000000002</v>
      </c>
      <c r="G76" s="2">
        <v>0</v>
      </c>
      <c r="H76" s="2">
        <v>-0.59099999999999997</v>
      </c>
      <c r="I76" s="2">
        <v>0.14299999999999999</v>
      </c>
      <c r="J76" s="2">
        <v>0.432</v>
      </c>
      <c r="K76" s="2">
        <v>-2.3E-2</v>
      </c>
      <c r="L76" s="2">
        <v>-0.68799999999999994</v>
      </c>
      <c r="M76" s="2">
        <v>0.54500000000000004</v>
      </c>
      <c r="N76" s="2">
        <v>-6.7000000000000004E-2</v>
      </c>
      <c r="O76" s="2">
        <v>-0.161</v>
      </c>
      <c r="P76" s="5">
        <v>0</v>
      </c>
      <c r="R76" s="74"/>
      <c r="S76" s="74"/>
      <c r="W76" s="2">
        <v>-0.245</v>
      </c>
      <c r="X76" s="2">
        <v>-1</v>
      </c>
      <c r="Y76" s="2">
        <v>-3.3</v>
      </c>
      <c r="Z76" s="2">
        <f t="shared" si="73"/>
        <v>-0.56899999999999995</v>
      </c>
      <c r="AA76" s="2">
        <f t="shared" si="74"/>
        <v>-3.8999999999999958E-2</v>
      </c>
      <c r="AB76" s="2">
        <f t="shared" si="75"/>
        <v>-0.37099999999999989</v>
      </c>
    </row>
    <row r="77" spans="3:28" x14ac:dyDescent="0.25">
      <c r="C77" s="1" t="s">
        <v>34</v>
      </c>
      <c r="D77" s="2">
        <v>-3.8</v>
      </c>
      <c r="E77" s="2">
        <v>-33.192999999999998</v>
      </c>
      <c r="F77" s="2">
        <v>-4</v>
      </c>
      <c r="G77" s="2">
        <v>-5.5620000000000003</v>
      </c>
      <c r="H77" s="2">
        <v>-16</v>
      </c>
      <c r="I77" s="2">
        <v>-55.1</v>
      </c>
      <c r="J77" s="2">
        <v>25.446999999999999</v>
      </c>
      <c r="K77" s="2">
        <v>-4.0629999999999997</v>
      </c>
      <c r="L77" s="2">
        <v>-6</v>
      </c>
      <c r="M77" s="2">
        <v>-63.168999999999997</v>
      </c>
      <c r="N77" s="2">
        <v>-5.7190000000000003</v>
      </c>
      <c r="O77" s="2">
        <v>0.42699999999999999</v>
      </c>
      <c r="P77" s="5">
        <v>-4.0999999999999996</v>
      </c>
      <c r="R77" s="74"/>
      <c r="S77" s="74"/>
      <c r="W77" s="2">
        <v>-5.2930000000000001</v>
      </c>
      <c r="X77" s="2">
        <v>-6.5</v>
      </c>
      <c r="Y77" s="2">
        <v>-26.794</v>
      </c>
      <c r="Z77" s="2">
        <f t="shared" si="73"/>
        <v>-46.554999999999993</v>
      </c>
      <c r="AA77" s="2">
        <f t="shared" si="74"/>
        <v>-49.715999999999994</v>
      </c>
      <c r="AB77" s="2">
        <f t="shared" si="75"/>
        <v>-74.460999999999984</v>
      </c>
    </row>
    <row r="78" spans="3:28" x14ac:dyDescent="0.25">
      <c r="C78" s="1" t="s">
        <v>154</v>
      </c>
      <c r="D78" s="2">
        <f>-33.464+6-5</f>
        <v>-32.463999999999999</v>
      </c>
      <c r="E78" s="2">
        <f>-10.272+2.956-8.811</f>
        <v>-16.127000000000002</v>
      </c>
      <c r="F78" s="2">
        <f>-15.655-7.12+4.2</f>
        <v>-18.574999999999999</v>
      </c>
      <c r="G78" s="2">
        <f>-12.684-0.574+2.241</f>
        <v>-11.016999999999999</v>
      </c>
      <c r="H78" s="2">
        <f>-11.1-2.656+6.547</f>
        <v>-7.2090000000000005</v>
      </c>
      <c r="I78" s="2">
        <f>-28.512+5.209-1</f>
        <v>-24.303000000000001</v>
      </c>
      <c r="J78" s="2">
        <f>-10.293-3.441+5.373</f>
        <v>-8.3609999999999971</v>
      </c>
      <c r="K78" s="2">
        <f>-22.456+3.932-6.181</f>
        <v>-24.705000000000002</v>
      </c>
      <c r="L78" s="2">
        <f>-48.283+1.967+2.125</f>
        <v>-44.191000000000003</v>
      </c>
      <c r="M78" s="2">
        <f>38.929+0.952-17.413</f>
        <v>22.468</v>
      </c>
      <c r="N78" s="2">
        <f>4.214-2+2.26</f>
        <v>4.4740000000000002</v>
      </c>
      <c r="O78" s="2">
        <f>-55.204+1.585+12</f>
        <v>-41.619</v>
      </c>
      <c r="P78" s="5">
        <f>18+1.9+2.3</f>
        <v>22.2</v>
      </c>
      <c r="R78" s="74"/>
      <c r="S78" s="74"/>
      <c r="W78" s="2">
        <f>-17.276+1.358+13</f>
        <v>-2.9179999999999993</v>
      </c>
      <c r="X78" s="2">
        <f>-32.345-0-2.2</f>
        <v>-34.545000000000002</v>
      </c>
      <c r="Y78" s="2">
        <f>-70.442-7-17.7</f>
        <v>-95.141999999999996</v>
      </c>
      <c r="Z78" s="2">
        <f t="shared" si="73"/>
        <v>-78.182999999999993</v>
      </c>
      <c r="AA78" s="2">
        <f t="shared" si="74"/>
        <v>-64.578000000000003</v>
      </c>
      <c r="AB78" s="2">
        <f t="shared" si="75"/>
        <v>-58.868000000000002</v>
      </c>
    </row>
    <row r="79" spans="3:28" x14ac:dyDescent="0.25">
      <c r="C79" s="6" t="s">
        <v>68</v>
      </c>
      <c r="D79" s="30">
        <f t="shared" ref="D79:N79" si="76">SUM(D72:D78)</f>
        <v>194.92899999999997</v>
      </c>
      <c r="E79" s="30">
        <f t="shared" si="76"/>
        <v>187.58199999999999</v>
      </c>
      <c r="F79" s="30">
        <f t="shared" si="76"/>
        <v>237.21099999999996</v>
      </c>
      <c r="G79" s="30">
        <f t="shared" si="76"/>
        <v>260.64299999999997</v>
      </c>
      <c r="H79" s="30">
        <f>SUM(H72:H78)</f>
        <v>276.94600000000003</v>
      </c>
      <c r="I79" s="30">
        <f>SUM(I72:I78)</f>
        <v>234.23899999999998</v>
      </c>
      <c r="J79" s="30">
        <f>SUM(J72:J78)</f>
        <v>342.86600000000004</v>
      </c>
      <c r="K79" s="30">
        <f>SUM(K72:K78)</f>
        <v>314.41500000000002</v>
      </c>
      <c r="L79" s="30">
        <f t="shared" si="76"/>
        <v>302.15100000000007</v>
      </c>
      <c r="M79" s="30">
        <f t="shared" si="76"/>
        <v>312.64400000000001</v>
      </c>
      <c r="N79" s="30">
        <f t="shared" si="76"/>
        <v>356.85599999999994</v>
      </c>
      <c r="O79" s="30">
        <f>SUM(O72:O78)</f>
        <v>329.50600000000009</v>
      </c>
      <c r="P79" s="15">
        <f>SUM(P72:P78)</f>
        <v>361.29999999999995</v>
      </c>
      <c r="Q79" s="72">
        <f t="shared" ref="Q79:S79" si="77">SUM(Q72:Q78)</f>
        <v>0</v>
      </c>
      <c r="R79" s="72">
        <f t="shared" si="77"/>
        <v>0</v>
      </c>
      <c r="S79" s="72">
        <f t="shared" si="77"/>
        <v>0</v>
      </c>
      <c r="W79" s="30">
        <f t="shared" ref="W79" si="78">SUM(W72:W78)</f>
        <v>175.24299999999997</v>
      </c>
      <c r="X79" s="30">
        <f t="shared" ref="X79:Y79" si="79">SUM(X72:X78)</f>
        <v>315.63599999999997</v>
      </c>
      <c r="Y79" s="30">
        <f t="shared" si="79"/>
        <v>598.87000000000012</v>
      </c>
      <c r="Z79" s="30">
        <f t="shared" ref="Z79:AA79" si="80">SUM(Z72:Z78)</f>
        <v>880.36500000000012</v>
      </c>
      <c r="AA79" s="30">
        <f t="shared" si="80"/>
        <v>1168.4660000000001</v>
      </c>
      <c r="AB79" s="30">
        <f>SUM(AB72:AB78)</f>
        <v>1301.1570000000002</v>
      </c>
    </row>
    <row r="80" spans="3:28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/>
      <c r="R80" s="74"/>
      <c r="S80" s="74"/>
      <c r="W80" s="2"/>
      <c r="X80" s="2"/>
      <c r="Y80" s="2"/>
    </row>
    <row r="81" spans="3:31" x14ac:dyDescent="0.25">
      <c r="C81" s="1" t="s">
        <v>155</v>
      </c>
      <c r="D81" s="2">
        <f>-7.135-14.016-74</f>
        <v>-95.150999999999996</v>
      </c>
      <c r="E81" s="2">
        <f>-9.629-14.796</f>
        <v>-24.424999999999997</v>
      </c>
      <c r="F81" s="2">
        <f>-9.555-13.866-184.729</f>
        <v>-208.15</v>
      </c>
      <c r="G81" s="2">
        <f>-9.959-17.983-14.322</f>
        <v>-42.263999999999996</v>
      </c>
      <c r="H81" s="2">
        <f>-10.664-11.477</f>
        <v>-22.140999999999998</v>
      </c>
      <c r="I81" s="2">
        <f>-12.149-10.629</f>
        <v>-22.777999999999999</v>
      </c>
      <c r="J81" s="2">
        <f>-10.991-7.972-47.536</f>
        <v>-66.498999999999995</v>
      </c>
      <c r="K81" s="2">
        <f>-18.169-12.141</f>
        <v>-30.310000000000002</v>
      </c>
      <c r="L81" s="2">
        <f>-17-19.345</f>
        <v>-36.344999999999999</v>
      </c>
      <c r="M81" s="2">
        <f>-16.392-16.153-4.328</f>
        <v>-36.873000000000005</v>
      </c>
      <c r="N81" s="2">
        <f>-17.939-14.326-0.001</f>
        <v>-32.265999999999998</v>
      </c>
      <c r="O81" s="2">
        <f>-19.984-15.494-3.254</f>
        <v>-38.731999999999999</v>
      </c>
      <c r="P81" s="5">
        <f>-16.635-16.974</f>
        <v>-33.609000000000002</v>
      </c>
      <c r="R81" s="74"/>
      <c r="S81" s="74"/>
      <c r="W81" s="2">
        <f>-11.158-18.95-11.812</f>
        <v>-41.919999999999995</v>
      </c>
      <c r="X81" s="2">
        <f>-13.635-23.251+46</f>
        <v>9.1139999999999972</v>
      </c>
      <c r="Y81" s="2">
        <f>-28.285-33.307-92.23</f>
        <v>-153.822</v>
      </c>
      <c r="Z81" s="2">
        <f>SUM(D81:G81)</f>
        <v>-369.99</v>
      </c>
      <c r="AA81" s="2">
        <f>SUM(H81:K81)</f>
        <v>-141.72800000000001</v>
      </c>
      <c r="AB81" s="2">
        <f>SUM(L81:O81)</f>
        <v>-144.21600000000001</v>
      </c>
      <c r="AC81" s="4">
        <v>140</v>
      </c>
    </row>
    <row r="82" spans="3:31" x14ac:dyDescent="0.25">
      <c r="C82" s="1" t="s">
        <v>156</v>
      </c>
      <c r="D82" s="2">
        <v>-1</v>
      </c>
      <c r="E82" s="2">
        <v>-2.4</v>
      </c>
      <c r="F82" s="2">
        <v>1.2</v>
      </c>
      <c r="G82" s="2">
        <v>0</v>
      </c>
      <c r="H82" s="2">
        <v>0</v>
      </c>
      <c r="I82" s="2">
        <v>1</v>
      </c>
      <c r="J82" s="2">
        <v>-0.19500000000000001</v>
      </c>
      <c r="K82" s="2">
        <v>1.117</v>
      </c>
      <c r="L82" s="2">
        <v>-6.3159999999999998</v>
      </c>
      <c r="M82" s="2">
        <v>1.5</v>
      </c>
      <c r="N82" s="2">
        <v>-100.127</v>
      </c>
      <c r="O82" s="2">
        <v>1.2350000000000001</v>
      </c>
      <c r="P82" s="5">
        <v>0.42699999999999999</v>
      </c>
      <c r="R82" s="74"/>
      <c r="S82" s="74"/>
      <c r="W82" s="2">
        <v>-1</v>
      </c>
      <c r="X82" s="2">
        <v>-2.2999999999999998</v>
      </c>
      <c r="Y82" s="2">
        <v>-1.1000000000000001</v>
      </c>
      <c r="Z82" s="2">
        <f>SUM(D82:G82)</f>
        <v>-2.2000000000000002</v>
      </c>
      <c r="AA82" s="2">
        <f>SUM(H82:K82)</f>
        <v>1.9219999999999999</v>
      </c>
      <c r="AB82" s="2">
        <f>SUM(L82:O82)</f>
        <v>-103.708</v>
      </c>
    </row>
    <row r="83" spans="3:31" x14ac:dyDescent="0.25">
      <c r="C83" s="6" t="s">
        <v>69</v>
      </c>
      <c r="D83" s="30">
        <f t="shared" ref="D83:N83" si="81">SUM(D81:D82)</f>
        <v>-96.150999999999996</v>
      </c>
      <c r="E83" s="30">
        <f t="shared" si="81"/>
        <v>-26.824999999999996</v>
      </c>
      <c r="F83" s="30">
        <f t="shared" si="81"/>
        <v>-206.95000000000002</v>
      </c>
      <c r="G83" s="30">
        <f t="shared" si="81"/>
        <v>-42.263999999999996</v>
      </c>
      <c r="H83" s="30">
        <f t="shared" si="81"/>
        <v>-22.140999999999998</v>
      </c>
      <c r="I83" s="30">
        <f t="shared" si="81"/>
        <v>-21.777999999999999</v>
      </c>
      <c r="J83" s="30">
        <f t="shared" si="81"/>
        <v>-66.693999999999988</v>
      </c>
      <c r="K83" s="30">
        <f t="shared" si="81"/>
        <v>-29.193000000000001</v>
      </c>
      <c r="L83" s="30">
        <f t="shared" si="81"/>
        <v>-42.661000000000001</v>
      </c>
      <c r="M83" s="30">
        <f t="shared" si="81"/>
        <v>-35.373000000000005</v>
      </c>
      <c r="N83" s="30">
        <f t="shared" si="81"/>
        <v>-132.393</v>
      </c>
      <c r="O83" s="30">
        <f>SUM(O81:O82)</f>
        <v>-37.497</v>
      </c>
      <c r="P83" s="15">
        <f>SUM(P81:P82)</f>
        <v>-33.182000000000002</v>
      </c>
      <c r="Q83" s="72">
        <f t="shared" ref="Q83:S83" si="82">SUM(Q81:Q82)</f>
        <v>0</v>
      </c>
      <c r="R83" s="72">
        <f t="shared" si="82"/>
        <v>0</v>
      </c>
      <c r="S83" s="72">
        <f t="shared" si="82"/>
        <v>0</v>
      </c>
      <c r="W83" s="30">
        <f t="shared" ref="W83" si="83">SUM(W81:W82)</f>
        <v>-42.919999999999995</v>
      </c>
      <c r="X83" s="30">
        <f t="shared" ref="X83" si="84">SUM(X81:X82)</f>
        <v>6.8139999999999974</v>
      </c>
      <c r="Y83" s="30">
        <f t="shared" ref="Y83" si="85">SUM(Y81:Y82)</f>
        <v>-154.922</v>
      </c>
      <c r="Z83" s="30">
        <f t="shared" ref="Z83:AA83" si="86">SUM(Z81:Z82)</f>
        <v>-372.19</v>
      </c>
      <c r="AA83" s="30">
        <f t="shared" si="86"/>
        <v>-139.80600000000001</v>
      </c>
      <c r="AB83" s="30">
        <f>SUM(AB81:AB82)</f>
        <v>-247.92400000000001</v>
      </c>
    </row>
    <row r="84" spans="3:3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/>
      <c r="R84" s="74"/>
      <c r="S84" s="74"/>
      <c r="W84" s="2"/>
      <c r="X84" s="2"/>
      <c r="Y84" s="2"/>
    </row>
    <row r="85" spans="3:31" x14ac:dyDescent="0.25">
      <c r="C85" s="1" t="s">
        <v>157</v>
      </c>
      <c r="D85" s="2">
        <v>-3.48</v>
      </c>
      <c r="E85" s="2">
        <v>-3.7210000000000001</v>
      </c>
      <c r="F85" s="2">
        <v>-5</v>
      </c>
      <c r="G85" s="2">
        <v>-2</v>
      </c>
      <c r="H85" s="2">
        <v>-3.8980000000000001</v>
      </c>
      <c r="I85" s="2">
        <v>-3.839</v>
      </c>
      <c r="J85" s="2">
        <v>-5</v>
      </c>
      <c r="K85" s="2">
        <v>-6</v>
      </c>
      <c r="L85" s="2">
        <v>-4.3979999999999997</v>
      </c>
      <c r="M85" s="2">
        <v>-3.4169999999999998</v>
      </c>
      <c r="N85" s="2">
        <v>-4.7110000000000003</v>
      </c>
      <c r="O85" s="2">
        <v>-5.7460000000000004</v>
      </c>
      <c r="P85" s="5">
        <v>-5</v>
      </c>
      <c r="R85" s="74"/>
      <c r="S85" s="74"/>
      <c r="W85" s="2">
        <v>-0.95</v>
      </c>
      <c r="X85" s="2">
        <f>-190+0.351-5</f>
        <v>-194.649</v>
      </c>
      <c r="Y85" s="2">
        <v>-12.8</v>
      </c>
      <c r="Z85" s="2">
        <f>SUM(D85:G85)</f>
        <v>-14.201000000000001</v>
      </c>
      <c r="AA85" s="2">
        <f>SUM(H85:K85)</f>
        <v>-18.737000000000002</v>
      </c>
      <c r="AB85" s="2">
        <f>SUM(L85:O85)</f>
        <v>-18.271999999999998</v>
      </c>
    </row>
    <row r="86" spans="3:31" x14ac:dyDescent="0.25">
      <c r="C86" s="1" t="s">
        <v>158</v>
      </c>
      <c r="D86" s="2">
        <v>-75.590999999999994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-115.758</v>
      </c>
      <c r="L86" s="2">
        <v>-284.03300000000002</v>
      </c>
      <c r="M86" s="2">
        <v>0</v>
      </c>
      <c r="N86" s="2">
        <v>-243.59899999999999</v>
      </c>
      <c r="O86" s="2">
        <v>-150.35599999999999</v>
      </c>
      <c r="P86" s="5">
        <v>-154</v>
      </c>
      <c r="R86" s="74"/>
      <c r="S86" s="74"/>
      <c r="W86" s="2">
        <v>-3.5</v>
      </c>
      <c r="X86" s="2">
        <v>-9.8000000000000007</v>
      </c>
      <c r="Y86" s="27">
        <v>-123.315</v>
      </c>
      <c r="Z86" s="2">
        <f>SUM(D86:G86)</f>
        <v>-75.590999999999994</v>
      </c>
      <c r="AA86" s="2">
        <f>SUM(H86:K86)</f>
        <v>-115.758</v>
      </c>
      <c r="AB86" s="2">
        <f>SUM(L86:O86)</f>
        <v>-677.98800000000006</v>
      </c>
    </row>
    <row r="87" spans="3:31" x14ac:dyDescent="0.25">
      <c r="C87" s="1" t="s">
        <v>159</v>
      </c>
      <c r="D87" s="2">
        <v>-1</v>
      </c>
      <c r="E87" s="2">
        <v>0</v>
      </c>
      <c r="F87" s="2">
        <v>-0.16600000000000001</v>
      </c>
      <c r="G87" s="2">
        <v>-0.29899999999999999</v>
      </c>
      <c r="H87" s="2">
        <v>-56.689</v>
      </c>
      <c r="I87" s="2">
        <v>-0.94399999999999995</v>
      </c>
      <c r="J87" s="2">
        <v>-0.24099999999999999</v>
      </c>
      <c r="K87" s="2">
        <v>9.6869999999999994</v>
      </c>
      <c r="L87" s="2">
        <v>-59.319000000000003</v>
      </c>
      <c r="M87" s="2">
        <v>-0.126</v>
      </c>
      <c r="N87" s="27">
        <v>0.09</v>
      </c>
      <c r="O87" s="2">
        <v>-2.4E-2</v>
      </c>
      <c r="P87" s="5">
        <v>0</v>
      </c>
      <c r="R87" s="74"/>
      <c r="S87" s="74"/>
      <c r="W87" s="1">
        <v>0</v>
      </c>
      <c r="X87" s="2">
        <v>4.5</v>
      </c>
      <c r="Y87" s="2">
        <v>8.8000000000000007</v>
      </c>
      <c r="Z87" s="2">
        <f>SUM(D87:G87)</f>
        <v>-1.4649999999999999</v>
      </c>
      <c r="AA87" s="2">
        <f>SUM(H87:K87)</f>
        <v>-48.187000000000005</v>
      </c>
      <c r="AB87" s="2">
        <f>SUM(L87:O87)</f>
        <v>-59.378999999999998</v>
      </c>
      <c r="AD87" s="2"/>
      <c r="AE87" s="2"/>
    </row>
    <row r="88" spans="3:31" x14ac:dyDescent="0.25">
      <c r="C88" s="1" t="s">
        <v>160</v>
      </c>
      <c r="D88" s="2">
        <v>0</v>
      </c>
      <c r="E88" s="2">
        <v>0</v>
      </c>
      <c r="F88" s="2">
        <v>0</v>
      </c>
      <c r="G88" s="2">
        <v>0</v>
      </c>
      <c r="H88" s="2">
        <v>32.700000000000003</v>
      </c>
      <c r="I88" s="2">
        <v>3</v>
      </c>
      <c r="J88" s="2">
        <v>0</v>
      </c>
      <c r="K88" s="2">
        <v>0</v>
      </c>
      <c r="L88" s="2">
        <v>76.988</v>
      </c>
      <c r="M88" s="2">
        <v>1.9E-2</v>
      </c>
      <c r="N88" s="2">
        <v>0</v>
      </c>
      <c r="O88" s="2">
        <v>0</v>
      </c>
      <c r="P88" s="5">
        <v>0</v>
      </c>
      <c r="R88" s="74"/>
      <c r="S88" s="74"/>
      <c r="W88" s="2">
        <v>11.72</v>
      </c>
      <c r="X88" s="2">
        <v>-76.14</v>
      </c>
      <c r="Y88" s="2">
        <v>23.1</v>
      </c>
      <c r="Z88" s="2">
        <f>SUM(D88:G88)</f>
        <v>0</v>
      </c>
      <c r="AA88" s="2">
        <f>SUM(H88:K88)</f>
        <v>35.700000000000003</v>
      </c>
      <c r="AB88" s="2">
        <f>SUM(L88:O88)</f>
        <v>77.007000000000005</v>
      </c>
    </row>
    <row r="89" spans="3:31" x14ac:dyDescent="0.25">
      <c r="C89" s="1" t="s">
        <v>161</v>
      </c>
      <c r="D89" s="2">
        <v>0</v>
      </c>
      <c r="E89" s="2">
        <v>-303.16699999999997</v>
      </c>
      <c r="F89" s="2">
        <v>0</v>
      </c>
      <c r="G89" s="2">
        <v>0</v>
      </c>
      <c r="H89" s="2">
        <v>0</v>
      </c>
      <c r="I89" s="2">
        <v>-427.39800000000002</v>
      </c>
      <c r="J89" s="2">
        <v>0</v>
      </c>
      <c r="K89" s="2">
        <v>0</v>
      </c>
      <c r="L89" s="2">
        <v>0</v>
      </c>
      <c r="M89" s="2">
        <v>-559.26599999999996</v>
      </c>
      <c r="N89" s="2">
        <v>0</v>
      </c>
      <c r="O89" s="2">
        <v>0</v>
      </c>
      <c r="P89" s="5">
        <v>0</v>
      </c>
      <c r="R89" s="74"/>
      <c r="S89" s="74"/>
      <c r="W89" s="2">
        <v>-43.164000000000001</v>
      </c>
      <c r="X89" s="2">
        <v>-3</v>
      </c>
      <c r="Y89" s="2">
        <v>-144.38200000000001</v>
      </c>
      <c r="Z89" s="2">
        <f>SUM(D89:G89)</f>
        <v>-303.16699999999997</v>
      </c>
      <c r="AA89" s="2">
        <f>SUM(H89:K89)</f>
        <v>-427.39800000000002</v>
      </c>
      <c r="AB89" s="2">
        <f>SUM(L89:O89)</f>
        <v>-559.26599999999996</v>
      </c>
    </row>
    <row r="90" spans="3:31" x14ac:dyDescent="0.25">
      <c r="C90" s="6" t="s">
        <v>70</v>
      </c>
      <c r="D90" s="30">
        <f t="shared" ref="D90:M90" si="87">SUM(D85:D89)</f>
        <v>-80.070999999999998</v>
      </c>
      <c r="E90" s="30">
        <f t="shared" si="87"/>
        <v>-306.88799999999998</v>
      </c>
      <c r="F90" s="30">
        <f t="shared" si="87"/>
        <v>-5.1660000000000004</v>
      </c>
      <c r="G90" s="30">
        <f t="shared" si="87"/>
        <v>-2.2989999999999999</v>
      </c>
      <c r="H90" s="30">
        <f>SUM(H85:H89)</f>
        <v>-27.887</v>
      </c>
      <c r="I90" s="30">
        <f t="shared" si="87"/>
        <v>-429.18100000000004</v>
      </c>
      <c r="J90" s="30">
        <f t="shared" si="87"/>
        <v>-5.2409999999999997</v>
      </c>
      <c r="K90" s="30">
        <f t="shared" si="87"/>
        <v>-112.071</v>
      </c>
      <c r="L90" s="30">
        <f t="shared" si="87"/>
        <v>-270.76200000000006</v>
      </c>
      <c r="M90" s="30">
        <f t="shared" si="87"/>
        <v>-562.79</v>
      </c>
      <c r="N90" s="30">
        <f>SUM(N85:N89)</f>
        <v>-248.22</v>
      </c>
      <c r="O90" s="30">
        <f>SUM(O85:O89)</f>
        <v>-156.126</v>
      </c>
      <c r="P90" s="15">
        <f>SUM(P85:P89)</f>
        <v>-159</v>
      </c>
      <c r="Q90" s="72">
        <f t="shared" ref="Q90:S90" si="88">SUM(Q85:Q89)</f>
        <v>0</v>
      </c>
      <c r="R90" s="72">
        <f t="shared" si="88"/>
        <v>0</v>
      </c>
      <c r="S90" s="72">
        <f t="shared" si="88"/>
        <v>0</v>
      </c>
      <c r="W90" s="30">
        <f>SUM(W85:W89)</f>
        <v>-35.893999999999998</v>
      </c>
      <c r="X90" s="30">
        <f t="shared" ref="X90" si="89">SUM(X85:X89)</f>
        <v>-279.089</v>
      </c>
      <c r="Y90" s="30">
        <f>SUM(Y85:Y89)</f>
        <v>-248.59700000000001</v>
      </c>
      <c r="Z90" s="30">
        <f>SUM(Z85:Z89)</f>
        <v>-394.42399999999998</v>
      </c>
      <c r="AA90" s="30">
        <f>SUM(AA85:AA89)</f>
        <v>-574.38000000000011</v>
      </c>
      <c r="AB90" s="30">
        <f>SUM(AB85:AB89)</f>
        <v>-1237.8980000000001</v>
      </c>
    </row>
    <row r="91" spans="3:31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/>
      <c r="R91" s="74"/>
      <c r="S91" s="74"/>
      <c r="W91" s="2"/>
      <c r="X91" s="2"/>
      <c r="Y91" s="2"/>
    </row>
    <row r="92" spans="3:31" x14ac:dyDescent="0.25">
      <c r="C92" s="1" t="s">
        <v>162</v>
      </c>
      <c r="D92" s="2">
        <v>0</v>
      </c>
      <c r="E92" s="2">
        <v>2</v>
      </c>
      <c r="F92" s="2">
        <v>0</v>
      </c>
      <c r="G92" s="2">
        <v>0</v>
      </c>
      <c r="H92" s="2">
        <v>0</v>
      </c>
      <c r="I92" s="2">
        <v>0</v>
      </c>
      <c r="J92" s="2">
        <v>0.748</v>
      </c>
      <c r="K92" s="2">
        <v>-0.621</v>
      </c>
      <c r="L92" s="2">
        <v>0</v>
      </c>
      <c r="M92" s="2">
        <v>0</v>
      </c>
      <c r="N92" s="2">
        <v>-1</v>
      </c>
      <c r="O92" s="2">
        <v>1.86</v>
      </c>
      <c r="P92" s="5">
        <v>-1.2</v>
      </c>
      <c r="R92" s="74"/>
      <c r="S92" s="74"/>
      <c r="W92" s="2">
        <v>0</v>
      </c>
      <c r="X92" s="2">
        <v>0</v>
      </c>
      <c r="Y92" s="2">
        <v>0</v>
      </c>
      <c r="Z92" s="1">
        <v>0</v>
      </c>
      <c r="AA92" s="1">
        <v>0</v>
      </c>
      <c r="AB92" s="2">
        <f>SUM(L92:O92)</f>
        <v>0.8600000000000001</v>
      </c>
    </row>
    <row r="93" spans="3:31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/>
      <c r="R93" s="74"/>
      <c r="S93" s="74"/>
      <c r="W93" s="2"/>
      <c r="X93" s="2"/>
      <c r="Y93" s="2"/>
    </row>
    <row r="94" spans="3:31" x14ac:dyDescent="0.25">
      <c r="C94" s="6" t="s">
        <v>163</v>
      </c>
      <c r="D94" s="30">
        <f t="shared" ref="D94:N94" si="90">D79+D83+D90+D92</f>
        <v>18.706999999999979</v>
      </c>
      <c r="E94" s="30">
        <f t="shared" si="90"/>
        <v>-144.13099999999997</v>
      </c>
      <c r="F94" s="30">
        <f t="shared" si="90"/>
        <v>25.094999999999938</v>
      </c>
      <c r="G94" s="30">
        <f t="shared" si="90"/>
        <v>216.07999999999996</v>
      </c>
      <c r="H94" s="30">
        <f>H79+H83+H90+H92</f>
        <v>226.91800000000003</v>
      </c>
      <c r="I94" s="30">
        <f t="shared" si="90"/>
        <v>-216.72000000000006</v>
      </c>
      <c r="J94" s="30">
        <f t="shared" si="90"/>
        <v>271.67900000000003</v>
      </c>
      <c r="K94" s="30">
        <f t="shared" si="90"/>
        <v>172.53000000000003</v>
      </c>
      <c r="L94" s="30">
        <f t="shared" si="90"/>
        <v>-11.271999999999991</v>
      </c>
      <c r="M94" s="30">
        <f t="shared" si="90"/>
        <v>-285.51899999999995</v>
      </c>
      <c r="N94" s="30">
        <f t="shared" si="90"/>
        <v>-24.757000000000062</v>
      </c>
      <c r="O94" s="30">
        <f>O79+O83+O90+O92</f>
        <v>137.74300000000008</v>
      </c>
      <c r="P94" s="15">
        <f>P79+P83+P90+P92</f>
        <v>167.91799999999995</v>
      </c>
      <c r="Q94" s="72">
        <f t="shared" ref="Q94:S94" si="91">Q79+Q83+Q90+Q92</f>
        <v>0</v>
      </c>
      <c r="R94" s="72">
        <f t="shared" si="91"/>
        <v>0</v>
      </c>
      <c r="S94" s="72">
        <f t="shared" si="91"/>
        <v>0</v>
      </c>
      <c r="W94" s="30">
        <f t="shared" ref="W94:Y94" si="92">W79+W83+W90+W92</f>
        <v>96.428999999999974</v>
      </c>
      <c r="X94" s="30">
        <f t="shared" si="92"/>
        <v>43.36099999999999</v>
      </c>
      <c r="Y94" s="30">
        <f t="shared" si="92"/>
        <v>195.35100000000008</v>
      </c>
      <c r="Z94" s="30">
        <f t="shared" ref="Z94:AA94" si="93">Z79+Z83+Z90+Z92</f>
        <v>113.75100000000015</v>
      </c>
      <c r="AA94" s="30">
        <f t="shared" si="93"/>
        <v>454.28</v>
      </c>
      <c r="AB94" s="30">
        <f>AB79+AB83+AB90+AB92</f>
        <v>-183.80499999999995</v>
      </c>
    </row>
    <row r="95" spans="3:31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/>
      <c r="Q95" s="73"/>
      <c r="R95" s="73"/>
      <c r="S95" s="73"/>
      <c r="W95" s="2"/>
      <c r="X95" s="2"/>
      <c r="Y95" s="2"/>
    </row>
    <row r="96" spans="3:31" x14ac:dyDescent="0.25">
      <c r="C96" s="1" t="s">
        <v>164</v>
      </c>
      <c r="D96" s="2">
        <f t="shared" ref="D96:O96" si="94">D79+D81</f>
        <v>99.777999999999977</v>
      </c>
      <c r="E96" s="2">
        <f t="shared" si="94"/>
        <v>163.15699999999998</v>
      </c>
      <c r="F96" s="2">
        <f t="shared" si="94"/>
        <v>29.06099999999995</v>
      </c>
      <c r="G96" s="2">
        <f t="shared" si="94"/>
        <v>218.37899999999996</v>
      </c>
      <c r="H96" s="2">
        <f t="shared" si="94"/>
        <v>254.80500000000004</v>
      </c>
      <c r="I96" s="2">
        <f t="shared" si="94"/>
        <v>211.46099999999998</v>
      </c>
      <c r="J96" s="2">
        <f t="shared" si="94"/>
        <v>276.36700000000008</v>
      </c>
      <c r="K96" s="2">
        <f t="shared" si="94"/>
        <v>284.10500000000002</v>
      </c>
      <c r="L96" s="2">
        <f t="shared" si="94"/>
        <v>265.80600000000004</v>
      </c>
      <c r="M96" s="2">
        <f t="shared" si="94"/>
        <v>275.77100000000002</v>
      </c>
      <c r="N96" s="2">
        <f t="shared" si="94"/>
        <v>324.58999999999992</v>
      </c>
      <c r="O96" s="2">
        <f t="shared" si="94"/>
        <v>290.77400000000011</v>
      </c>
      <c r="P96" s="5">
        <f>P79+P81</f>
        <v>327.69099999999997</v>
      </c>
      <c r="Q96" s="73">
        <f t="shared" ref="Q96:S96" si="95">Q79+Q81</f>
        <v>0</v>
      </c>
      <c r="R96" s="73">
        <f t="shared" si="95"/>
        <v>0</v>
      </c>
      <c r="S96" s="73">
        <f t="shared" si="95"/>
        <v>0</v>
      </c>
      <c r="W96" s="2">
        <f t="shared" ref="W96:Y96" si="96">W79+W81</f>
        <v>133.32299999999998</v>
      </c>
      <c r="X96" s="2">
        <f t="shared" si="96"/>
        <v>324.74999999999994</v>
      </c>
      <c r="Y96" s="2">
        <f t="shared" si="96"/>
        <v>445.04800000000012</v>
      </c>
      <c r="Z96" s="2">
        <f t="shared" ref="Z96:AA96" si="97">Z79+Z81</f>
        <v>510.37500000000011</v>
      </c>
      <c r="AA96" s="2">
        <f t="shared" si="97"/>
        <v>1026.7380000000001</v>
      </c>
      <c r="AB96" s="2">
        <f>AB79+AB81</f>
        <v>1156.9410000000003</v>
      </c>
    </row>
    <row r="97" spans="4:15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4:15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4:15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4:15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4:15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4:15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4:15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4:15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4:15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4:15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4:15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4:15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4429-A0A3-E547-8E55-0B09D9392765}">
  <dimension ref="A2:Y25"/>
  <sheetViews>
    <sheetView showGridLines="0" workbookViewId="0">
      <pane xSplit="5" ySplit="4" topLeftCell="N5" activePane="bottomRight" state="frozen"/>
      <selection pane="topRight" activeCell="F1" sqref="F1"/>
      <selection pane="bottomLeft" activeCell="A5" sqref="A5"/>
      <selection pane="bottomRight" activeCell="S30" sqref="S30"/>
    </sheetView>
  </sheetViews>
  <sheetFormatPr baseColWidth="10" defaultRowHeight="19" x14ac:dyDescent="0.25"/>
  <cols>
    <col min="1" max="4" width="10.83203125" style="1"/>
    <col min="5" max="5" width="22.6640625" style="4" customWidth="1"/>
    <col min="6" max="18" width="10.83203125" style="1"/>
    <col min="19" max="19" width="11.1640625" style="1" bestFit="1" customWidth="1"/>
    <col min="20" max="20" width="11.1640625" style="1" customWidth="1"/>
    <col min="21" max="16384" width="10.83203125" style="1"/>
  </cols>
  <sheetData>
    <row r="2" spans="1:25" x14ac:dyDescent="0.25">
      <c r="E2" s="42" t="s">
        <v>121</v>
      </c>
    </row>
    <row r="4" spans="1:25" s="22" customFormat="1" x14ac:dyDescent="0.25">
      <c r="E4" s="46" t="s">
        <v>112</v>
      </c>
      <c r="F4" s="45" t="s">
        <v>9</v>
      </c>
      <c r="G4" s="45" t="s">
        <v>10</v>
      </c>
      <c r="H4" s="45" t="s">
        <v>11</v>
      </c>
      <c r="I4" s="45" t="s">
        <v>12</v>
      </c>
      <c r="J4" s="63">
        <v>2022</v>
      </c>
      <c r="K4" s="45" t="s">
        <v>13</v>
      </c>
      <c r="L4" s="45" t="s">
        <v>14</v>
      </c>
      <c r="M4" s="45" t="s">
        <v>16</v>
      </c>
      <c r="N4" s="45" t="s">
        <v>17</v>
      </c>
      <c r="O4" s="63">
        <v>2023</v>
      </c>
      <c r="P4" s="45" t="s">
        <v>18</v>
      </c>
      <c r="Q4" s="45" t="s">
        <v>19</v>
      </c>
      <c r="R4" s="45" t="s">
        <v>15</v>
      </c>
      <c r="S4" s="45" t="s">
        <v>20</v>
      </c>
      <c r="T4" s="63">
        <v>2024</v>
      </c>
      <c r="U4" s="45" t="s">
        <v>99</v>
      </c>
      <c r="V4" s="45" t="s">
        <v>100</v>
      </c>
      <c r="W4" s="45" t="s">
        <v>102</v>
      </c>
      <c r="X4" s="45" t="s">
        <v>101</v>
      </c>
      <c r="Y4" s="65">
        <v>2025</v>
      </c>
    </row>
    <row r="5" spans="1:25" x14ac:dyDescent="0.25">
      <c r="A5" s="1" t="s">
        <v>125</v>
      </c>
      <c r="E5" s="50" t="s">
        <v>113</v>
      </c>
      <c r="F5" s="51">
        <v>152.4</v>
      </c>
      <c r="G5" s="51">
        <v>151.9</v>
      </c>
      <c r="H5" s="51">
        <v>159.19999999999999</v>
      </c>
      <c r="I5" s="51">
        <v>170</v>
      </c>
      <c r="J5" s="66">
        <f>SUM(F5:I5)</f>
        <v>633.5</v>
      </c>
      <c r="K5" s="51">
        <v>173.7</v>
      </c>
      <c r="L5" s="51">
        <v>175.2</v>
      </c>
      <c r="M5" s="51">
        <v>175.1</v>
      </c>
      <c r="N5" s="51">
        <v>185.8</v>
      </c>
      <c r="O5" s="66">
        <f>SUM(K5:N5)</f>
        <v>709.8</v>
      </c>
      <c r="P5" s="51">
        <v>191</v>
      </c>
      <c r="Q5" s="51">
        <v>191.3</v>
      </c>
      <c r="R5" s="51">
        <v>194.9</v>
      </c>
      <c r="S5" s="51">
        <v>201.8</v>
      </c>
      <c r="T5" s="66">
        <f>SUM(P5:S5)</f>
        <v>779</v>
      </c>
      <c r="U5" s="1">
        <v>189.7</v>
      </c>
      <c r="Y5" s="66">
        <f>SUM(U5:X5)</f>
        <v>189.7</v>
      </c>
    </row>
    <row r="6" spans="1:25" x14ac:dyDescent="0.25">
      <c r="E6" s="55" t="s">
        <v>120</v>
      </c>
      <c r="F6" s="52">
        <f t="shared" ref="F6:R6" si="0">F5/F15</f>
        <v>0.46619761394921994</v>
      </c>
      <c r="G6" s="52">
        <f t="shared" si="0"/>
        <v>0.44156976744186049</v>
      </c>
      <c r="H6" s="52">
        <f t="shared" si="0"/>
        <v>0.42060766182298542</v>
      </c>
      <c r="I6" s="52">
        <f t="shared" si="0"/>
        <v>0.41717791411042948</v>
      </c>
      <c r="J6" s="52">
        <f t="shared" si="0"/>
        <v>0.43482737318964931</v>
      </c>
      <c r="K6" s="52">
        <f t="shared" si="0"/>
        <v>0.40432960893854741</v>
      </c>
      <c r="L6" s="52">
        <f t="shared" si="0"/>
        <v>0.3971888460666515</v>
      </c>
      <c r="M6" s="52">
        <f t="shared" si="0"/>
        <v>0.38687582854617764</v>
      </c>
      <c r="N6" s="52">
        <f t="shared" si="0"/>
        <v>0.3909110035766884</v>
      </c>
      <c r="O6" s="52">
        <f>O5/O15</f>
        <v>0.3946402757700434</v>
      </c>
      <c r="P6" s="52">
        <f t="shared" si="0"/>
        <v>0.38085742771684938</v>
      </c>
      <c r="Q6" s="52">
        <f t="shared" si="0"/>
        <v>0.37627852084972463</v>
      </c>
      <c r="R6" s="52">
        <f t="shared" si="0"/>
        <v>0.37516843118383064</v>
      </c>
      <c r="S6" s="52">
        <f>S5/S15</f>
        <v>0.37804421131509924</v>
      </c>
      <c r="T6" s="52">
        <f>T5/T15</f>
        <v>0.3775688251260178</v>
      </c>
      <c r="U6" s="52">
        <f>U5/U15</f>
        <v>0.3641773852946823</v>
      </c>
      <c r="V6" s="52" t="e">
        <f>V5/V15</f>
        <v>#DIV/0!</v>
      </c>
      <c r="W6" s="52" t="e">
        <f t="shared" ref="W6:X6" si="1">W5/W15</f>
        <v>#DIV/0!</v>
      </c>
      <c r="X6" s="52" t="e">
        <f t="shared" si="1"/>
        <v>#DIV/0!</v>
      </c>
      <c r="Y6" s="52">
        <f>Y5/Y15</f>
        <v>0.3641773852946823</v>
      </c>
    </row>
    <row r="7" spans="1:25" x14ac:dyDescent="0.25">
      <c r="A7" s="1" t="s">
        <v>124</v>
      </c>
      <c r="E7" s="4" t="s">
        <v>114</v>
      </c>
      <c r="F7" s="1">
        <v>103.4</v>
      </c>
      <c r="G7" s="1">
        <v>110.9</v>
      </c>
      <c r="H7" s="1">
        <v>127.8</v>
      </c>
      <c r="I7" s="1">
        <v>136.19999999999999</v>
      </c>
      <c r="J7" s="66">
        <f>SUM(F7:I7)</f>
        <v>478.3</v>
      </c>
      <c r="K7" s="1">
        <v>154</v>
      </c>
      <c r="L7" s="1">
        <v>164.5</v>
      </c>
      <c r="M7" s="1">
        <v>172.1</v>
      </c>
      <c r="N7" s="1">
        <v>181.7</v>
      </c>
      <c r="O7" s="66">
        <f>SUM(K7:N7)</f>
        <v>672.3</v>
      </c>
      <c r="P7" s="1">
        <v>197.6</v>
      </c>
      <c r="Q7" s="1">
        <v>200.7</v>
      </c>
      <c r="R7" s="1">
        <v>202.2</v>
      </c>
      <c r="S7" s="1">
        <v>202.2</v>
      </c>
      <c r="T7" s="66">
        <f>SUM(P7:S7)</f>
        <v>802.7</v>
      </c>
      <c r="U7" s="1">
        <v>201.9</v>
      </c>
      <c r="Y7" s="66">
        <f>SUM(U7:X7)</f>
        <v>201.9</v>
      </c>
    </row>
    <row r="8" spans="1:25" x14ac:dyDescent="0.25">
      <c r="A8" s="1" t="s">
        <v>126</v>
      </c>
      <c r="E8" s="53" t="s">
        <v>120</v>
      </c>
      <c r="F8" s="52">
        <f t="shared" ref="F8:R8" si="2">F7/F15</f>
        <v>0.31630468033037623</v>
      </c>
      <c r="G8" s="52">
        <f t="shared" si="2"/>
        <v>0.3223837209302326</v>
      </c>
      <c r="H8" s="52">
        <f t="shared" si="2"/>
        <v>0.33764861294583881</v>
      </c>
      <c r="I8" s="52">
        <f t="shared" si="2"/>
        <v>0.33423312883435585</v>
      </c>
      <c r="J8" s="52">
        <f>J7/J15</f>
        <v>0.32829981467499492</v>
      </c>
      <c r="K8" s="52">
        <f t="shared" si="2"/>
        <v>0.35847299813780259</v>
      </c>
      <c r="L8" s="52">
        <f t="shared" si="2"/>
        <v>0.37293130809340286</v>
      </c>
      <c r="M8" s="52">
        <f t="shared" si="2"/>
        <v>0.38024745912505525</v>
      </c>
      <c r="N8" s="52">
        <f t="shared" si="2"/>
        <v>0.38228487271197131</v>
      </c>
      <c r="O8" s="52">
        <f t="shared" si="2"/>
        <v>0.37379072612031583</v>
      </c>
      <c r="P8" s="52">
        <f t="shared" si="2"/>
        <v>0.39401794616151542</v>
      </c>
      <c r="Q8" s="52">
        <f t="shared" si="2"/>
        <v>0.3947678992918961</v>
      </c>
      <c r="R8" s="52">
        <f t="shared" si="2"/>
        <v>0.38922040423484117</v>
      </c>
      <c r="S8" s="52">
        <f>S7/S15</f>
        <v>0.37879355563881595</v>
      </c>
      <c r="T8" s="52">
        <f>T7/T15</f>
        <v>0.38905583559519191</v>
      </c>
      <c r="U8" s="52">
        <f t="shared" ref="U8:X8" si="3">U7/U15</f>
        <v>0.387598387406412</v>
      </c>
      <c r="V8" s="52" t="e">
        <f t="shared" si="3"/>
        <v>#DIV/0!</v>
      </c>
      <c r="W8" s="52" t="e">
        <f t="shared" si="3"/>
        <v>#DIV/0!</v>
      </c>
      <c r="X8" s="52" t="e">
        <f t="shared" si="3"/>
        <v>#DIV/0!</v>
      </c>
      <c r="Y8" s="52">
        <f>Y7/Y15</f>
        <v>0.387598387406412</v>
      </c>
    </row>
    <row r="9" spans="1:25" x14ac:dyDescent="0.25">
      <c r="A9" s="1" t="s">
        <v>127</v>
      </c>
      <c r="E9" s="4" t="s">
        <v>123</v>
      </c>
      <c r="F9" s="1">
        <v>36.799999999999997</v>
      </c>
      <c r="G9" s="1">
        <v>46.1</v>
      </c>
      <c r="H9" s="1">
        <v>50.2</v>
      </c>
      <c r="I9" s="1">
        <v>56.2</v>
      </c>
      <c r="J9" s="66">
        <f>SUM(F9:I9)</f>
        <v>189.3</v>
      </c>
      <c r="K9" s="1">
        <v>57.3</v>
      </c>
      <c r="L9" s="1">
        <v>55.5</v>
      </c>
      <c r="M9" s="1">
        <v>54.7</v>
      </c>
      <c r="N9" s="1">
        <v>59.1</v>
      </c>
      <c r="O9" s="66">
        <f>SUM(K9:N9)</f>
        <v>226.6</v>
      </c>
      <c r="P9" s="1">
        <v>62.1</v>
      </c>
      <c r="Q9" s="1">
        <v>60.2</v>
      </c>
      <c r="R9" s="1">
        <v>64.8</v>
      </c>
      <c r="S9" s="1">
        <v>70.599999999999994</v>
      </c>
      <c r="T9" s="66">
        <f>SUM(P9:S9)</f>
        <v>257.70000000000005</v>
      </c>
      <c r="U9" s="1">
        <v>71.5</v>
      </c>
      <c r="Y9" s="66">
        <f>SUM(U9:X9)</f>
        <v>71.5</v>
      </c>
    </row>
    <row r="10" spans="1:25" x14ac:dyDescent="0.25">
      <c r="E10" s="55" t="s">
        <v>120</v>
      </c>
      <c r="F10" s="52">
        <f t="shared" ref="F10:R10" si="4">F9/F15</f>
        <v>0.1125726521872132</v>
      </c>
      <c r="G10" s="52">
        <f t="shared" si="4"/>
        <v>0.13401162790697674</v>
      </c>
      <c r="H10" s="52">
        <f t="shared" si="4"/>
        <v>0.13262879788639367</v>
      </c>
      <c r="I10" s="52">
        <f t="shared" si="4"/>
        <v>0.13791411042944787</v>
      </c>
      <c r="J10" s="52">
        <f t="shared" si="4"/>
        <v>0.12993342027592836</v>
      </c>
      <c r="K10" s="52">
        <f t="shared" si="4"/>
        <v>0.13337988826815642</v>
      </c>
      <c r="L10" s="52">
        <f t="shared" si="4"/>
        <v>0.12582180911357968</v>
      </c>
      <c r="M10" s="52">
        <f t="shared" si="4"/>
        <v>0.12085726911179852</v>
      </c>
      <c r="N10" s="52">
        <f t="shared" si="4"/>
        <v>0.12434252051335996</v>
      </c>
      <c r="O10" s="52">
        <f t="shared" si="4"/>
        <v>0.12598687868342046</v>
      </c>
      <c r="P10" s="52">
        <f t="shared" si="4"/>
        <v>0.1238285144566301</v>
      </c>
      <c r="Q10" s="52">
        <f t="shared" si="4"/>
        <v>0.11841070023603462</v>
      </c>
      <c r="R10" s="52">
        <f t="shared" si="4"/>
        <v>0.12473532242540904</v>
      </c>
      <c r="S10" s="52">
        <f>S9/S15</f>
        <v>0.13225927313600597</v>
      </c>
      <c r="T10" s="52">
        <f>T9/T15</f>
        <v>0.12490306320279179</v>
      </c>
      <c r="U10" s="52">
        <f>U9/U15</f>
        <v>0.13726243040890768</v>
      </c>
      <c r="V10" s="52" t="e">
        <f t="shared" ref="V10:X10" si="5">V9/V15</f>
        <v>#DIV/0!</v>
      </c>
      <c r="W10" s="52" t="e">
        <f t="shared" si="5"/>
        <v>#DIV/0!</v>
      </c>
      <c r="X10" s="52" t="e">
        <f t="shared" si="5"/>
        <v>#DIV/0!</v>
      </c>
      <c r="Y10" s="52">
        <f>Y9/Y15</f>
        <v>0.13726243040890768</v>
      </c>
    </row>
    <row r="11" spans="1:25" x14ac:dyDescent="0.25">
      <c r="E11" s="4" t="s">
        <v>116</v>
      </c>
      <c r="F11" s="1">
        <v>17.2</v>
      </c>
      <c r="G11" s="1">
        <v>19.399999999999999</v>
      </c>
      <c r="H11" s="1">
        <v>24.8</v>
      </c>
      <c r="I11" s="1">
        <v>26.9</v>
      </c>
      <c r="J11" s="66">
        <f>SUM(F11:I11)</f>
        <v>88.299999999999983</v>
      </c>
      <c r="K11" s="1">
        <v>30</v>
      </c>
      <c r="L11" s="1">
        <v>31.3</v>
      </c>
      <c r="M11" s="1">
        <v>34.4</v>
      </c>
      <c r="N11" s="1">
        <v>32.1</v>
      </c>
      <c r="O11" s="66">
        <f>SUM(K11:N11)</f>
        <v>127.79999999999998</v>
      </c>
      <c r="P11" s="1">
        <v>33</v>
      </c>
      <c r="Q11" s="1">
        <v>36.6</v>
      </c>
      <c r="R11" s="1">
        <v>37.4</v>
      </c>
      <c r="S11" s="1">
        <v>38.5</v>
      </c>
      <c r="T11" s="66">
        <f>SUM(P11:S11)</f>
        <v>145.5</v>
      </c>
      <c r="U11" s="1">
        <v>36.200000000000003</v>
      </c>
      <c r="Y11" s="66">
        <f>SUM(U11:X11)</f>
        <v>36.200000000000003</v>
      </c>
    </row>
    <row r="12" spans="1:25" x14ac:dyDescent="0.25">
      <c r="E12" s="55" t="s">
        <v>120</v>
      </c>
      <c r="F12" s="52">
        <f t="shared" ref="F12:R12" si="6">F11/F15</f>
        <v>5.2615478739675738E-2</v>
      </c>
      <c r="G12" s="52">
        <f t="shared" si="6"/>
        <v>5.63953488372093E-2</v>
      </c>
      <c r="H12" s="52">
        <f t="shared" si="6"/>
        <v>6.5521796565389701E-2</v>
      </c>
      <c r="I12" s="52">
        <f t="shared" si="6"/>
        <v>6.6012269938650309E-2</v>
      </c>
      <c r="J12" s="52">
        <f t="shared" si="6"/>
        <v>6.0608140572448344E-2</v>
      </c>
      <c r="K12" s="52">
        <f t="shared" si="6"/>
        <v>6.9832402234636867E-2</v>
      </c>
      <c r="L12" s="52">
        <f t="shared" si="6"/>
        <v>7.0958966220811603E-2</v>
      </c>
      <c r="M12" s="52">
        <f t="shared" si="6"/>
        <v>7.6005302695536903E-2</v>
      </c>
      <c r="N12" s="52">
        <f t="shared" si="6"/>
        <v>6.7536292867662523E-2</v>
      </c>
      <c r="O12" s="52">
        <f t="shared" si="6"/>
        <v>7.1055265206271548E-2</v>
      </c>
      <c r="P12" s="52">
        <f t="shared" si="6"/>
        <v>6.580259222333E-2</v>
      </c>
      <c r="Q12" s="52">
        <f t="shared" si="6"/>
        <v>7.1990558615263572E-2</v>
      </c>
      <c r="R12" s="52">
        <f t="shared" si="6"/>
        <v>7.1992300288739167E-2</v>
      </c>
      <c r="S12" s="52">
        <f>S11/S15</f>
        <v>7.2124391157736972E-2</v>
      </c>
      <c r="T12" s="52">
        <f>T11/T15</f>
        <v>7.052151996898022E-2</v>
      </c>
      <c r="U12" s="52">
        <f>U11/U15</f>
        <v>6.9495104626607809E-2</v>
      </c>
      <c r="V12" s="52" t="e">
        <f t="shared" ref="V12:X12" si="7">V11/V15</f>
        <v>#DIV/0!</v>
      </c>
      <c r="W12" s="52" t="e">
        <f t="shared" si="7"/>
        <v>#DIV/0!</v>
      </c>
      <c r="X12" s="52" t="e">
        <f t="shared" si="7"/>
        <v>#DIV/0!</v>
      </c>
      <c r="Y12" s="52">
        <f>Y11/Y15</f>
        <v>6.9495104626607809E-2</v>
      </c>
    </row>
    <row r="13" spans="1:25" x14ac:dyDescent="0.25">
      <c r="E13" s="4" t="s">
        <v>117</v>
      </c>
      <c r="F13" s="1">
        <v>17.100000000000001</v>
      </c>
      <c r="G13" s="1">
        <v>15.7</v>
      </c>
      <c r="H13" s="1">
        <v>16.5</v>
      </c>
      <c r="I13" s="1">
        <v>18.2</v>
      </c>
      <c r="J13" s="66">
        <f>SUM(F13:I13)</f>
        <v>67.5</v>
      </c>
      <c r="K13" s="1">
        <v>14.6</v>
      </c>
      <c r="L13" s="1">
        <v>14.6</v>
      </c>
      <c r="M13" s="1">
        <v>16.3</v>
      </c>
      <c r="N13" s="1">
        <v>16.600000000000001</v>
      </c>
      <c r="O13" s="66">
        <f>SUM(K13:N13)</f>
        <v>62.1</v>
      </c>
      <c r="P13" s="1">
        <v>17.8</v>
      </c>
      <c r="Q13" s="1">
        <v>19.600000000000001</v>
      </c>
      <c r="R13" s="1">
        <v>20.2</v>
      </c>
      <c r="S13" s="1">
        <v>20.7</v>
      </c>
      <c r="T13" s="66">
        <f>SUM(P13:S13)</f>
        <v>78.300000000000011</v>
      </c>
      <c r="U13" s="1">
        <v>21.6</v>
      </c>
      <c r="Y13" s="66">
        <f>SUM(U13:X13)</f>
        <v>21.6</v>
      </c>
    </row>
    <row r="14" spans="1:25" ht="20" thickBot="1" x14ac:dyDescent="0.3">
      <c r="A14" s="44"/>
      <c r="B14" s="44"/>
      <c r="C14" s="44"/>
      <c r="D14" s="44"/>
      <c r="E14" s="54" t="s">
        <v>120</v>
      </c>
      <c r="F14" s="47">
        <f t="shared" ref="F14:R14" si="8">F13/F15</f>
        <v>5.2309574793514835E-2</v>
      </c>
      <c r="G14" s="47">
        <f t="shared" si="8"/>
        <v>4.5639534883720925E-2</v>
      </c>
      <c r="H14" s="47">
        <f t="shared" si="8"/>
        <v>4.3593130779392336E-2</v>
      </c>
      <c r="I14" s="47">
        <f t="shared" si="8"/>
        <v>4.4662576687116567E-2</v>
      </c>
      <c r="J14" s="47">
        <f>J13/J15</f>
        <v>4.6331251286979208E-2</v>
      </c>
      <c r="K14" s="47">
        <f t="shared" si="8"/>
        <v>3.398510242085661E-2</v>
      </c>
      <c r="L14" s="47">
        <f t="shared" si="8"/>
        <v>3.3099070505554294E-2</v>
      </c>
      <c r="M14" s="47">
        <f t="shared" si="8"/>
        <v>3.6014140521431731E-2</v>
      </c>
      <c r="N14" s="47">
        <f t="shared" si="8"/>
        <v>3.4925310330317691E-2</v>
      </c>
      <c r="O14" s="47">
        <f>O13/O15</f>
        <v>3.4526854219948853E-2</v>
      </c>
      <c r="P14" s="47">
        <f t="shared" si="8"/>
        <v>3.5493519441674976E-2</v>
      </c>
      <c r="Q14" s="47">
        <f t="shared" si="8"/>
        <v>3.8552321007081038E-2</v>
      </c>
      <c r="R14" s="47">
        <f t="shared" si="8"/>
        <v>3.8883541867179981E-2</v>
      </c>
      <c r="S14" s="47">
        <f>S13/S15</f>
        <v>3.8778568752341695E-2</v>
      </c>
      <c r="T14" s="47">
        <f>T13/T15</f>
        <v>3.7950756107018223E-2</v>
      </c>
      <c r="U14" s="47">
        <f>U13/U15</f>
        <v>4.1466692263390288E-2</v>
      </c>
      <c r="V14" s="47" t="e">
        <f t="shared" ref="V14:X14" si="9">V13/V15</f>
        <v>#DIV/0!</v>
      </c>
      <c r="W14" s="47" t="e">
        <f t="shared" si="9"/>
        <v>#DIV/0!</v>
      </c>
      <c r="X14" s="47" t="e">
        <f t="shared" si="9"/>
        <v>#DIV/0!</v>
      </c>
      <c r="Y14" s="47">
        <f>Y13/Y15</f>
        <v>4.1466692263390288E-2</v>
      </c>
    </row>
    <row r="15" spans="1:25" x14ac:dyDescent="0.25">
      <c r="E15" s="42" t="s">
        <v>118</v>
      </c>
      <c r="F15" s="6">
        <f t="shared" ref="F15:R15" si="10">F5+F7+F9+F11+F13</f>
        <v>326.90000000000003</v>
      </c>
      <c r="G15" s="6">
        <f t="shared" si="10"/>
        <v>344</v>
      </c>
      <c r="H15" s="6">
        <f t="shared" si="10"/>
        <v>378.5</v>
      </c>
      <c r="I15" s="6">
        <f>I5+I7+I9+I11+I13</f>
        <v>407.49999999999994</v>
      </c>
      <c r="J15" s="6">
        <f>J5+J7+J9+J11+J13</f>
        <v>1456.8999999999999</v>
      </c>
      <c r="K15" s="6">
        <f t="shared" si="10"/>
        <v>429.6</v>
      </c>
      <c r="L15" s="6">
        <f t="shared" si="10"/>
        <v>441.1</v>
      </c>
      <c r="M15" s="6">
        <f t="shared" si="10"/>
        <v>452.59999999999997</v>
      </c>
      <c r="N15" s="6">
        <f t="shared" si="10"/>
        <v>475.30000000000007</v>
      </c>
      <c r="O15" s="6">
        <f t="shared" si="10"/>
        <v>1798.5999999999997</v>
      </c>
      <c r="P15" s="6">
        <f t="shared" si="10"/>
        <v>501.50000000000006</v>
      </c>
      <c r="Q15" s="6">
        <f t="shared" si="10"/>
        <v>508.40000000000003</v>
      </c>
      <c r="R15" s="6">
        <f t="shared" si="10"/>
        <v>519.5</v>
      </c>
      <c r="S15" s="6">
        <f>S5+S7+S9+S11+S13</f>
        <v>533.80000000000007</v>
      </c>
      <c r="T15" s="6">
        <f t="shared" ref="T15:Y15" si="11">T5+T7+T9+T11+T13</f>
        <v>2063.2000000000003</v>
      </c>
      <c r="U15" s="6">
        <f t="shared" si="11"/>
        <v>520.9</v>
      </c>
      <c r="V15" s="6">
        <f>V5+V7+V9+V11+V13</f>
        <v>0</v>
      </c>
      <c r="W15" s="6">
        <f t="shared" si="11"/>
        <v>0</v>
      </c>
      <c r="X15" s="6">
        <f t="shared" si="11"/>
        <v>0</v>
      </c>
      <c r="Y15" s="6">
        <f t="shared" si="11"/>
        <v>520.9</v>
      </c>
    </row>
    <row r="17" spans="4:25" x14ac:dyDescent="0.25">
      <c r="D17" s="1" t="s">
        <v>119</v>
      </c>
      <c r="F17" s="10"/>
      <c r="G17" s="10"/>
      <c r="H17" s="10">
        <v>0.41</v>
      </c>
      <c r="I17" s="10">
        <v>0.4</v>
      </c>
      <c r="J17" s="10"/>
      <c r="K17" s="10">
        <v>0.4</v>
      </c>
      <c r="L17" s="10">
        <v>0.4</v>
      </c>
      <c r="M17" s="10">
        <v>0.4</v>
      </c>
      <c r="N17" s="10">
        <v>0.4</v>
      </c>
      <c r="O17" s="10"/>
      <c r="P17" s="10">
        <v>0.39</v>
      </c>
      <c r="Q17" s="10">
        <v>0.39</v>
      </c>
      <c r="R17" s="10">
        <v>0.39</v>
      </c>
      <c r="S17" s="10">
        <v>0.41</v>
      </c>
      <c r="T17" s="10"/>
      <c r="U17" s="10">
        <v>0.45</v>
      </c>
      <c r="V17" s="10"/>
      <c r="W17" s="10"/>
      <c r="X17" s="10"/>
    </row>
    <row r="19" spans="4:25" x14ac:dyDescent="0.25">
      <c r="E19" s="42" t="s">
        <v>122</v>
      </c>
    </row>
    <row r="20" spans="4:25" x14ac:dyDescent="0.25">
      <c r="J20" s="67"/>
      <c r="O20" s="67" t="s">
        <v>170</v>
      </c>
      <c r="T20" s="67" t="s">
        <v>170</v>
      </c>
      <c r="Y20" s="67" t="s">
        <v>170</v>
      </c>
    </row>
    <row r="21" spans="4:25" x14ac:dyDescent="0.25">
      <c r="E21" s="56" t="s">
        <v>113</v>
      </c>
      <c r="F21" s="33"/>
      <c r="G21" s="33">
        <f t="shared" ref="G21:R21" si="12">(G5-F5)/F5</f>
        <v>-3.2808398950131233E-3</v>
      </c>
      <c r="H21" s="33">
        <f t="shared" si="12"/>
        <v>4.8057932850559468E-2</v>
      </c>
      <c r="I21" s="33">
        <f t="shared" si="12"/>
        <v>6.7839195979899569E-2</v>
      </c>
      <c r="J21" s="33"/>
      <c r="K21" s="33">
        <f>(K5-I5)/I5</f>
        <v>2.1764705882352874E-2</v>
      </c>
      <c r="L21" s="33">
        <f t="shared" si="12"/>
        <v>8.6355785837651123E-3</v>
      </c>
      <c r="M21" s="33">
        <f t="shared" si="12"/>
        <v>-5.7077625570773011E-4</v>
      </c>
      <c r="N21" s="33">
        <f t="shared" si="12"/>
        <v>6.1107938320959551E-2</v>
      </c>
      <c r="O21" s="33">
        <f>(O5-J5)/J5</f>
        <v>0.12044198895027618</v>
      </c>
      <c r="P21" s="33">
        <f>(P5-N5)/N5</f>
        <v>2.7987082884822326E-2</v>
      </c>
      <c r="Q21" s="33">
        <f t="shared" si="12"/>
        <v>1.5706806282723108E-3</v>
      </c>
      <c r="R21" s="33">
        <f t="shared" si="12"/>
        <v>1.8818609513852558E-2</v>
      </c>
      <c r="S21" s="33">
        <f>(S5-R5)/R5</f>
        <v>3.540277065161624E-2</v>
      </c>
      <c r="T21" s="33">
        <f>(T5-O5)/O5</f>
        <v>9.749225133840525E-2</v>
      </c>
      <c r="U21" s="33">
        <f>(U5-S5)/S5</f>
        <v>-5.9960356788900007E-2</v>
      </c>
      <c r="V21" s="33">
        <f t="shared" ref="V21" si="13">(V5-U5)/U5</f>
        <v>-1</v>
      </c>
      <c r="W21" s="33" t="e">
        <f>(W5-V5)/V5</f>
        <v>#DIV/0!</v>
      </c>
      <c r="X21" s="33" t="e">
        <f>(X5-W5)/W5</f>
        <v>#DIV/0!</v>
      </c>
      <c r="Y21" s="33">
        <f>(Y5-T5)/T5</f>
        <v>-0.7564826700898587</v>
      </c>
    </row>
    <row r="22" spans="4:25" x14ac:dyDescent="0.25">
      <c r="E22" s="57" t="s">
        <v>114</v>
      </c>
      <c r="F22" s="58"/>
      <c r="G22" s="58">
        <f t="shared" ref="G22:R22" si="14">(G7-F7)/F7</f>
        <v>7.2533849129593805E-2</v>
      </c>
      <c r="H22" s="58">
        <f t="shared" si="14"/>
        <v>0.15238954012623976</v>
      </c>
      <c r="I22" s="58">
        <f t="shared" si="14"/>
        <v>6.5727699530516367E-2</v>
      </c>
      <c r="J22" s="33"/>
      <c r="K22" s="58">
        <f>(K7-I7)/I7</f>
        <v>0.13069016152716603</v>
      </c>
      <c r="L22" s="58">
        <f t="shared" si="14"/>
        <v>6.8181818181818177E-2</v>
      </c>
      <c r="M22" s="58">
        <f t="shared" si="14"/>
        <v>4.620060790273553E-2</v>
      </c>
      <c r="N22" s="58">
        <f t="shared" si="14"/>
        <v>5.5781522370714667E-2</v>
      </c>
      <c r="O22" s="33">
        <f>(O7-J7)/J7</f>
        <v>0.40560317792180628</v>
      </c>
      <c r="P22" s="58">
        <f>(P7-N7)/N7</f>
        <v>8.7506879471656612E-2</v>
      </c>
      <c r="Q22" s="58">
        <f t="shared" si="14"/>
        <v>1.5688259109311712E-2</v>
      </c>
      <c r="R22" s="58">
        <f t="shared" si="14"/>
        <v>7.4738415545590438E-3</v>
      </c>
      <c r="S22" s="58">
        <f>(S7-R7)/R7</f>
        <v>0</v>
      </c>
      <c r="T22" s="33">
        <f>(T7-O7)/O7</f>
        <v>0.19396102930239492</v>
      </c>
      <c r="U22" s="33">
        <f>(U7-S7)/S7</f>
        <v>-1.4836795252224676E-3</v>
      </c>
      <c r="V22" s="58">
        <f t="shared" ref="V22:W22" si="15">(V7-U7)/U7</f>
        <v>-1</v>
      </c>
      <c r="W22" s="58" t="e">
        <f t="shared" si="15"/>
        <v>#DIV/0!</v>
      </c>
      <c r="X22" s="58" t="e">
        <f>(X7-W7)/W7</f>
        <v>#DIV/0!</v>
      </c>
      <c r="Y22" s="33">
        <f>(Y7-T7)/T7</f>
        <v>-0.74847390058552388</v>
      </c>
    </row>
    <row r="23" spans="4:25" x14ac:dyDescent="0.25">
      <c r="E23" s="57" t="s">
        <v>115</v>
      </c>
      <c r="F23" s="58"/>
      <c r="G23" s="58">
        <f>(G9-F9)/F9</f>
        <v>0.25271739130434795</v>
      </c>
      <c r="H23" s="58">
        <f t="shared" ref="H23:R23" si="16">(H9-G9)/G9</f>
        <v>8.8937093275488099E-2</v>
      </c>
      <c r="I23" s="58">
        <f t="shared" si="16"/>
        <v>0.1195219123505976</v>
      </c>
      <c r="J23" s="58"/>
      <c r="K23" s="58">
        <f>(K9-I9)/I9</f>
        <v>1.9572953736654703E-2</v>
      </c>
      <c r="L23" s="58">
        <f t="shared" si="16"/>
        <v>-3.1413612565444976E-2</v>
      </c>
      <c r="M23" s="58">
        <f t="shared" si="16"/>
        <v>-1.4414414414414363E-2</v>
      </c>
      <c r="N23" s="58">
        <f t="shared" si="16"/>
        <v>8.0438756855575833E-2</v>
      </c>
      <c r="O23" s="58">
        <f>(O9-J9)/J9</f>
        <v>0.1970417326994188</v>
      </c>
      <c r="P23" s="58">
        <f>(P9-N9)/N9</f>
        <v>5.0761421319796954E-2</v>
      </c>
      <c r="Q23" s="58">
        <f t="shared" si="16"/>
        <v>-3.0595813204508833E-2</v>
      </c>
      <c r="R23" s="58">
        <f t="shared" si="16"/>
        <v>7.6411960132890269E-2</v>
      </c>
      <c r="S23" s="58">
        <f>(S9-R9)/R9</f>
        <v>8.9506172839506126E-2</v>
      </c>
      <c r="T23" s="58">
        <f>(T9-O9)/O9</f>
        <v>0.13724624889673456</v>
      </c>
      <c r="U23" s="33">
        <f>(U9-S9)/S9</f>
        <v>1.274787535410773E-2</v>
      </c>
      <c r="V23" s="58">
        <f t="shared" ref="V23:X23" si="17">(V9-U9)/U9</f>
        <v>-1</v>
      </c>
      <c r="W23" s="58" t="e">
        <f t="shared" si="17"/>
        <v>#DIV/0!</v>
      </c>
      <c r="X23" s="58" t="e">
        <f t="shared" si="17"/>
        <v>#DIV/0!</v>
      </c>
      <c r="Y23" s="58">
        <f>(Y9-T9)/T9</f>
        <v>-0.72254559565386112</v>
      </c>
    </row>
    <row r="24" spans="4:25" x14ac:dyDescent="0.25">
      <c r="E24" s="57" t="s">
        <v>116</v>
      </c>
      <c r="F24" s="58"/>
      <c r="G24" s="58">
        <f t="shared" ref="G24:R24" si="18">(G11-F11)/F11</f>
        <v>0.12790697674418602</v>
      </c>
      <c r="H24" s="58">
        <f>(H11-G11)/G11</f>
        <v>0.27835051546391765</v>
      </c>
      <c r="I24" s="58">
        <f t="shared" si="18"/>
        <v>8.4677419354838621E-2</v>
      </c>
      <c r="J24" s="58"/>
      <c r="K24" s="58">
        <f>(K11-I11)/I11</f>
        <v>0.11524163568773241</v>
      </c>
      <c r="L24" s="58">
        <f t="shared" si="18"/>
        <v>4.3333333333333356E-2</v>
      </c>
      <c r="M24" s="58">
        <f t="shared" si="18"/>
        <v>9.9041533546325805E-2</v>
      </c>
      <c r="N24" s="58">
        <f t="shared" si="18"/>
        <v>-6.6860465116278994E-2</v>
      </c>
      <c r="O24" s="58">
        <f>(O11-J11)/J11</f>
        <v>0.44733861834654598</v>
      </c>
      <c r="P24" s="58">
        <f>(P11-N11)/N11</f>
        <v>2.8037383177570048E-2</v>
      </c>
      <c r="Q24" s="58">
        <f t="shared" si="18"/>
        <v>0.10909090909090913</v>
      </c>
      <c r="R24" s="58">
        <f t="shared" si="18"/>
        <v>2.185792349726768E-2</v>
      </c>
      <c r="S24" s="58">
        <f>(S11-R11)/R11</f>
        <v>2.9411764705882391E-2</v>
      </c>
      <c r="T24" s="58">
        <f>(T11-O11)/O11</f>
        <v>0.13849765258215976</v>
      </c>
      <c r="U24" s="33">
        <f>(U11-S11)/S11</f>
        <v>-5.9740259740259663E-2</v>
      </c>
      <c r="V24" s="58">
        <f t="shared" ref="V24:X24" si="19">(V11-U11)/U11</f>
        <v>-1</v>
      </c>
      <c r="W24" s="58" t="e">
        <f t="shared" si="19"/>
        <v>#DIV/0!</v>
      </c>
      <c r="X24" s="58" t="e">
        <f t="shared" si="19"/>
        <v>#DIV/0!</v>
      </c>
      <c r="Y24" s="58">
        <f>(Y11-T11)/T11</f>
        <v>-0.75120274914089347</v>
      </c>
    </row>
    <row r="25" spans="4:25" ht="20" thickBot="1" x14ac:dyDescent="0.3">
      <c r="E25" s="43" t="s">
        <v>117</v>
      </c>
      <c r="F25" s="48"/>
      <c r="G25" s="49">
        <f t="shared" ref="G25:R25" si="20">(G13-F13)/F13</f>
        <v>-8.1871345029239886E-2</v>
      </c>
      <c r="H25" s="49">
        <f t="shared" si="20"/>
        <v>5.0955414012738898E-2</v>
      </c>
      <c r="I25" s="49">
        <f t="shared" si="20"/>
        <v>0.10303030303030299</v>
      </c>
      <c r="J25" s="49"/>
      <c r="K25" s="49">
        <f>(K13-I13)/I13</f>
        <v>-0.19780219780219779</v>
      </c>
      <c r="L25" s="49">
        <f t="shared" si="20"/>
        <v>0</v>
      </c>
      <c r="M25" s="49">
        <f t="shared" si="20"/>
        <v>0.11643835616438364</v>
      </c>
      <c r="N25" s="49">
        <f t="shared" si="20"/>
        <v>1.8404907975460166E-2</v>
      </c>
      <c r="O25" s="49">
        <f>(O13-J13)/J13</f>
        <v>-7.9999999999999974E-2</v>
      </c>
      <c r="P25" s="49">
        <f>(P13-N13)/N13</f>
        <v>7.2289156626505979E-2</v>
      </c>
      <c r="Q25" s="49">
        <f t="shared" si="20"/>
        <v>0.10112359550561802</v>
      </c>
      <c r="R25" s="49">
        <f t="shared" si="20"/>
        <v>3.0612244897959072E-2</v>
      </c>
      <c r="S25" s="49">
        <f>(S13-R13)/R13</f>
        <v>2.4752475247524754E-2</v>
      </c>
      <c r="T25" s="49">
        <f>(T13-O13)/O13</f>
        <v>0.26086956521739146</v>
      </c>
      <c r="U25" s="64">
        <f>(U13-S13)/S13</f>
        <v>4.347826086956532E-2</v>
      </c>
      <c r="V25" s="49">
        <f t="shared" ref="V25:X25" si="21">(V13-U13)/U13</f>
        <v>-1</v>
      </c>
      <c r="W25" s="49" t="e">
        <f t="shared" si="21"/>
        <v>#DIV/0!</v>
      </c>
      <c r="X25" s="49" t="e">
        <f t="shared" si="21"/>
        <v>#DIV/0!</v>
      </c>
      <c r="Y25" s="49">
        <f>(Y13-T13)/T13</f>
        <v>-0.72413793103448276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204C-C5AC-9448-8DAA-59DF960E04B4}">
  <dimension ref="C3:F6"/>
  <sheetViews>
    <sheetView showGridLines="0" zoomScale="120" zoomScaleNormal="120" workbookViewId="0">
      <selection activeCell="E19" sqref="E19"/>
    </sheetView>
  </sheetViews>
  <sheetFormatPr baseColWidth="10" defaultRowHeight="16" x14ac:dyDescent="0.2"/>
  <cols>
    <col min="3" max="3" width="40" bestFit="1" customWidth="1"/>
    <col min="4" max="6" width="19" bestFit="1" customWidth="1"/>
  </cols>
  <sheetData>
    <row r="3" spans="3:6" ht="62" x14ac:dyDescent="0.7">
      <c r="C3" s="60"/>
      <c r="D3" s="60">
        <v>2025</v>
      </c>
      <c r="E3" s="60">
        <v>2026</v>
      </c>
      <c r="F3" s="60">
        <v>2027</v>
      </c>
    </row>
    <row r="4" spans="3:6" ht="62" x14ac:dyDescent="0.7">
      <c r="C4" s="60" t="s">
        <v>110</v>
      </c>
      <c r="D4" s="61">
        <f>Modell!$B$9/(Modell!AC10*Modell!$B$11)</f>
        <v>8.6078823814717111</v>
      </c>
      <c r="E4" s="61">
        <f>Modell!$B$9/(Modell!AD10*Modell!$B$11)</f>
        <v>7.7743977253582814</v>
      </c>
      <c r="F4" s="61">
        <f>Modell!$B$9/(Modell!AE10*Modell!$B$11)</f>
        <v>6.9618745313534847</v>
      </c>
    </row>
    <row r="5" spans="3:6" ht="62" x14ac:dyDescent="0.7">
      <c r="C5" s="60" t="s">
        <v>89</v>
      </c>
      <c r="D5" s="61">
        <f>Modell!$B$9/(Modell!AC13*Modell!$B$11)</f>
        <v>9.5908621138211227</v>
      </c>
      <c r="E5" s="61">
        <f>Modell!$B$9/(Modell!AD13*Modell!$B$11)</f>
        <v>8.6915924589830595</v>
      </c>
      <c r="F5" s="61">
        <f>Modell!$B$9/(Modell!AE13*Modell!$B$11)</f>
        <v>7.7694945740028984</v>
      </c>
    </row>
    <row r="6" spans="3:6" ht="62" x14ac:dyDescent="0.7">
      <c r="C6" s="60" t="s">
        <v>90</v>
      </c>
      <c r="D6" s="61">
        <f>Modell!$B$4/Modell!AC18</f>
        <v>12.155162258947106</v>
      </c>
      <c r="E6" s="61">
        <f>Modell!$B$4/Modell!AD18</f>
        <v>11.015455688319634</v>
      </c>
      <c r="F6" s="61">
        <f>Modell!$B$4/Modell!AE18</f>
        <v>9.8468173242653858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Market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2024-12-16T14:05:20Z</dcterms:created>
  <dcterms:modified xsi:type="dcterms:W3CDTF">2025-06-26T07:08:28Z</dcterms:modified>
</cp:coreProperties>
</file>