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F9910B42-5CCA-B54F-B986-EED1D11EC9DD}" xr6:coauthVersionLast="47" xr6:coauthVersionMax="47" xr10:uidLastSave="{00000000-0000-0000-0000-000000000000}"/>
  <bookViews>
    <workbookView xWindow="24260" yWindow="500" windowWidth="2688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4" l="1"/>
  <c r="V52" i="4" s="1"/>
  <c r="V50" i="4"/>
  <c r="V55" i="4" s="1"/>
  <c r="V40" i="4"/>
  <c r="V41" i="4" s="1"/>
  <c r="V39" i="4"/>
  <c r="V44" i="4" s="1"/>
  <c r="V29" i="4"/>
  <c r="V30" i="4" s="1"/>
  <c r="V28" i="4"/>
  <c r="V33" i="4" s="1"/>
  <c r="V18" i="4"/>
  <c r="V19" i="4" s="1"/>
  <c r="V17" i="4"/>
  <c r="V22" i="4" s="1"/>
  <c r="Q51" i="4"/>
  <c r="Q52" i="4" s="1"/>
  <c r="Q50" i="4"/>
  <c r="Q55" i="4" s="1"/>
  <c r="Q40" i="4"/>
  <c r="Q41" i="4" s="1"/>
  <c r="Q39" i="4"/>
  <c r="Q44" i="4" s="1"/>
  <c r="Q29" i="4"/>
  <c r="Q30" i="4" s="1"/>
  <c r="Q28" i="4"/>
  <c r="Q33" i="4" s="1"/>
  <c r="Q18" i="4"/>
  <c r="Q19" i="4" s="1"/>
  <c r="Q17" i="4"/>
  <c r="Q22" i="4" s="1"/>
  <c r="L51" i="4"/>
  <c r="L52" i="4" s="1"/>
  <c r="L50" i="4"/>
  <c r="L55" i="4" s="1"/>
  <c r="L40" i="4"/>
  <c r="L41" i="4" s="1"/>
  <c r="L39" i="4"/>
  <c r="L44" i="4" s="1"/>
  <c r="L29" i="4"/>
  <c r="L30" i="4" s="1"/>
  <c r="L28" i="4"/>
  <c r="L33" i="4" s="1"/>
  <c r="L18" i="4"/>
  <c r="L19" i="4" s="1"/>
  <c r="L17" i="4"/>
  <c r="L22" i="4" s="1"/>
  <c r="G52" i="4"/>
  <c r="G51" i="4"/>
  <c r="G50" i="4"/>
  <c r="G40" i="4"/>
  <c r="G41" i="4" s="1"/>
  <c r="G39" i="4"/>
  <c r="G29" i="4"/>
  <c r="G30" i="4" s="1"/>
  <c r="G28" i="4"/>
  <c r="G18" i="4"/>
  <c r="G19" i="4" s="1"/>
  <c r="G17" i="4"/>
  <c r="V7" i="4"/>
  <c r="V8" i="4" s="1"/>
  <c r="V6" i="4"/>
  <c r="V11" i="4" s="1"/>
  <c r="Q7" i="4"/>
  <c r="Q8" i="4" s="1"/>
  <c r="Q6" i="4"/>
  <c r="Q11" i="4" s="1"/>
  <c r="L11" i="4"/>
  <c r="L7" i="4"/>
  <c r="L8" i="4" s="1"/>
  <c r="L6" i="4"/>
  <c r="G8" i="4"/>
  <c r="G7" i="4"/>
  <c r="G6" i="4"/>
  <c r="AO22" i="2" l="1"/>
  <c r="AO24" i="2" s="1"/>
  <c r="AO25" i="2" s="1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AM17" i="2"/>
  <c r="AC7" i="2"/>
  <c r="AE8" i="2"/>
  <c r="AF8" i="2" s="1"/>
  <c r="AG8" i="2" s="1"/>
  <c r="AH8" i="2" s="1"/>
  <c r="AI8" i="2" s="1"/>
  <c r="AJ8" i="2" s="1"/>
  <c r="AK8" i="2" s="1"/>
  <c r="AL8" i="2" s="1"/>
  <c r="AE6" i="2"/>
  <c r="AF6" i="2" s="1"/>
  <c r="AG6" i="2" s="1"/>
  <c r="AH6" i="2" s="1"/>
  <c r="AI6" i="2" s="1"/>
  <c r="AJ6" i="2" s="1"/>
  <c r="AK6" i="2" s="1"/>
  <c r="AL6" i="2" s="1"/>
  <c r="AE5" i="2"/>
  <c r="AD8" i="2"/>
  <c r="AD7" i="2"/>
  <c r="AE7" i="2" s="1"/>
  <c r="AF7" i="2" s="1"/>
  <c r="AG7" i="2" s="1"/>
  <c r="AH7" i="2" s="1"/>
  <c r="AI7" i="2" s="1"/>
  <c r="AJ7" i="2" s="1"/>
  <c r="AK7" i="2" s="1"/>
  <c r="AL7" i="2" s="1"/>
  <c r="AD6" i="2"/>
  <c r="AD9" i="2" s="1"/>
  <c r="AD11" i="2" s="1"/>
  <c r="AD5" i="2"/>
  <c r="AE14" i="2"/>
  <c r="AF14" i="2"/>
  <c r="AG14" i="2"/>
  <c r="AH14" i="2"/>
  <c r="AI14" i="2"/>
  <c r="AJ14" i="2" s="1"/>
  <c r="AK14" i="2" s="1"/>
  <c r="AL14" i="2" s="1"/>
  <c r="AD14" i="2"/>
  <c r="AC14" i="2"/>
  <c r="AE12" i="2"/>
  <c r="AF12" i="2"/>
  <c r="AG12" i="2"/>
  <c r="AH12" i="2"/>
  <c r="AI12" i="2"/>
  <c r="AJ12" i="2"/>
  <c r="AK12" i="2"/>
  <c r="AL12" i="2" s="1"/>
  <c r="AD12" i="2"/>
  <c r="AC12" i="2"/>
  <c r="AC8" i="2"/>
  <c r="AC6" i="2"/>
  <c r="AC5" i="2"/>
  <c r="AE4" i="2"/>
  <c r="AF4" i="2"/>
  <c r="AG4" i="2" s="1"/>
  <c r="AD4" i="2"/>
  <c r="AC4" i="2"/>
  <c r="AB8" i="2"/>
  <c r="AC21" i="2"/>
  <c r="AD21" i="2"/>
  <c r="AE21" i="2"/>
  <c r="AF21" i="2"/>
  <c r="AA22" i="2"/>
  <c r="Z22" i="2"/>
  <c r="Y22" i="2"/>
  <c r="X22" i="2"/>
  <c r="V22" i="2"/>
  <c r="W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B9" i="2"/>
  <c r="AB11" i="2" s="1"/>
  <c r="AB13" i="2" s="1"/>
  <c r="AC9" i="2"/>
  <c r="AC11" i="2" s="1"/>
  <c r="AB4" i="2"/>
  <c r="AB21" i="2" s="1"/>
  <c r="E9" i="2"/>
  <c r="E11" i="2" s="1"/>
  <c r="E13" i="2" s="1"/>
  <c r="E15" i="2" s="1"/>
  <c r="E17" i="2" s="1"/>
  <c r="F9" i="2"/>
  <c r="F11" i="2" s="1"/>
  <c r="F13" i="2" s="1"/>
  <c r="F15" i="2" s="1"/>
  <c r="F17" i="2" s="1"/>
  <c r="G48" i="2"/>
  <c r="G9" i="2"/>
  <c r="G11" i="2" s="1"/>
  <c r="G13" i="2" s="1"/>
  <c r="G15" i="2" s="1"/>
  <c r="G17" i="2" s="1"/>
  <c r="D9" i="2"/>
  <c r="D11" i="2" s="1"/>
  <c r="D13" i="2" s="1"/>
  <c r="D15" i="2" s="1"/>
  <c r="D17" i="2" s="1"/>
  <c r="H9" i="2"/>
  <c r="H11" i="2" s="1"/>
  <c r="H13" i="2" s="1"/>
  <c r="H15" i="2" s="1"/>
  <c r="H17" i="2" s="1"/>
  <c r="I9" i="2"/>
  <c r="I11" i="2" s="1"/>
  <c r="I13" i="2" s="1"/>
  <c r="I15" i="2" s="1"/>
  <c r="I17" i="2" s="1"/>
  <c r="M9" i="2"/>
  <c r="M11" i="2" s="1"/>
  <c r="M13" i="2" s="1"/>
  <c r="M15" i="2" s="1"/>
  <c r="M17" i="2" s="1"/>
  <c r="J9" i="2"/>
  <c r="J11" i="2" s="1"/>
  <c r="J13" i="2" s="1"/>
  <c r="J15" i="2" s="1"/>
  <c r="J17" i="2" s="1"/>
  <c r="N9" i="2"/>
  <c r="N11" i="2" s="1"/>
  <c r="N13" i="2" s="1"/>
  <c r="K9" i="2"/>
  <c r="K11" i="2" s="1"/>
  <c r="K13" i="2" s="1"/>
  <c r="K15" i="2" s="1"/>
  <c r="K17" i="2" s="1"/>
  <c r="V67" i="2"/>
  <c r="V68" i="2" s="1"/>
  <c r="V64" i="2"/>
  <c r="V60" i="2"/>
  <c r="V57" i="2"/>
  <c r="V58" i="2" s="1"/>
  <c r="W64" i="2"/>
  <c r="W68" i="2" s="1"/>
  <c r="W60" i="2"/>
  <c r="W57" i="2"/>
  <c r="W58" i="2" s="1"/>
  <c r="V9" i="2"/>
  <c r="V11" i="2" s="1"/>
  <c r="V13" i="2" s="1"/>
  <c r="W8" i="2"/>
  <c r="W9" i="2" s="1"/>
  <c r="W11" i="2" s="1"/>
  <c r="W13" i="2" s="1"/>
  <c r="X67" i="2"/>
  <c r="X64" i="2"/>
  <c r="X60" i="2"/>
  <c r="X62" i="2" s="1"/>
  <c r="X57" i="2"/>
  <c r="X58" i="2" s="1"/>
  <c r="X74" i="2" s="1"/>
  <c r="Y64" i="2"/>
  <c r="Y68" i="2" s="1"/>
  <c r="Y60" i="2"/>
  <c r="Y62" i="2" s="1"/>
  <c r="Y57" i="2"/>
  <c r="Y58" i="2" s="1"/>
  <c r="Y74" i="2" s="1"/>
  <c r="X8" i="2"/>
  <c r="X9" i="2" s="1"/>
  <c r="X11" i="2" s="1"/>
  <c r="X13" i="2" s="1"/>
  <c r="Y8" i="2"/>
  <c r="Y9" i="2" s="1"/>
  <c r="Y11" i="2" s="1"/>
  <c r="Y13" i="2" s="1"/>
  <c r="Z64" i="2"/>
  <c r="Z68" i="2" s="1"/>
  <c r="Z60" i="2"/>
  <c r="Z62" i="2" s="1"/>
  <c r="X68" i="2"/>
  <c r="V62" i="2"/>
  <c r="W62" i="2"/>
  <c r="Z57" i="2"/>
  <c r="Z58" i="2" s="1"/>
  <c r="AA64" i="2"/>
  <c r="AA68" i="2" s="1"/>
  <c r="AA60" i="2"/>
  <c r="AA62" i="2" s="1"/>
  <c r="AA57" i="2"/>
  <c r="AA58" i="2" s="1"/>
  <c r="AA74" i="2" s="1"/>
  <c r="W21" i="2"/>
  <c r="X21" i="2"/>
  <c r="Y21" i="2"/>
  <c r="Z21" i="2"/>
  <c r="AA21" i="2"/>
  <c r="Z9" i="2"/>
  <c r="Z11" i="2" s="1"/>
  <c r="Z13" i="2" s="1"/>
  <c r="Z15" i="2" s="1"/>
  <c r="Z17" i="2" s="1"/>
  <c r="Z19" i="2" s="1"/>
  <c r="AA8" i="2"/>
  <c r="AA9" i="2" s="1"/>
  <c r="AA11" i="2" s="1"/>
  <c r="AA13" i="2" s="1"/>
  <c r="B8" i="2"/>
  <c r="B7" i="2"/>
  <c r="L60" i="2"/>
  <c r="L62" i="2" s="1"/>
  <c r="L72" i="2" s="1"/>
  <c r="D68" i="2"/>
  <c r="E68" i="2"/>
  <c r="F68" i="2"/>
  <c r="G68" i="2"/>
  <c r="H68" i="2"/>
  <c r="I68" i="2"/>
  <c r="J68" i="2"/>
  <c r="K68" i="2"/>
  <c r="L68" i="2"/>
  <c r="M68" i="2"/>
  <c r="N68" i="2"/>
  <c r="O68" i="2"/>
  <c r="D62" i="2"/>
  <c r="F62" i="2"/>
  <c r="G62" i="2"/>
  <c r="H62" i="2"/>
  <c r="J62" i="2"/>
  <c r="K62" i="2"/>
  <c r="M62" i="2"/>
  <c r="N62" i="2"/>
  <c r="O62" i="2"/>
  <c r="D58" i="2"/>
  <c r="D74" i="2" s="1"/>
  <c r="E58" i="2"/>
  <c r="E74" i="2" s="1"/>
  <c r="F58" i="2"/>
  <c r="F74" i="2" s="1"/>
  <c r="G58" i="2"/>
  <c r="G74" i="2" s="1"/>
  <c r="H58" i="2"/>
  <c r="I58" i="2"/>
  <c r="J58" i="2"/>
  <c r="K58" i="2"/>
  <c r="K74" i="2" s="1"/>
  <c r="L58" i="2"/>
  <c r="L74" i="2" s="1"/>
  <c r="M58" i="2"/>
  <c r="M74" i="2" s="1"/>
  <c r="N58" i="2"/>
  <c r="N74" i="2" s="1"/>
  <c r="O58" i="2"/>
  <c r="P68" i="2"/>
  <c r="P60" i="2"/>
  <c r="P62" i="2" s="1"/>
  <c r="P58" i="2"/>
  <c r="P74" i="2" s="1"/>
  <c r="D48" i="2"/>
  <c r="E48" i="2"/>
  <c r="F48" i="2"/>
  <c r="H48" i="2"/>
  <c r="I48" i="2"/>
  <c r="J48" i="2"/>
  <c r="K48" i="2"/>
  <c r="L48" i="2"/>
  <c r="M48" i="2"/>
  <c r="N48" i="2"/>
  <c r="O48" i="2"/>
  <c r="D37" i="2"/>
  <c r="E37" i="2"/>
  <c r="F37" i="2"/>
  <c r="G37" i="2"/>
  <c r="G49" i="2" s="1"/>
  <c r="H37" i="2"/>
  <c r="I37" i="2"/>
  <c r="J37" i="2"/>
  <c r="K37" i="2"/>
  <c r="L37" i="2"/>
  <c r="M37" i="2"/>
  <c r="N37" i="2"/>
  <c r="O37" i="2"/>
  <c r="D34" i="2"/>
  <c r="E34" i="2"/>
  <c r="F34" i="2"/>
  <c r="G34" i="2"/>
  <c r="H34" i="2"/>
  <c r="I34" i="2"/>
  <c r="J34" i="2"/>
  <c r="K34" i="2"/>
  <c r="L34" i="2"/>
  <c r="M34" i="2"/>
  <c r="N34" i="2"/>
  <c r="O34" i="2"/>
  <c r="P48" i="2"/>
  <c r="P37" i="2"/>
  <c r="P34" i="2"/>
  <c r="H21" i="2"/>
  <c r="I21" i="2"/>
  <c r="J21" i="2"/>
  <c r="K21" i="2"/>
  <c r="L21" i="2"/>
  <c r="M21" i="2"/>
  <c r="N21" i="2"/>
  <c r="O21" i="2"/>
  <c r="P21" i="2"/>
  <c r="L9" i="2"/>
  <c r="L11" i="2" s="1"/>
  <c r="L13" i="2" s="1"/>
  <c r="L15" i="2" s="1"/>
  <c r="L17" i="2" s="1"/>
  <c r="L19" i="2" s="1"/>
  <c r="O9" i="2"/>
  <c r="O11" i="2" s="1"/>
  <c r="O13" i="2" s="1"/>
  <c r="P9" i="2"/>
  <c r="P11" i="2" s="1"/>
  <c r="P13" i="2" s="1"/>
  <c r="B6" i="2"/>
  <c r="AE9" i="2" l="1"/>
  <c r="AE11" i="2" s="1"/>
  <c r="AE13" i="2"/>
  <c r="AE15" i="2" s="1"/>
  <c r="AE16" i="2" s="1"/>
  <c r="AE22" i="2"/>
  <c r="AF5" i="2"/>
  <c r="AG5" i="2" s="1"/>
  <c r="AH5" i="2" s="1"/>
  <c r="AI5" i="2" s="1"/>
  <c r="AJ5" i="2" s="1"/>
  <c r="AK5" i="2" s="1"/>
  <c r="AL5" i="2" s="1"/>
  <c r="AE23" i="2"/>
  <c r="AC13" i="2"/>
  <c r="AC23" i="2" s="1"/>
  <c r="AC22" i="2"/>
  <c r="AG21" i="2"/>
  <c r="AH4" i="2"/>
  <c r="AG9" i="2"/>
  <c r="AG11" i="2" s="1"/>
  <c r="AD13" i="2"/>
  <c r="AD22" i="2"/>
  <c r="AB22" i="2"/>
  <c r="AB23" i="2"/>
  <c r="AB15" i="2"/>
  <c r="F49" i="2"/>
  <c r="D72" i="2"/>
  <c r="H72" i="2"/>
  <c r="N49" i="2"/>
  <c r="AA72" i="2"/>
  <c r="G72" i="2"/>
  <c r="Z74" i="2"/>
  <c r="M49" i="2"/>
  <c r="E49" i="2"/>
  <c r="P72" i="2"/>
  <c r="J72" i="2"/>
  <c r="N72" i="2"/>
  <c r="F72" i="2"/>
  <c r="P49" i="2"/>
  <c r="D49" i="2"/>
  <c r="M72" i="2"/>
  <c r="AA15" i="2"/>
  <c r="AA23" i="2"/>
  <c r="J23" i="2"/>
  <c r="P23" i="2"/>
  <c r="P15" i="2"/>
  <c r="I23" i="2"/>
  <c r="I19" i="2"/>
  <c r="H23" i="2"/>
  <c r="H19" i="2"/>
  <c r="J74" i="2"/>
  <c r="I74" i="2"/>
  <c r="Z23" i="2"/>
  <c r="J49" i="2"/>
  <c r="I49" i="2"/>
  <c r="H74" i="2"/>
  <c r="H49" i="2"/>
  <c r="M23" i="2"/>
  <c r="E23" i="2"/>
  <c r="G23" i="2"/>
  <c r="F23" i="2"/>
  <c r="D19" i="2"/>
  <c r="D52" i="2"/>
  <c r="D23" i="2"/>
  <c r="L23" i="2"/>
  <c r="L52" i="2"/>
  <c r="N15" i="2"/>
  <c r="N23" i="2"/>
  <c r="K72" i="2"/>
  <c r="O72" i="2"/>
  <c r="O74" i="2"/>
  <c r="K49" i="2"/>
  <c r="O49" i="2"/>
  <c r="K23" i="2"/>
  <c r="O15" i="2"/>
  <c r="O23" i="2"/>
  <c r="V72" i="2"/>
  <c r="W72" i="2"/>
  <c r="V23" i="2"/>
  <c r="V15" i="2"/>
  <c r="W23" i="2"/>
  <c r="W15" i="2"/>
  <c r="W74" i="2"/>
  <c r="V74" i="2"/>
  <c r="Z72" i="2"/>
  <c r="X72" i="2"/>
  <c r="Y72" i="2"/>
  <c r="X15" i="2"/>
  <c r="X23" i="2"/>
  <c r="Y23" i="2"/>
  <c r="Y15" i="2"/>
  <c r="Z52" i="2"/>
  <c r="B9" i="2"/>
  <c r="D6" i="3" s="1"/>
  <c r="L49" i="2"/>
  <c r="D5" i="3" l="1"/>
  <c r="E5" i="3"/>
  <c r="F5" i="3"/>
  <c r="AE17" i="2"/>
  <c r="AE19" i="2" s="1"/>
  <c r="AF9" i="2"/>
  <c r="AF11" i="2" s="1"/>
  <c r="AC15" i="2"/>
  <c r="E6" i="3"/>
  <c r="AG13" i="2"/>
  <c r="AG22" i="2"/>
  <c r="AF13" i="2"/>
  <c r="AF22" i="2"/>
  <c r="AH21" i="2"/>
  <c r="AI4" i="2"/>
  <c r="AH9" i="2"/>
  <c r="AH11" i="2" s="1"/>
  <c r="AD15" i="2"/>
  <c r="AD23" i="2"/>
  <c r="F6" i="3"/>
  <c r="AB16" i="2"/>
  <c r="AB17" i="2" s="1"/>
  <c r="AB19" i="2" s="1"/>
  <c r="D7" i="3" s="1"/>
  <c r="I52" i="2"/>
  <c r="H52" i="2"/>
  <c r="P17" i="2"/>
  <c r="P19" i="2" s="1"/>
  <c r="P52" i="2"/>
  <c r="J52" i="2"/>
  <c r="J19" i="2"/>
  <c r="AA17" i="2"/>
  <c r="AA19" i="2" s="1"/>
  <c r="AA52" i="2"/>
  <c r="G52" i="2"/>
  <c r="G19" i="2"/>
  <c r="F19" i="2"/>
  <c r="F52" i="2"/>
  <c r="E19" i="2"/>
  <c r="E52" i="2"/>
  <c r="M19" i="2"/>
  <c r="M52" i="2"/>
  <c r="N17" i="2"/>
  <c r="N19" i="2" s="1"/>
  <c r="N52" i="2"/>
  <c r="K52" i="2"/>
  <c r="K19" i="2"/>
  <c r="O52" i="2"/>
  <c r="O17" i="2"/>
  <c r="O19" i="2" s="1"/>
  <c r="V52" i="2"/>
  <c r="V17" i="2"/>
  <c r="V19" i="2" s="1"/>
  <c r="W17" i="2"/>
  <c r="W19" i="2" s="1"/>
  <c r="W52" i="2"/>
  <c r="X17" i="2"/>
  <c r="X19" i="2" s="1"/>
  <c r="X52" i="2"/>
  <c r="Y52" i="2"/>
  <c r="Y17" i="2"/>
  <c r="Y19" i="2" s="1"/>
  <c r="AC16" i="2" l="1"/>
  <c r="AC17" i="2" s="1"/>
  <c r="AC19" i="2" s="1"/>
  <c r="E7" i="3" s="1"/>
  <c r="AH13" i="2"/>
  <c r="AH22" i="2"/>
  <c r="AJ4" i="2"/>
  <c r="AI21" i="2"/>
  <c r="AI9" i="2"/>
  <c r="AI11" i="2" s="1"/>
  <c r="AF15" i="2"/>
  <c r="AF23" i="2"/>
  <c r="AG15" i="2"/>
  <c r="AG23" i="2"/>
  <c r="AD16" i="2"/>
  <c r="AD17" i="2" s="1"/>
  <c r="AD19" i="2" s="1"/>
  <c r="F7" i="3" s="1"/>
  <c r="AG16" i="2" l="1"/>
  <c r="AG17" i="2" s="1"/>
  <c r="AG19" i="2" s="1"/>
  <c r="AF16" i="2"/>
  <c r="AF17" i="2" s="1"/>
  <c r="AF19" i="2" s="1"/>
  <c r="AI13" i="2"/>
  <c r="AI22" i="2"/>
  <c r="AJ21" i="2"/>
  <c r="AJ9" i="2"/>
  <c r="AJ11" i="2" s="1"/>
  <c r="AK4" i="2"/>
  <c r="AH15" i="2"/>
  <c r="AH23" i="2"/>
  <c r="AJ13" i="2" l="1"/>
  <c r="AJ22" i="2"/>
  <c r="AH16" i="2"/>
  <c r="AH17" i="2" s="1"/>
  <c r="AH19" i="2" s="1"/>
  <c r="AI15" i="2"/>
  <c r="AI23" i="2"/>
  <c r="AK21" i="2"/>
  <c r="AK9" i="2"/>
  <c r="AK11" i="2" s="1"/>
  <c r="AL4" i="2"/>
  <c r="AK13" i="2" l="1"/>
  <c r="AK22" i="2"/>
  <c r="AI16" i="2"/>
  <c r="AI17" i="2"/>
  <c r="AI19" i="2" s="1"/>
  <c r="AL9" i="2"/>
  <c r="AL11" i="2" s="1"/>
  <c r="AL21" i="2"/>
  <c r="AJ15" i="2"/>
  <c r="AJ23" i="2"/>
  <c r="AJ16" i="2" l="1"/>
  <c r="AJ17" i="2"/>
  <c r="AJ19" i="2" s="1"/>
  <c r="AL13" i="2"/>
  <c r="AL22" i="2"/>
  <c r="AK15" i="2"/>
  <c r="AK23" i="2"/>
  <c r="AK16" i="2" l="1"/>
  <c r="AK17" i="2" s="1"/>
  <c r="AK19" i="2" s="1"/>
  <c r="AL15" i="2"/>
  <c r="AL23" i="2"/>
  <c r="AL16" i="2" l="1"/>
  <c r="AL17" i="2"/>
  <c r="AL19" i="2" s="1"/>
  <c r="E72" i="2" l="1"/>
  <c r="E62" i="2"/>
  <c r="I72" i="2"/>
  <c r="I62" i="2"/>
</calcChain>
</file>

<file path=xl/sharedStrings.xml><?xml version="1.0" encoding="utf-8"?>
<sst xmlns="http://schemas.openxmlformats.org/spreadsheetml/2006/main" count="186" uniqueCount="123">
  <si>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</si>
  <si>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</si>
  <si>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</si>
  <si>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</si>
  <si>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</si>
  <si>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</si>
  <si>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</si>
  <si>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</si>
  <si>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</si>
  <si>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</si>
  <si>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</si>
  <si>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</si>
  <si>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</si>
  <si>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</si>
  <si>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</si>
  <si>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</si>
  <si>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</si>
  <si>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</si>
  <si>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</si>
  <si>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</si>
  <si>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</si>
  <si>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</si>
  <si>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</si>
  <si>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</si>
  <si>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</si>
  <si>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</si>
  <si>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</si>
  <si>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</si>
  <si>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</si>
  <si>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</si>
  <si>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</si>
  <si>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</si>
  <si>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</si>
  <si>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</si>
  <si>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</si>
  <si>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</si>
  <si>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</si>
  <si>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</si>
  <si>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</si>
  <si>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</si>
  <si>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Revenue</t>
  </si>
  <si>
    <t>Personnel costs</t>
  </si>
  <si>
    <t>Purchases of services and materials</t>
  </si>
  <si>
    <t>Other costs</t>
  </si>
  <si>
    <t>Other income</t>
  </si>
  <si>
    <t>EBITDA</t>
  </si>
  <si>
    <t>D/A</t>
  </si>
  <si>
    <t>EBITA</t>
  </si>
  <si>
    <t>Acquisition-related items</t>
  </si>
  <si>
    <t>Operating items (EBIT)</t>
  </si>
  <si>
    <t>Financial items</t>
  </si>
  <si>
    <t>PTP</t>
  </si>
  <si>
    <t>Tax</t>
  </si>
  <si>
    <t>Net income</t>
  </si>
  <si>
    <t>Share</t>
  </si>
  <si>
    <t>EPS</t>
  </si>
  <si>
    <t>Intangible assets</t>
  </si>
  <si>
    <t>PP&amp;E</t>
  </si>
  <si>
    <t>Right of use assets</t>
  </si>
  <si>
    <t>Other non-current assets</t>
  </si>
  <si>
    <t>Account receivables</t>
  </si>
  <si>
    <t>Revenue generated but not invoiced</t>
  </si>
  <si>
    <t>Other current assets</t>
  </si>
  <si>
    <t>Cash</t>
  </si>
  <si>
    <t>Total assets</t>
  </si>
  <si>
    <t>Shareholders of the parent comp</t>
  </si>
  <si>
    <t>Non-controlling interests</t>
  </si>
  <si>
    <t>Total equity</t>
  </si>
  <si>
    <t>Loans and borrowings</t>
  </si>
  <si>
    <t>Lease liabilities</t>
  </si>
  <si>
    <t>Provisons</t>
  </si>
  <si>
    <t>Other current liabilities</t>
  </si>
  <si>
    <t>provisons</t>
  </si>
  <si>
    <t>Work onvoiced but not yet carried out</t>
  </si>
  <si>
    <t>Accounts payable</t>
  </si>
  <si>
    <t>Other current liabilties</t>
  </si>
  <si>
    <t>Total debt</t>
  </si>
  <si>
    <t>Total E/D</t>
  </si>
  <si>
    <t>Model PTP</t>
  </si>
  <si>
    <t>Reported PTP</t>
  </si>
  <si>
    <t>D/A/I</t>
  </si>
  <si>
    <t>Other non-cash</t>
  </si>
  <si>
    <t>Income tax paid</t>
  </si>
  <si>
    <t>WC</t>
  </si>
  <si>
    <t>CFFO</t>
  </si>
  <si>
    <t>Capex</t>
  </si>
  <si>
    <t>Change in financial assets</t>
  </si>
  <si>
    <t>CFFI</t>
  </si>
  <si>
    <t>Borrowings and repayments</t>
  </si>
  <si>
    <t xml:space="preserve">Principal elemente of leases </t>
  </si>
  <si>
    <t>Payment on convertible</t>
  </si>
  <si>
    <t>CFFF</t>
  </si>
  <si>
    <t>FX</t>
  </si>
  <si>
    <t>CIC</t>
  </si>
  <si>
    <t>FCF</t>
  </si>
  <si>
    <t>Dividends paid</t>
  </si>
  <si>
    <t>EBITA margin</t>
  </si>
  <si>
    <t xml:space="preserve">Press releases: </t>
  </si>
  <si>
    <t>EV/EBITA</t>
  </si>
  <si>
    <t>Disocunt</t>
  </si>
  <si>
    <t>TV</t>
  </si>
  <si>
    <t>NPV</t>
  </si>
  <si>
    <t>NPV/Share</t>
  </si>
  <si>
    <t>Opp/nedside</t>
  </si>
  <si>
    <t>SEK million</t>
  </si>
  <si>
    <t>MC SEKm</t>
  </si>
  <si>
    <t>Cash SEKm</t>
  </si>
  <si>
    <t>Debt SEKm</t>
  </si>
  <si>
    <t>EV SEKm</t>
  </si>
  <si>
    <t>Balanse SEKm</t>
  </si>
  <si>
    <t>Cash flow SEKm</t>
  </si>
  <si>
    <t>Infrastructure</t>
  </si>
  <si>
    <t>Order backlog</t>
  </si>
  <si>
    <t>Average full-time (FTEs)</t>
  </si>
  <si>
    <t>Growth</t>
  </si>
  <si>
    <t>Acquired</t>
  </si>
  <si>
    <t>Curreny effect</t>
  </si>
  <si>
    <t>Calender effect</t>
  </si>
  <si>
    <t>Organic adjusted calender</t>
  </si>
  <si>
    <t>Industrial &amp; digital solutions</t>
  </si>
  <si>
    <t>Process industries</t>
  </si>
  <si>
    <t>Energy</t>
  </si>
  <si>
    <t>Managment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</si>
</sst>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10" fontId="2" fillId="0" borderId="1" xfId="0" applyNumberFormat="1" applyFont="1" applyBorder="1"/>
    <xf numFmtId="3" fontId="4" fillId="0" borderId="1" xfId="0" applyNumberFormat="1" applyFont="1" applyBorder="1"/>
    <xf numFmtId="0" fontId="1" fillId="0" borderId="1" xfId="0" applyFont="1" applyBorder="1"/>
    <xf numFmtId="10" fontId="2" fillId="0" borderId="0" xfId="0" applyNumberFormat="1" applyFont="1" applyBorder="1"/>
    <xf numFmtId="10" fontId="1" fillId="0" borderId="0" xfId="0" applyNumberFormat="1" applyFont="1" applyBorder="1"/>
    <xf numFmtId="3" fontId="2" fillId="0" borderId="0" xfId="0" applyNumberFormat="1" applyFont="1" applyBorder="1"/>
    <xf numFmtId="0" fontId="5" fillId="0" borderId="3" xfId="0" applyFont="1" applyBorder="1"/>
    <xf numFmtId="165" fontId="6" fillId="0" borderId="3" xfId="0" applyNumberFormat="1" applyFont="1" applyBorder="1"/>
    <xf numFmtId="0" fontId="2" fillId="0" borderId="4" xfId="0" applyFont="1" applyBorder="1"/>
    <xf numFmtId="9" fontId="2" fillId="0" borderId="0" xfId="0" applyNumberFormat="1" applyFont="1"/>
    <xf numFmtId="8" fontId="2" fillId="0" borderId="4" xfId="0" applyNumberFormat="1" applyFont="1" applyBorder="1"/>
    <xf numFmtId="165" fontId="2" fillId="0" borderId="0" xfId="0" applyNumberFormat="1" applyFont="1" applyBorder="1"/>
    <xf numFmtId="0" fontId="2" fillId="0" borderId="0" xfId="0" applyFont="1" applyBorder="1"/>
    <xf numFmtId="8" fontId="2" fillId="0" borderId="0" xfId="0" applyNumberFormat="1" applyFont="1"/>
    <xf numFmtId="0" fontId="9" fillId="0" borderId="0" xfId="0" applyFont="1"/>
    <xf numFmtId="0" fontId="8" fillId="0" borderId="0" xfId="0" applyFont="1"/>
    <xf numFmtId="0" fontId="2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Border="1"/>
    <xf numFmtId="0" fontId="2" fillId="0" borderId="7" xfId="0" applyFont="1" applyBorder="1"/>
    <xf numFmtId="0" fontId="9" fillId="0" borderId="7" xfId="0" applyFont="1" applyBorder="1"/>
    <xf numFmtId="0" fontId="1" fillId="0" borderId="6" xfId="0" applyFont="1" applyBorder="1"/>
    <xf numFmtId="166" fontId="1" fillId="0" borderId="2" xfId="0" applyNumberFormat="1" applyFont="1" applyBorder="1"/>
    <xf numFmtId="166" fontId="2" fillId="0" borderId="7" xfId="0" applyNumberFormat="1" applyFont="1" applyBorder="1"/>
    <xf numFmtId="166" fontId="1" fillId="0" borderId="8" xfId="0" applyNumberFormat="1" applyFont="1" applyBorder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471237</xdr:colOff>
      <xdr:row>18</xdr:row>
      <xdr:rowOff>25400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D776E5-95F5-AD9B-0651-8B2AB32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98737" cy="4368800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510244</xdr:colOff>
      <xdr:row>0</xdr:row>
      <xdr:rowOff>0</xdr:rowOff>
    </xdr:from>
    <xdr:to>
      <xdr:col>10</xdr:col>
      <xdr:colOff>444500</xdr:colOff>
      <xdr:row>18</xdr:row>
      <xdr:rowOff>177800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D85A519-C893-BF50-820A-467A00B3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7744" y="0"/>
          <a:ext cx="4061756" cy="4521200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685800</xdr:colOff>
      <xdr:row>0</xdr:row>
      <xdr:rowOff>0</xdr:rowOff>
    </xdr:from>
    <xdr:to>
      <xdr:col>26</xdr:col>
      <xdr:colOff>381000</xdr:colOff>
      <xdr:row>15</xdr:row>
      <xdr:rowOff>38100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7BA583C-13E4-7BF3-056C-85637699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0300" y="0"/>
          <a:ext cx="54737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0</xdr:row>
      <xdr:rowOff>0</xdr:rowOff>
    </xdr:from>
    <xdr:to>
      <xdr:col>19</xdr:col>
      <xdr:colOff>749300</xdr:colOff>
      <xdr:row>25</xdr:row>
      <xdr:rowOff>21603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10AFF6A5-AB0E-F5E1-FF7F-6C4F9DAB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1400" y="0"/>
          <a:ext cx="7772400" cy="605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23"/>
  <sheetViews>
    <sheetView showGridLines="0" workbookViewId="0">
      <selection activeCell="T42" sqref="T42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23" spans="1:1" x14ac:dyDescent="0.25">
      <c r="A23" s="1" t="s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N74"/>
  <sheetViews>
    <sheetView showGridLines="0" tabSelected="1" workbookViewId="0">
      <pane xSplit="3" ySplit="3" topLeftCell="W4" activePane="bottomRight" state="frozen"/>
      <selection pane="topRight" activeCell="D1" sqref="D1"/>
      <selection pane="bottomLeft" activeCell="A4" sqref="A4"/>
      <selection pane="bottomRight" activeCell="Z29" sqref="Z29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4"/>
    <col min="17" max="27" width="10.83203125" style="2"/>
    <col min="28" max="28" width="10.83203125" style="4"/>
    <col min="29" max="39" width="10.83203125" style="2"/>
    <col min="40" max="40" width="14.1640625" style="2" bestFit="1" customWidth="1"/>
    <col min="41" max="41" width="13.33203125" style="2" bestFit="1" customWidth="1"/>
    <col min="42" max="16384" width="10.83203125" style="2"/>
  </cols>
  <sheetData>
    <row r="1" spans="1:39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X1" s="1"/>
    </row>
    <row r="3" spans="1:39" x14ac:dyDescent="0.25">
      <c r="A3" s="1" t="s">
        <v>0</v>
      </c>
      <c r="C3" s="2" t="s">
        <v>104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7" t="s">
        <v>39</v>
      </c>
      <c r="Q3" s="7" t="s">
        <v>33</v>
      </c>
      <c r="R3" s="7" t="s">
        <v>37</v>
      </c>
      <c r="S3" s="7" t="s">
        <v>38</v>
      </c>
      <c r="V3" s="7" t="s">
        <v>34</v>
      </c>
      <c r="W3" s="7" t="s">
        <v>35</v>
      </c>
      <c r="X3" s="7" t="s">
        <v>36</v>
      </c>
      <c r="Y3" s="7" t="s">
        <v>15</v>
      </c>
      <c r="Z3" s="7" t="s">
        <v>16</v>
      </c>
      <c r="AA3" s="7" t="s">
        <v>17</v>
      </c>
      <c r="AB3" s="17" t="s">
        <v>18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23</v>
      </c>
      <c r="AH3" s="7" t="s">
        <v>24</v>
      </c>
      <c r="AI3" s="7" t="s">
        <v>25</v>
      </c>
      <c r="AJ3" s="7" t="s">
        <v>26</v>
      </c>
      <c r="AK3" s="7" t="s">
        <v>27</v>
      </c>
      <c r="AL3" s="7" t="s">
        <v>28</v>
      </c>
    </row>
    <row r="4" spans="1:39" x14ac:dyDescent="0.25">
      <c r="A4" s="2" t="s">
        <v>1</v>
      </c>
      <c r="B4" s="4">
        <v>162.1</v>
      </c>
      <c r="C4" s="1" t="s">
        <v>40</v>
      </c>
      <c r="D4" s="12">
        <v>5670</v>
      </c>
      <c r="E4" s="12">
        <v>5975</v>
      </c>
      <c r="F4" s="12">
        <v>5298</v>
      </c>
      <c r="G4" s="12">
        <v>6609</v>
      </c>
      <c r="H4" s="12">
        <v>6916</v>
      </c>
      <c r="I4" s="12">
        <v>6869</v>
      </c>
      <c r="J4" s="12">
        <v>6059</v>
      </c>
      <c r="K4" s="12">
        <v>7135</v>
      </c>
      <c r="L4" s="12">
        <v>6891</v>
      </c>
      <c r="M4" s="12">
        <v>7191</v>
      </c>
      <c r="N4" s="12">
        <v>5993</v>
      </c>
      <c r="O4" s="12">
        <v>7085</v>
      </c>
      <c r="P4" s="13">
        <v>6749</v>
      </c>
      <c r="Q4" s="14"/>
      <c r="R4" s="14"/>
      <c r="S4" s="14"/>
      <c r="V4" s="12">
        <v>19792</v>
      </c>
      <c r="W4" s="12">
        <v>18991</v>
      </c>
      <c r="X4" s="12">
        <v>20104</v>
      </c>
      <c r="Y4" s="12">
        <v>23552</v>
      </c>
      <c r="Z4" s="12">
        <v>26978</v>
      </c>
      <c r="AA4" s="12">
        <v>27160</v>
      </c>
      <c r="AB4" s="13">
        <f>AA4*1</f>
        <v>27160</v>
      </c>
      <c r="AC4" s="12">
        <f>AB4*1.05</f>
        <v>28518</v>
      </c>
      <c r="AD4" s="12">
        <f>AC4*1.1</f>
        <v>31369.800000000003</v>
      </c>
      <c r="AE4" s="12">
        <f t="shared" ref="AE4:AL4" si="0">AD4*1.1</f>
        <v>34506.780000000006</v>
      </c>
      <c r="AF4" s="12">
        <f t="shared" si="0"/>
        <v>37957.458000000013</v>
      </c>
      <c r="AG4" s="12">
        <f t="shared" si="0"/>
        <v>41753.203800000018</v>
      </c>
      <c r="AH4" s="12">
        <f t="shared" si="0"/>
        <v>45928.524180000022</v>
      </c>
      <c r="AI4" s="12">
        <f t="shared" si="0"/>
        <v>50521.376598000032</v>
      </c>
      <c r="AJ4" s="12">
        <f t="shared" si="0"/>
        <v>55573.514257800038</v>
      </c>
      <c r="AK4" s="12">
        <f t="shared" si="0"/>
        <v>61130.865683580043</v>
      </c>
      <c r="AL4" s="12">
        <f t="shared" si="0"/>
        <v>67243.952251938055</v>
      </c>
    </row>
    <row r="5" spans="1:39" x14ac:dyDescent="0.25">
      <c r="A5" s="2" t="s">
        <v>2</v>
      </c>
      <c r="B5" s="8">
        <v>113.251741</v>
      </c>
      <c r="C5" s="2" t="s">
        <v>41</v>
      </c>
      <c r="D5" s="14">
        <v>-3612</v>
      </c>
      <c r="E5" s="14">
        <v>-3733</v>
      </c>
      <c r="F5" s="14">
        <v>-3189</v>
      </c>
      <c r="G5" s="14">
        <v>-3894</v>
      </c>
      <c r="H5" s="14">
        <v>-4027</v>
      </c>
      <c r="I5" s="14">
        <v>-4299</v>
      </c>
      <c r="J5" s="14">
        <v>-3713</v>
      </c>
      <c r="K5" s="14">
        <v>-4271</v>
      </c>
      <c r="L5" s="14">
        <v>-4198</v>
      </c>
      <c r="M5" s="14">
        <v>-4350</v>
      </c>
      <c r="N5" s="14">
        <v>-3596</v>
      </c>
      <c r="O5" s="14">
        <v>-4171</v>
      </c>
      <c r="P5" s="15">
        <v>-4195</v>
      </c>
      <c r="Q5" s="14"/>
      <c r="R5" s="14"/>
      <c r="S5" s="14"/>
      <c r="V5" s="14">
        <v>-11782</v>
      </c>
      <c r="W5" s="14">
        <v>-11860</v>
      </c>
      <c r="X5" s="14">
        <v>-12266</v>
      </c>
      <c r="Y5" s="14">
        <v>-14428</v>
      </c>
      <c r="Z5" s="14">
        <v>-5585</v>
      </c>
      <c r="AA5" s="14">
        <v>-5701</v>
      </c>
      <c r="AB5" s="15">
        <v>-5701</v>
      </c>
      <c r="AC5" s="14">
        <f>AB5*1.05</f>
        <v>-5986.05</v>
      </c>
      <c r="AD5" s="14">
        <f>AC5*1.1</f>
        <v>-6584.6550000000007</v>
      </c>
      <c r="AE5" s="14">
        <f t="shared" ref="AE5:AL5" si="1">AD5*1.1</f>
        <v>-7243.1205000000009</v>
      </c>
      <c r="AF5" s="14">
        <f t="shared" si="1"/>
        <v>-7967.4325500000014</v>
      </c>
      <c r="AG5" s="14">
        <f t="shared" si="1"/>
        <v>-8764.1758050000026</v>
      </c>
      <c r="AH5" s="14">
        <f t="shared" si="1"/>
        <v>-9640.5933855000039</v>
      </c>
      <c r="AI5" s="14">
        <f t="shared" si="1"/>
        <v>-10604.652724050005</v>
      </c>
      <c r="AJ5" s="14">
        <f t="shared" si="1"/>
        <v>-11665.117996455007</v>
      </c>
      <c r="AK5" s="14">
        <f t="shared" si="1"/>
        <v>-12831.629796100508</v>
      </c>
      <c r="AL5" s="14">
        <f t="shared" si="1"/>
        <v>-14114.792775710559</v>
      </c>
    </row>
    <row r="6" spans="1:39" x14ac:dyDescent="0.25">
      <c r="A6" s="2" t="s">
        <v>105</v>
      </c>
      <c r="B6" s="5">
        <f>B4*B5</f>
        <v>18358.107216099997</v>
      </c>
      <c r="C6" s="2" t="s">
        <v>42</v>
      </c>
      <c r="D6" s="14">
        <v>-1116</v>
      </c>
      <c r="E6" s="14">
        <v>-1185</v>
      </c>
      <c r="F6" s="14">
        <v>-1162</v>
      </c>
      <c r="G6" s="14">
        <v>-1435</v>
      </c>
      <c r="H6" s="14">
        <v>-1407</v>
      </c>
      <c r="I6" s="14">
        <v>-1394</v>
      </c>
      <c r="J6" s="14">
        <v>-1234</v>
      </c>
      <c r="K6" s="14">
        <v>-1550</v>
      </c>
      <c r="L6" s="14">
        <v>-1337</v>
      </c>
      <c r="M6" s="14">
        <v>-1494</v>
      </c>
      <c r="N6" s="14">
        <v>-1326</v>
      </c>
      <c r="O6" s="14">
        <v>-1544</v>
      </c>
      <c r="P6" s="15">
        <v>-1317</v>
      </c>
      <c r="Q6" s="14"/>
      <c r="R6" s="14"/>
      <c r="S6" s="14"/>
      <c r="V6" s="14">
        <v>-4408</v>
      </c>
      <c r="W6" s="14">
        <v>-3811</v>
      </c>
      <c r="X6" s="14">
        <v>-3918</v>
      </c>
      <c r="Y6" s="14">
        <v>-4897</v>
      </c>
      <c r="Z6" s="14">
        <v>-2366</v>
      </c>
      <c r="AA6" s="14">
        <v>-2337</v>
      </c>
      <c r="AB6" s="15">
        <v>-2337</v>
      </c>
      <c r="AC6" s="14">
        <f t="shared" ref="AC6:AC8" si="2">AB6*1.05</f>
        <v>-2453.85</v>
      </c>
      <c r="AD6" s="14">
        <f t="shared" ref="AD6:AL8" si="3">AC6*1.1</f>
        <v>-2699.2350000000001</v>
      </c>
      <c r="AE6" s="14">
        <f t="shared" si="3"/>
        <v>-2969.1585000000005</v>
      </c>
      <c r="AF6" s="14">
        <f t="shared" si="3"/>
        <v>-3266.0743500000008</v>
      </c>
      <c r="AG6" s="14">
        <f t="shared" si="3"/>
        <v>-3592.6817850000011</v>
      </c>
      <c r="AH6" s="14">
        <f t="shared" si="3"/>
        <v>-3951.9499635000016</v>
      </c>
      <c r="AI6" s="14">
        <f t="shared" si="3"/>
        <v>-4347.1449598500021</v>
      </c>
      <c r="AJ6" s="14">
        <f t="shared" si="3"/>
        <v>-4781.8594558350023</v>
      </c>
      <c r="AK6" s="14">
        <f t="shared" si="3"/>
        <v>-5260.0454014185034</v>
      </c>
      <c r="AL6" s="14">
        <f t="shared" si="3"/>
        <v>-5786.0499415603545</v>
      </c>
    </row>
    <row r="7" spans="1:39" x14ac:dyDescent="0.25">
      <c r="A7" s="2" t="s">
        <v>106</v>
      </c>
      <c r="B7" s="5">
        <f>P33</f>
        <v>884</v>
      </c>
      <c r="C7" s="2" t="s">
        <v>43</v>
      </c>
      <c r="D7" s="14">
        <v>-423</v>
      </c>
      <c r="E7" s="14">
        <v>-467</v>
      </c>
      <c r="F7" s="14">
        <v>-450</v>
      </c>
      <c r="G7" s="14">
        <v>-564</v>
      </c>
      <c r="H7" s="14">
        <v>-602</v>
      </c>
      <c r="I7" s="14">
        <v>-580</v>
      </c>
      <c r="J7" s="14">
        <v>-606</v>
      </c>
      <c r="K7" s="14">
        <v>-585</v>
      </c>
      <c r="L7" s="14">
        <v>-603</v>
      </c>
      <c r="M7" s="14">
        <v>-613</v>
      </c>
      <c r="N7" s="14">
        <v>-501</v>
      </c>
      <c r="O7" s="14">
        <v>-628</v>
      </c>
      <c r="P7" s="15">
        <v>-607</v>
      </c>
      <c r="Q7" s="14"/>
      <c r="R7" s="14"/>
      <c r="S7" s="14"/>
      <c r="V7" s="14">
        <v>-1608</v>
      </c>
      <c r="W7" s="14">
        <v>-1245</v>
      </c>
      <c r="X7" s="14">
        <v>-1622</v>
      </c>
      <c r="Y7" s="14">
        <v>-1903</v>
      </c>
      <c r="Z7" s="14">
        <v>-16310</v>
      </c>
      <c r="AA7" s="14">
        <v>-16315</v>
      </c>
      <c r="AB7" s="15">
        <v>-16315</v>
      </c>
      <c r="AC7" s="14">
        <f>AB7*1.06</f>
        <v>-17293.900000000001</v>
      </c>
      <c r="AD7" s="14">
        <f t="shared" si="3"/>
        <v>-19023.290000000005</v>
      </c>
      <c r="AE7" s="14">
        <f t="shared" si="3"/>
        <v>-20925.619000000006</v>
      </c>
      <c r="AF7" s="14">
        <f t="shared" si="3"/>
        <v>-23018.18090000001</v>
      </c>
      <c r="AG7" s="14">
        <f t="shared" si="3"/>
        <v>-25319.998990000015</v>
      </c>
      <c r="AH7" s="14">
        <f t="shared" si="3"/>
        <v>-27851.998889000017</v>
      </c>
      <c r="AI7" s="14">
        <f t="shared" si="3"/>
        <v>-30637.198777900019</v>
      </c>
      <c r="AJ7" s="14">
        <f t="shared" si="3"/>
        <v>-33700.918655690024</v>
      </c>
      <c r="AK7" s="14">
        <f t="shared" si="3"/>
        <v>-37071.010521259028</v>
      </c>
      <c r="AL7" s="14">
        <f t="shared" si="3"/>
        <v>-40778.111573384936</v>
      </c>
    </row>
    <row r="8" spans="1:39" x14ac:dyDescent="0.25">
      <c r="A8" s="2" t="s">
        <v>107</v>
      </c>
      <c r="B8" s="5">
        <f>P38</f>
        <v>5405</v>
      </c>
      <c r="C8" s="2" t="s">
        <v>44</v>
      </c>
      <c r="D8" s="14">
        <v>6</v>
      </c>
      <c r="E8" s="14">
        <v>12</v>
      </c>
      <c r="F8" s="14">
        <v>51</v>
      </c>
      <c r="G8" s="14">
        <v>37</v>
      </c>
      <c r="H8" s="14">
        <v>2</v>
      </c>
      <c r="I8" s="14">
        <v>-1</v>
      </c>
      <c r="J8" s="14">
        <v>4</v>
      </c>
      <c r="K8" s="14">
        <v>3</v>
      </c>
      <c r="L8" s="14">
        <v>4</v>
      </c>
      <c r="M8" s="14">
        <v>10</v>
      </c>
      <c r="N8" s="14">
        <v>6</v>
      </c>
      <c r="O8" s="14">
        <v>23</v>
      </c>
      <c r="P8" s="15">
        <v>1</v>
      </c>
      <c r="Q8" s="14"/>
      <c r="R8" s="14"/>
      <c r="S8" s="14"/>
      <c r="V8" s="14">
        <v>31</v>
      </c>
      <c r="W8" s="14">
        <f>198-24+5</f>
        <v>179</v>
      </c>
      <c r="X8" s="14">
        <f>58-1+5</f>
        <v>62</v>
      </c>
      <c r="Y8" s="14">
        <f>98+8</f>
        <v>106</v>
      </c>
      <c r="Z8" s="14">
        <v>0</v>
      </c>
      <c r="AA8" s="14">
        <f>42-8</f>
        <v>34</v>
      </c>
      <c r="AB8" s="15">
        <f>42-8</f>
        <v>34</v>
      </c>
      <c r="AC8" s="14">
        <f t="shared" si="2"/>
        <v>35.700000000000003</v>
      </c>
      <c r="AD8" s="14">
        <f t="shared" si="3"/>
        <v>39.270000000000003</v>
      </c>
      <c r="AE8" s="14">
        <f t="shared" si="3"/>
        <v>43.19700000000001</v>
      </c>
      <c r="AF8" s="14">
        <f t="shared" si="3"/>
        <v>47.516700000000014</v>
      </c>
      <c r="AG8" s="14">
        <f t="shared" si="3"/>
        <v>52.268370000000019</v>
      </c>
      <c r="AH8" s="14">
        <f t="shared" si="3"/>
        <v>57.495207000000022</v>
      </c>
      <c r="AI8" s="14">
        <f t="shared" si="3"/>
        <v>63.244727700000027</v>
      </c>
      <c r="AJ8" s="14">
        <f t="shared" si="3"/>
        <v>69.569200470000041</v>
      </c>
      <c r="AK8" s="14">
        <f t="shared" si="3"/>
        <v>76.526120517000052</v>
      </c>
      <c r="AL8" s="14">
        <f t="shared" si="3"/>
        <v>84.17873256870007</v>
      </c>
    </row>
    <row r="9" spans="1:39" x14ac:dyDescent="0.25">
      <c r="A9" s="3" t="s">
        <v>108</v>
      </c>
      <c r="B9" s="6">
        <f>B6-B7+B8</f>
        <v>22879.107216099997</v>
      </c>
      <c r="C9" s="1" t="s">
        <v>45</v>
      </c>
      <c r="D9" s="1">
        <f>SUM(D4:D8)</f>
        <v>525</v>
      </c>
      <c r="E9" s="1">
        <f>SUM(E4:E8)</f>
        <v>602</v>
      </c>
      <c r="F9" s="1">
        <f>SUM(F4:F8)</f>
        <v>548</v>
      </c>
      <c r="G9" s="1">
        <f>SUM(G4:G8)</f>
        <v>753</v>
      </c>
      <c r="H9" s="1">
        <f>SUM(H4:H8)</f>
        <v>882</v>
      </c>
      <c r="I9" s="1">
        <f>SUM(I4:I8)</f>
        <v>595</v>
      </c>
      <c r="J9" s="1">
        <f>SUM(J4:J8)</f>
        <v>510</v>
      </c>
      <c r="K9" s="1">
        <f>SUM(K4:K8)</f>
        <v>732</v>
      </c>
      <c r="L9" s="1">
        <f t="shared" ref="L9:O9" si="4">SUM(L4:L8)</f>
        <v>757</v>
      </c>
      <c r="M9" s="1">
        <f t="shared" si="4"/>
        <v>744</v>
      </c>
      <c r="N9" s="1">
        <f t="shared" si="4"/>
        <v>576</v>
      </c>
      <c r="O9" s="1">
        <f t="shared" si="4"/>
        <v>765</v>
      </c>
      <c r="P9" s="13">
        <f>SUM(P4:P8)</f>
        <v>631</v>
      </c>
      <c r="Q9" s="12"/>
      <c r="R9" s="12"/>
      <c r="S9" s="12"/>
      <c r="T9" s="1"/>
      <c r="V9" s="12">
        <f>SUM(V4:V8)</f>
        <v>2025</v>
      </c>
      <c r="W9" s="12">
        <f>SUM(W4:W8)</f>
        <v>2254</v>
      </c>
      <c r="X9" s="12">
        <f>SUM(X4:X8)</f>
        <v>2360</v>
      </c>
      <c r="Y9" s="12">
        <f>SUM(Y4:Y8)</f>
        <v>2430</v>
      </c>
      <c r="Z9" s="12">
        <f>SUM(Z4:Z8)</f>
        <v>2717</v>
      </c>
      <c r="AA9" s="12">
        <f>SUM(AA4:AA8)</f>
        <v>2841</v>
      </c>
      <c r="AB9" s="13">
        <f t="shared" ref="AB9:AL9" si="5">SUM(AB4:AB8)</f>
        <v>2841</v>
      </c>
      <c r="AC9" s="12">
        <f t="shared" si="5"/>
        <v>2819.9000000000005</v>
      </c>
      <c r="AD9" s="12">
        <f t="shared" si="5"/>
        <v>3101.889999999999</v>
      </c>
      <c r="AE9" s="12">
        <f t="shared" si="5"/>
        <v>3412.0789999999979</v>
      </c>
      <c r="AF9" s="12">
        <f t="shared" si="5"/>
        <v>3753.2869000000028</v>
      </c>
      <c r="AG9" s="12">
        <f t="shared" si="5"/>
        <v>4128.6155899999958</v>
      </c>
      <c r="AH9" s="12">
        <f t="shared" si="5"/>
        <v>4541.4771489999985</v>
      </c>
      <c r="AI9" s="12">
        <f t="shared" si="5"/>
        <v>4995.6248639000014</v>
      </c>
      <c r="AJ9" s="12">
        <f t="shared" si="5"/>
        <v>5495.1873502900025</v>
      </c>
      <c r="AK9" s="12">
        <f t="shared" si="5"/>
        <v>6044.7060853190023</v>
      </c>
      <c r="AL9" s="12">
        <f t="shared" si="5"/>
        <v>6649.1766938509063</v>
      </c>
    </row>
    <row r="10" spans="1:39" x14ac:dyDescent="0.25">
      <c r="C10" s="2" t="s">
        <v>46</v>
      </c>
      <c r="D10" s="14">
        <v>-167</v>
      </c>
      <c r="E10" s="14">
        <v>-170</v>
      </c>
      <c r="F10" s="14">
        <v>-173</v>
      </c>
      <c r="G10" s="14">
        <v>-191</v>
      </c>
      <c r="H10" s="14">
        <v>-192</v>
      </c>
      <c r="I10" s="14">
        <v>-197</v>
      </c>
      <c r="J10" s="14">
        <v>-200</v>
      </c>
      <c r="K10" s="14">
        <v>-175</v>
      </c>
      <c r="L10" s="14">
        <v>-175</v>
      </c>
      <c r="M10" s="14">
        <v>-171</v>
      </c>
      <c r="N10" s="14">
        <v>-212</v>
      </c>
      <c r="O10" s="14">
        <v>-179</v>
      </c>
      <c r="P10" s="15">
        <v>-172</v>
      </c>
      <c r="Q10" s="14"/>
      <c r="R10" s="14"/>
      <c r="S10" s="14"/>
      <c r="V10" s="14">
        <v>-657</v>
      </c>
      <c r="W10" s="14">
        <v>-670</v>
      </c>
      <c r="X10" s="14">
        <v>-698</v>
      </c>
      <c r="Y10" s="14">
        <v>-702</v>
      </c>
      <c r="Z10" s="14">
        <v>-780</v>
      </c>
      <c r="AA10" s="14">
        <v>-737</v>
      </c>
      <c r="AB10" s="15">
        <v>-750</v>
      </c>
      <c r="AC10" s="28">
        <v>-500</v>
      </c>
      <c r="AD10" s="28">
        <v>-500</v>
      </c>
      <c r="AE10" s="28">
        <v>-500</v>
      </c>
      <c r="AF10" s="28">
        <v>-500</v>
      </c>
      <c r="AG10" s="28">
        <v>-500</v>
      </c>
      <c r="AH10" s="28">
        <v>-500</v>
      </c>
      <c r="AI10" s="28">
        <v>-500</v>
      </c>
      <c r="AJ10" s="28">
        <v>-500</v>
      </c>
      <c r="AK10" s="28">
        <v>-500</v>
      </c>
      <c r="AL10" s="28">
        <v>-500</v>
      </c>
    </row>
    <row r="11" spans="1:39" x14ac:dyDescent="0.25">
      <c r="C11" s="1" t="s">
        <v>47</v>
      </c>
      <c r="D11" s="1">
        <f>SUM(D9:D10)</f>
        <v>358</v>
      </c>
      <c r="E11" s="1">
        <f>SUM(E9:E10)</f>
        <v>432</v>
      </c>
      <c r="F11" s="1">
        <f>SUM(F9:F10)</f>
        <v>375</v>
      </c>
      <c r="G11" s="1">
        <f>SUM(G9:G10)</f>
        <v>562</v>
      </c>
      <c r="H11" s="1">
        <f>SUM(H9:H10)</f>
        <v>690</v>
      </c>
      <c r="I11" s="1">
        <f>SUM(I9:I10)</f>
        <v>398</v>
      </c>
      <c r="J11" s="1">
        <f>SUM(J9:J10)</f>
        <v>310</v>
      </c>
      <c r="K11" s="1">
        <f>SUM(K9:K10)</f>
        <v>557</v>
      </c>
      <c r="L11" s="1">
        <f t="shared" ref="L11:O11" si="6">SUM(L9:L10)</f>
        <v>582</v>
      </c>
      <c r="M11" s="1">
        <f t="shared" si="6"/>
        <v>573</v>
      </c>
      <c r="N11" s="1">
        <f t="shared" si="6"/>
        <v>364</v>
      </c>
      <c r="O11" s="1">
        <f t="shared" si="6"/>
        <v>586</v>
      </c>
      <c r="P11" s="13">
        <f>SUM(P9:P10)</f>
        <v>459</v>
      </c>
      <c r="Q11" s="14"/>
      <c r="R11" s="14"/>
      <c r="S11" s="14"/>
      <c r="V11" s="12">
        <f>SUM(V9:V10)</f>
        <v>1368</v>
      </c>
      <c r="W11" s="12">
        <f>SUM(W9:W10)</f>
        <v>1584</v>
      </c>
      <c r="X11" s="12">
        <f>SUM(X9:X10)</f>
        <v>1662</v>
      </c>
      <c r="Y11" s="12">
        <f>SUM(Y9:Y10)</f>
        <v>1728</v>
      </c>
      <c r="Z11" s="12">
        <f>SUM(Z9:Z10)</f>
        <v>1937</v>
      </c>
      <c r="AA11" s="12">
        <f>SUM(AA9:AA10)</f>
        <v>2104</v>
      </c>
      <c r="AB11" s="13">
        <f t="shared" ref="AB11:AL11" si="7">SUM(AB9:AB10)</f>
        <v>2091</v>
      </c>
      <c r="AC11" s="12">
        <f t="shared" si="7"/>
        <v>2319.9000000000005</v>
      </c>
      <c r="AD11" s="12">
        <f t="shared" si="7"/>
        <v>2601.889999999999</v>
      </c>
      <c r="AE11" s="12">
        <f t="shared" si="7"/>
        <v>2912.0789999999979</v>
      </c>
      <c r="AF11" s="12">
        <f t="shared" si="7"/>
        <v>3253.2869000000028</v>
      </c>
      <c r="AG11" s="12">
        <f t="shared" si="7"/>
        <v>3628.6155899999958</v>
      </c>
      <c r="AH11" s="12">
        <f t="shared" si="7"/>
        <v>4041.4771489999985</v>
      </c>
      <c r="AI11" s="12">
        <f t="shared" si="7"/>
        <v>4495.6248639000014</v>
      </c>
      <c r="AJ11" s="12">
        <f t="shared" si="7"/>
        <v>4995.1873502900025</v>
      </c>
      <c r="AK11" s="12">
        <f t="shared" si="7"/>
        <v>5544.7060853190023</v>
      </c>
      <c r="AL11" s="12">
        <f t="shared" si="7"/>
        <v>6149.1766938509063</v>
      </c>
    </row>
    <row r="12" spans="1:39" x14ac:dyDescent="0.25">
      <c r="C12" s="2" t="s">
        <v>48</v>
      </c>
      <c r="D12" s="14">
        <v>-42</v>
      </c>
      <c r="E12" s="14">
        <v>-97</v>
      </c>
      <c r="F12" s="14">
        <v>-111</v>
      </c>
      <c r="G12" s="14">
        <v>-35</v>
      </c>
      <c r="H12" s="14">
        <v>-44</v>
      </c>
      <c r="I12" s="14">
        <v>-35</v>
      </c>
      <c r="J12" s="14">
        <v>-40</v>
      </c>
      <c r="K12" s="14">
        <v>-41</v>
      </c>
      <c r="L12" s="14">
        <v>-41</v>
      </c>
      <c r="M12" s="14">
        <v>-31</v>
      </c>
      <c r="N12" s="14">
        <v>-49</v>
      </c>
      <c r="O12" s="14">
        <v>-42</v>
      </c>
      <c r="P12" s="15">
        <v>-43</v>
      </c>
      <c r="Q12" s="14"/>
      <c r="R12" s="14"/>
      <c r="S12" s="14"/>
      <c r="V12" s="14">
        <v>-91</v>
      </c>
      <c r="W12" s="14">
        <v>-128</v>
      </c>
      <c r="X12" s="14">
        <v>-139</v>
      </c>
      <c r="Y12" s="14">
        <v>-285</v>
      </c>
      <c r="Z12" s="14">
        <v>-159</v>
      </c>
      <c r="AA12" s="14">
        <v>-164</v>
      </c>
      <c r="AB12" s="15">
        <v>-150</v>
      </c>
      <c r="AC12" s="14">
        <f>AB12*1.05</f>
        <v>-157.5</v>
      </c>
      <c r="AD12" s="14">
        <f>AC12*1.1</f>
        <v>-173.25</v>
      </c>
      <c r="AE12" s="14">
        <f t="shared" ref="AE12:AL12" si="8">AD12*1.1</f>
        <v>-190.57500000000002</v>
      </c>
      <c r="AF12" s="14">
        <f t="shared" si="8"/>
        <v>-209.63250000000002</v>
      </c>
      <c r="AG12" s="14">
        <f t="shared" si="8"/>
        <v>-230.59575000000004</v>
      </c>
      <c r="AH12" s="14">
        <f t="shared" si="8"/>
        <v>-253.65532500000006</v>
      </c>
      <c r="AI12" s="14">
        <f t="shared" si="8"/>
        <v>-279.02085750000009</v>
      </c>
      <c r="AJ12" s="14">
        <f t="shared" si="8"/>
        <v>-306.92294325000012</v>
      </c>
      <c r="AK12" s="14">
        <f t="shared" si="8"/>
        <v>-337.61523757500015</v>
      </c>
      <c r="AL12" s="14">
        <f t="shared" si="8"/>
        <v>-371.37676133250022</v>
      </c>
    </row>
    <row r="13" spans="1:39" x14ac:dyDescent="0.25">
      <c r="C13" s="1" t="s">
        <v>49</v>
      </c>
      <c r="D13" s="1">
        <f>SUM(D11:D12)</f>
        <v>316</v>
      </c>
      <c r="E13" s="1">
        <f>SUM(E11:E12)</f>
        <v>335</v>
      </c>
      <c r="F13" s="1">
        <f>SUM(F11:F12)</f>
        <v>264</v>
      </c>
      <c r="G13" s="1">
        <f>SUM(G11:G12)</f>
        <v>527</v>
      </c>
      <c r="H13" s="1">
        <f>SUM(H11:H12)</f>
        <v>646</v>
      </c>
      <c r="I13" s="1">
        <f>SUM(I11:I12)</f>
        <v>363</v>
      </c>
      <c r="J13" s="1">
        <f>SUM(J11:J12)</f>
        <v>270</v>
      </c>
      <c r="K13" s="1">
        <f>SUM(K11:K12)</f>
        <v>516</v>
      </c>
      <c r="L13" s="1">
        <f t="shared" ref="L13:O13" si="9">SUM(L11:L12)</f>
        <v>541</v>
      </c>
      <c r="M13" s="1">
        <f t="shared" si="9"/>
        <v>542</v>
      </c>
      <c r="N13" s="1">
        <f t="shared" si="9"/>
        <v>315</v>
      </c>
      <c r="O13" s="1">
        <f t="shared" si="9"/>
        <v>544</v>
      </c>
      <c r="P13" s="13">
        <f>SUM(P11:P12)</f>
        <v>416</v>
      </c>
      <c r="Q13" s="12"/>
      <c r="R13" s="12"/>
      <c r="S13" s="12"/>
      <c r="T13" s="1"/>
      <c r="U13" s="1"/>
      <c r="V13" s="12">
        <f>SUM(V11:V12)</f>
        <v>1277</v>
      </c>
      <c r="W13" s="12">
        <f>SUM(W11:W12)</f>
        <v>1456</v>
      </c>
      <c r="X13" s="12">
        <f>SUM(X11:X12)</f>
        <v>1523</v>
      </c>
      <c r="Y13" s="12">
        <f>SUM(Y11:Y12)</f>
        <v>1443</v>
      </c>
      <c r="Z13" s="12">
        <f>SUM(Z11:Z12)</f>
        <v>1778</v>
      </c>
      <c r="AA13" s="12">
        <f>SUM(AA11:AA12)</f>
        <v>1940</v>
      </c>
      <c r="AB13" s="13">
        <f t="shared" ref="AB13:AL13" si="10">SUM(AB11:AB12)</f>
        <v>1941</v>
      </c>
      <c r="AC13" s="12">
        <f t="shared" si="10"/>
        <v>2162.4000000000005</v>
      </c>
      <c r="AD13" s="12">
        <f t="shared" si="10"/>
        <v>2428.639999999999</v>
      </c>
      <c r="AE13" s="12">
        <f t="shared" si="10"/>
        <v>2721.5039999999981</v>
      </c>
      <c r="AF13" s="12">
        <f t="shared" si="10"/>
        <v>3043.6544000000026</v>
      </c>
      <c r="AG13" s="12">
        <f t="shared" si="10"/>
        <v>3398.0198399999958</v>
      </c>
      <c r="AH13" s="12">
        <f t="shared" si="10"/>
        <v>3787.8218239999983</v>
      </c>
      <c r="AI13" s="12">
        <f t="shared" si="10"/>
        <v>4216.6040064000017</v>
      </c>
      <c r="AJ13" s="12">
        <f t="shared" si="10"/>
        <v>4688.264407040002</v>
      </c>
      <c r="AK13" s="12">
        <f t="shared" si="10"/>
        <v>5207.0908477440025</v>
      </c>
      <c r="AL13" s="12">
        <f t="shared" si="10"/>
        <v>5777.7999325184064</v>
      </c>
    </row>
    <row r="14" spans="1:39" x14ac:dyDescent="0.25">
      <c r="C14" s="2" t="s">
        <v>50</v>
      </c>
      <c r="D14" s="14">
        <v>-27</v>
      </c>
      <c r="E14" s="14">
        <v>-98</v>
      </c>
      <c r="F14" s="14">
        <v>-47</v>
      </c>
      <c r="G14" s="14">
        <v>-52</v>
      </c>
      <c r="H14" s="14">
        <v>-77</v>
      </c>
      <c r="I14" s="14">
        <v>-76</v>
      </c>
      <c r="J14" s="14">
        <v>-74</v>
      </c>
      <c r="K14" s="14">
        <v>-69</v>
      </c>
      <c r="L14" s="14">
        <v>-69</v>
      </c>
      <c r="M14" s="14">
        <v>-68</v>
      </c>
      <c r="N14" s="14">
        <v>-111</v>
      </c>
      <c r="O14" s="14">
        <v>-56</v>
      </c>
      <c r="P14" s="15">
        <v>-81</v>
      </c>
      <c r="Q14" s="14"/>
      <c r="R14" s="14"/>
      <c r="S14" s="14"/>
      <c r="V14" s="14">
        <v>-237</v>
      </c>
      <c r="W14" s="14">
        <v>-185</v>
      </c>
      <c r="X14" s="14">
        <v>-129</v>
      </c>
      <c r="Y14" s="14">
        <v>-224</v>
      </c>
      <c r="Z14" s="14">
        <v>-337</v>
      </c>
      <c r="AA14" s="14">
        <v>-305</v>
      </c>
      <c r="AB14" s="15">
        <v>-100</v>
      </c>
      <c r="AC14" s="14">
        <f>AB14*1.05</f>
        <v>-105</v>
      </c>
      <c r="AD14" s="14">
        <f>AC14*1.1</f>
        <v>-115.50000000000001</v>
      </c>
      <c r="AE14" s="14">
        <f t="shared" ref="AE14:AL14" si="11">AD14*1.1</f>
        <v>-127.05000000000003</v>
      </c>
      <c r="AF14" s="14">
        <f t="shared" si="11"/>
        <v>-139.75500000000005</v>
      </c>
      <c r="AG14" s="14">
        <f t="shared" si="11"/>
        <v>-153.73050000000006</v>
      </c>
      <c r="AH14" s="14">
        <f t="shared" si="11"/>
        <v>-169.10355000000007</v>
      </c>
      <c r="AI14" s="14">
        <f t="shared" si="11"/>
        <v>-186.01390500000008</v>
      </c>
      <c r="AJ14" s="14">
        <f t="shared" si="11"/>
        <v>-204.61529550000012</v>
      </c>
      <c r="AK14" s="14">
        <f t="shared" si="11"/>
        <v>-225.07682505000014</v>
      </c>
      <c r="AL14" s="14">
        <f t="shared" si="11"/>
        <v>-247.58450755500019</v>
      </c>
    </row>
    <row r="15" spans="1:39" x14ac:dyDescent="0.25">
      <c r="C15" s="2" t="s">
        <v>51</v>
      </c>
      <c r="D15" s="2">
        <f>SUM(D13:D14)</f>
        <v>289</v>
      </c>
      <c r="E15" s="2">
        <f>SUM(E13:E14)</f>
        <v>237</v>
      </c>
      <c r="F15" s="2">
        <f>SUM(F13:F14)</f>
        <v>217</v>
      </c>
      <c r="G15" s="2">
        <f>SUM(G13:G14)</f>
        <v>475</v>
      </c>
      <c r="H15" s="2">
        <f>SUM(H13:H14)</f>
        <v>569</v>
      </c>
      <c r="I15" s="2">
        <f>SUM(I13:I14)</f>
        <v>287</v>
      </c>
      <c r="J15" s="2">
        <f>SUM(J13:J14)</f>
        <v>196</v>
      </c>
      <c r="K15" s="2">
        <f>SUM(K13:K14)</f>
        <v>447</v>
      </c>
      <c r="L15" s="2">
        <f t="shared" ref="L15:O15" si="12">SUM(L13:L14)</f>
        <v>472</v>
      </c>
      <c r="M15" s="2">
        <f t="shared" si="12"/>
        <v>474</v>
      </c>
      <c r="N15" s="2">
        <f t="shared" si="12"/>
        <v>204</v>
      </c>
      <c r="O15" s="2">
        <f t="shared" si="12"/>
        <v>488</v>
      </c>
      <c r="P15" s="15">
        <f>SUM(P13:P14)</f>
        <v>335</v>
      </c>
      <c r="Q15" s="14"/>
      <c r="R15" s="14"/>
      <c r="S15" s="14"/>
      <c r="V15" s="14">
        <f>SUM(V13:V14)</f>
        <v>1040</v>
      </c>
      <c r="W15" s="14">
        <f>SUM(W13:W14)</f>
        <v>1271</v>
      </c>
      <c r="X15" s="14">
        <f>SUM(X13:X14)</f>
        <v>1394</v>
      </c>
      <c r="Y15" s="14">
        <f>SUM(Y13:Y14)</f>
        <v>1219</v>
      </c>
      <c r="Z15" s="14">
        <f>SUM(Z13:Z14)</f>
        <v>1441</v>
      </c>
      <c r="AA15" s="14">
        <f>SUM(AA13:AA14)</f>
        <v>1635</v>
      </c>
      <c r="AB15" s="15">
        <f t="shared" ref="AB15:AL15" si="13">SUM(AB13:AB14)</f>
        <v>1841</v>
      </c>
      <c r="AC15" s="14">
        <f t="shared" si="13"/>
        <v>2057.4000000000005</v>
      </c>
      <c r="AD15" s="14">
        <f t="shared" si="13"/>
        <v>2313.139999999999</v>
      </c>
      <c r="AE15" s="14">
        <f t="shared" si="13"/>
        <v>2594.4539999999979</v>
      </c>
      <c r="AF15" s="14">
        <f t="shared" si="13"/>
        <v>2903.8994000000025</v>
      </c>
      <c r="AG15" s="14">
        <f t="shared" si="13"/>
        <v>3244.2893399999957</v>
      </c>
      <c r="AH15" s="14">
        <f t="shared" si="13"/>
        <v>3618.718273999998</v>
      </c>
      <c r="AI15" s="14">
        <f t="shared" si="13"/>
        <v>4030.5901014000015</v>
      </c>
      <c r="AJ15" s="14">
        <f t="shared" si="13"/>
        <v>4483.6491115400022</v>
      </c>
      <c r="AK15" s="14">
        <f t="shared" si="13"/>
        <v>4982.0140226940021</v>
      </c>
      <c r="AL15" s="14">
        <f t="shared" si="13"/>
        <v>5530.2154249634059</v>
      </c>
    </row>
    <row r="16" spans="1:39" x14ac:dyDescent="0.25">
      <c r="C16" s="2" t="s">
        <v>52</v>
      </c>
      <c r="D16" s="14">
        <v>-67</v>
      </c>
      <c r="E16" s="14">
        <v>-63</v>
      </c>
      <c r="F16" s="14">
        <v>-39</v>
      </c>
      <c r="G16" s="14">
        <v>-77</v>
      </c>
      <c r="H16" s="14">
        <v>-133</v>
      </c>
      <c r="I16" s="14">
        <v>-86</v>
      </c>
      <c r="J16" s="14">
        <v>-46</v>
      </c>
      <c r="K16" s="14">
        <v>-117</v>
      </c>
      <c r="L16" s="14">
        <v>-117</v>
      </c>
      <c r="M16" s="14">
        <v>-96</v>
      </c>
      <c r="N16" s="14">
        <v>-55</v>
      </c>
      <c r="O16" s="14">
        <v>-134</v>
      </c>
      <c r="P16" s="15">
        <v>-84</v>
      </c>
      <c r="Q16" s="14"/>
      <c r="R16" s="14"/>
      <c r="S16" s="14"/>
      <c r="V16" s="14">
        <v>-219</v>
      </c>
      <c r="W16" s="14">
        <v>-279</v>
      </c>
      <c r="X16" s="14">
        <v>-264</v>
      </c>
      <c r="Y16" s="14">
        <v>-246</v>
      </c>
      <c r="Z16" s="14">
        <v>-341</v>
      </c>
      <c r="AA16" s="14">
        <v>-401</v>
      </c>
      <c r="AB16" s="15">
        <f>AB15*-0.22</f>
        <v>-405.02</v>
      </c>
      <c r="AC16" s="28">
        <f t="shared" ref="AC16:AM16" si="14">AC15*-0.22</f>
        <v>-452.6280000000001</v>
      </c>
      <c r="AD16" s="28">
        <f t="shared" si="14"/>
        <v>-508.89079999999979</v>
      </c>
      <c r="AE16" s="28">
        <f t="shared" si="14"/>
        <v>-570.77987999999959</v>
      </c>
      <c r="AF16" s="28">
        <f t="shared" si="14"/>
        <v>-638.85786800000051</v>
      </c>
      <c r="AG16" s="28">
        <f t="shared" si="14"/>
        <v>-713.74365479999904</v>
      </c>
      <c r="AH16" s="28">
        <f t="shared" si="14"/>
        <v>-796.11802027999954</v>
      </c>
      <c r="AI16" s="28">
        <f t="shared" si="14"/>
        <v>-886.72982230800028</v>
      </c>
      <c r="AJ16" s="28">
        <f t="shared" si="14"/>
        <v>-986.40280453880052</v>
      </c>
      <c r="AK16" s="28">
        <f t="shared" si="14"/>
        <v>-1096.0430849926804</v>
      </c>
      <c r="AL16" s="28">
        <f t="shared" si="14"/>
        <v>-1216.6473934919493</v>
      </c>
      <c r="AM16" s="28"/>
    </row>
    <row r="17" spans="3:118" x14ac:dyDescent="0.25">
      <c r="C17" s="1" t="s">
        <v>53</v>
      </c>
      <c r="D17" s="1">
        <f>SUM(D15:D16)</f>
        <v>222</v>
      </c>
      <c r="E17" s="1">
        <f>SUM(E15:E16)</f>
        <v>174</v>
      </c>
      <c r="F17" s="1">
        <f>SUM(F15:F16)</f>
        <v>178</v>
      </c>
      <c r="G17" s="1">
        <f>SUM(G15:G16)</f>
        <v>398</v>
      </c>
      <c r="H17" s="1">
        <f>SUM(H15:H16)</f>
        <v>436</v>
      </c>
      <c r="I17" s="1">
        <f>SUM(I15:I16)</f>
        <v>201</v>
      </c>
      <c r="J17" s="1">
        <f>SUM(J15:J16)</f>
        <v>150</v>
      </c>
      <c r="K17" s="1">
        <f>SUM(K15:K16)</f>
        <v>330</v>
      </c>
      <c r="L17" s="1">
        <f t="shared" ref="L17:O17" si="15">SUM(L15:L16)</f>
        <v>355</v>
      </c>
      <c r="M17" s="1">
        <f t="shared" si="15"/>
        <v>378</v>
      </c>
      <c r="N17" s="1">
        <f t="shared" si="15"/>
        <v>149</v>
      </c>
      <c r="O17" s="1">
        <f t="shared" si="15"/>
        <v>354</v>
      </c>
      <c r="P17" s="13">
        <f>SUM(P15:P16)</f>
        <v>251</v>
      </c>
      <c r="Q17" s="12"/>
      <c r="R17" s="12"/>
      <c r="S17" s="12"/>
      <c r="T17" s="1"/>
      <c r="U17" s="1"/>
      <c r="V17" s="12">
        <f>SUM(V15:V16)</f>
        <v>821</v>
      </c>
      <c r="W17" s="12">
        <f>SUM(W15:W16)</f>
        <v>992</v>
      </c>
      <c r="X17" s="12">
        <f>SUM(X15:X16)</f>
        <v>1130</v>
      </c>
      <c r="Y17" s="12">
        <f>SUM(Y15:Y16)</f>
        <v>973</v>
      </c>
      <c r="Z17" s="12">
        <f>SUM(Z15:Z16)</f>
        <v>1100</v>
      </c>
      <c r="AA17" s="12">
        <f>SUM(AA15:AA16)</f>
        <v>1234</v>
      </c>
      <c r="AB17" s="13">
        <f t="shared" ref="AB17:AL17" si="16">SUM(AB15:AB16)</f>
        <v>1435.98</v>
      </c>
      <c r="AC17" s="12">
        <f t="shared" si="16"/>
        <v>1604.7720000000004</v>
      </c>
      <c r="AD17" s="12">
        <f t="shared" si="16"/>
        <v>1804.2491999999993</v>
      </c>
      <c r="AE17" s="12">
        <f t="shared" si="16"/>
        <v>2023.6741199999983</v>
      </c>
      <c r="AF17" s="12">
        <f t="shared" si="16"/>
        <v>2265.041532000002</v>
      </c>
      <c r="AG17" s="12">
        <f t="shared" si="16"/>
        <v>2530.5456851999966</v>
      </c>
      <c r="AH17" s="12">
        <f t="shared" si="16"/>
        <v>2822.6002537199984</v>
      </c>
      <c r="AI17" s="12">
        <f t="shared" si="16"/>
        <v>3143.8602790920013</v>
      </c>
      <c r="AJ17" s="12">
        <f t="shared" si="16"/>
        <v>3497.2463070012018</v>
      </c>
      <c r="AK17" s="12">
        <f t="shared" si="16"/>
        <v>3885.9709377013214</v>
      </c>
      <c r="AL17" s="12">
        <f t="shared" si="16"/>
        <v>4313.5680314714564</v>
      </c>
      <c r="AM17" s="12">
        <f>AL17*(1+$AO$21)</f>
        <v>4270.4323511567418</v>
      </c>
      <c r="AN17" s="12">
        <f t="shared" ref="AN17:CY17" si="17">AM17*(1+$AO$21)</f>
        <v>4227.7280276451747</v>
      </c>
      <c r="AO17" s="12">
        <f t="shared" si="17"/>
        <v>4185.4507473687227</v>
      </c>
      <c r="AP17" s="12">
        <f t="shared" si="17"/>
        <v>4143.5962398950351</v>
      </c>
      <c r="AQ17" s="12">
        <f t="shared" si="17"/>
        <v>4102.1602774960847</v>
      </c>
      <c r="AR17" s="12">
        <f t="shared" si="17"/>
        <v>4061.1386747211241</v>
      </c>
      <c r="AS17" s="12">
        <f t="shared" si="17"/>
        <v>4020.5272879739127</v>
      </c>
      <c r="AT17" s="12">
        <f t="shared" si="17"/>
        <v>3980.3220150941734</v>
      </c>
      <c r="AU17" s="12">
        <f t="shared" si="17"/>
        <v>3940.5187949432316</v>
      </c>
      <c r="AV17" s="12">
        <f t="shared" si="17"/>
        <v>3901.1136069937993</v>
      </c>
      <c r="AW17" s="12">
        <f t="shared" si="17"/>
        <v>3862.1024709238613</v>
      </c>
      <c r="AX17" s="12">
        <f t="shared" si="17"/>
        <v>3823.4814462146228</v>
      </c>
      <c r="AY17" s="12">
        <f t="shared" si="17"/>
        <v>3785.2466317524763</v>
      </c>
      <c r="AZ17" s="12">
        <f t="shared" si="17"/>
        <v>3747.3941654349514</v>
      </c>
      <c r="BA17" s="12">
        <f t="shared" si="17"/>
        <v>3709.9202237806021</v>
      </c>
      <c r="BB17" s="12">
        <f t="shared" si="17"/>
        <v>3672.8210215427962</v>
      </c>
      <c r="BC17" s="12">
        <f t="shared" si="17"/>
        <v>3636.0928113273681</v>
      </c>
      <c r="BD17" s="12">
        <f t="shared" si="17"/>
        <v>3599.7318832140945</v>
      </c>
      <c r="BE17" s="12">
        <f t="shared" si="17"/>
        <v>3563.7345643819535</v>
      </c>
      <c r="BF17" s="12">
        <f t="shared" si="17"/>
        <v>3528.097218738134</v>
      </c>
      <c r="BG17" s="12">
        <f t="shared" si="17"/>
        <v>3492.8162465507526</v>
      </c>
      <c r="BH17" s="12">
        <f t="shared" si="17"/>
        <v>3457.8880840852448</v>
      </c>
      <c r="BI17" s="12">
        <f t="shared" si="17"/>
        <v>3423.3092032443924</v>
      </c>
      <c r="BJ17" s="12">
        <f t="shared" si="17"/>
        <v>3389.0761112119485</v>
      </c>
      <c r="BK17" s="12">
        <f t="shared" si="17"/>
        <v>3355.1853500998291</v>
      </c>
      <c r="BL17" s="12">
        <f t="shared" si="17"/>
        <v>3321.6334965988308</v>
      </c>
      <c r="BM17" s="12">
        <f t="shared" si="17"/>
        <v>3288.4171616328426</v>
      </c>
      <c r="BN17" s="12">
        <f t="shared" si="17"/>
        <v>3255.5329900165143</v>
      </c>
      <c r="BO17" s="12">
        <f t="shared" si="17"/>
        <v>3222.9776601163489</v>
      </c>
      <c r="BP17" s="12">
        <f t="shared" si="17"/>
        <v>3190.7478835151855</v>
      </c>
      <c r="BQ17" s="12">
        <f t="shared" si="17"/>
        <v>3158.8404046800338</v>
      </c>
      <c r="BR17" s="12">
        <f t="shared" si="17"/>
        <v>3127.2520006332334</v>
      </c>
      <c r="BS17" s="12">
        <f t="shared" si="17"/>
        <v>3095.979480626901</v>
      </c>
      <c r="BT17" s="12">
        <f t="shared" si="17"/>
        <v>3065.0196858206318</v>
      </c>
      <c r="BU17" s="12">
        <f t="shared" si="17"/>
        <v>3034.3694889624253</v>
      </c>
      <c r="BV17" s="12">
        <f t="shared" si="17"/>
        <v>3004.0257940728011</v>
      </c>
      <c r="BW17" s="12">
        <f t="shared" si="17"/>
        <v>2973.9855361320729</v>
      </c>
      <c r="BX17" s="12">
        <f t="shared" si="17"/>
        <v>2944.2456807707522</v>
      </c>
      <c r="BY17" s="12">
        <f t="shared" si="17"/>
        <v>2914.8032239630447</v>
      </c>
      <c r="BZ17" s="12">
        <f t="shared" si="17"/>
        <v>2885.6551917234142</v>
      </c>
      <c r="CA17" s="12">
        <f t="shared" si="17"/>
        <v>2856.7986398061798</v>
      </c>
      <c r="CB17" s="12">
        <f t="shared" si="17"/>
        <v>2828.2306534081181</v>
      </c>
      <c r="CC17" s="12">
        <f t="shared" si="17"/>
        <v>2799.9483468740368</v>
      </c>
      <c r="CD17" s="12">
        <f t="shared" si="17"/>
        <v>2771.9488634052964</v>
      </c>
      <c r="CE17" s="12">
        <f t="shared" si="17"/>
        <v>2744.2293747712433</v>
      </c>
      <c r="CF17" s="12">
        <f t="shared" si="17"/>
        <v>2716.7870810235308</v>
      </c>
      <c r="CG17" s="12">
        <f t="shared" si="17"/>
        <v>2689.6192102132954</v>
      </c>
      <c r="CH17" s="12">
        <f t="shared" si="17"/>
        <v>2662.7230181111627</v>
      </c>
      <c r="CI17" s="12">
        <f t="shared" si="17"/>
        <v>2636.0957879300508</v>
      </c>
      <c r="CJ17" s="12">
        <f t="shared" si="17"/>
        <v>2609.7348300507501</v>
      </c>
      <c r="CK17" s="12">
        <f t="shared" si="17"/>
        <v>2583.6374817502424</v>
      </c>
      <c r="CL17" s="12">
        <f t="shared" si="17"/>
        <v>2557.8011069327399</v>
      </c>
      <c r="CM17" s="12">
        <f t="shared" si="17"/>
        <v>2532.2230958634127</v>
      </c>
      <c r="CN17" s="12">
        <f t="shared" si="17"/>
        <v>2506.9008649047787</v>
      </c>
      <c r="CO17" s="12">
        <f t="shared" si="17"/>
        <v>2481.8318562557311</v>
      </c>
      <c r="CP17" s="12">
        <f t="shared" si="17"/>
        <v>2457.0135376931739</v>
      </c>
      <c r="CQ17" s="12">
        <f t="shared" si="17"/>
        <v>2432.4434023162421</v>
      </c>
      <c r="CR17" s="12">
        <f t="shared" si="17"/>
        <v>2408.1189682930794</v>
      </c>
      <c r="CS17" s="12">
        <f t="shared" si="17"/>
        <v>2384.0377786101485</v>
      </c>
      <c r="CT17" s="12">
        <f t="shared" si="17"/>
        <v>2360.1974008240468</v>
      </c>
      <c r="CU17" s="12">
        <f t="shared" si="17"/>
        <v>2336.5954268158061</v>
      </c>
      <c r="CV17" s="12">
        <f t="shared" si="17"/>
        <v>2313.2294725476481</v>
      </c>
      <c r="CW17" s="12">
        <f t="shared" si="17"/>
        <v>2290.0971778221715</v>
      </c>
      <c r="CX17" s="12">
        <f t="shared" si="17"/>
        <v>2267.1962060439496</v>
      </c>
      <c r="CY17" s="12">
        <f t="shared" si="17"/>
        <v>2244.5242439835101</v>
      </c>
      <c r="CZ17" s="12">
        <f t="shared" ref="CZ17:DN17" si="18">CY17*(1+$AO$21)</f>
        <v>2222.0790015436751</v>
      </c>
      <c r="DA17" s="12">
        <f t="shared" si="18"/>
        <v>2199.8582115282384</v>
      </c>
      <c r="DB17" s="12">
        <f t="shared" si="18"/>
        <v>2177.8596294129561</v>
      </c>
      <c r="DC17" s="12">
        <f t="shared" si="18"/>
        <v>2156.0810331188263</v>
      </c>
      <c r="DD17" s="12">
        <f t="shared" si="18"/>
        <v>2134.520222787638</v>
      </c>
      <c r="DE17" s="12">
        <f t="shared" si="18"/>
        <v>2113.1750205597614</v>
      </c>
      <c r="DF17" s="12">
        <f t="shared" si="18"/>
        <v>2092.0432703541637</v>
      </c>
      <c r="DG17" s="12">
        <f t="shared" si="18"/>
        <v>2071.1228376506219</v>
      </c>
      <c r="DH17" s="12">
        <f t="shared" si="18"/>
        <v>2050.4116092741156</v>
      </c>
      <c r="DI17" s="12">
        <f t="shared" si="18"/>
        <v>2029.9074931813743</v>
      </c>
      <c r="DJ17" s="12">
        <f t="shared" si="18"/>
        <v>2009.6084182495606</v>
      </c>
      <c r="DK17" s="12">
        <f t="shared" si="18"/>
        <v>1989.512334067065</v>
      </c>
      <c r="DL17" s="12">
        <f t="shared" si="18"/>
        <v>1969.6172107263944</v>
      </c>
      <c r="DM17" s="12">
        <f t="shared" si="18"/>
        <v>1949.9210386191305</v>
      </c>
      <c r="DN17" s="12">
        <f t="shared" si="18"/>
        <v>1930.4218282329391</v>
      </c>
    </row>
    <row r="18" spans="3:118" x14ac:dyDescent="0.25">
      <c r="C18" s="2" t="s">
        <v>54</v>
      </c>
      <c r="D18" s="9">
        <v>113.251741</v>
      </c>
      <c r="E18" s="9">
        <v>113.251741</v>
      </c>
      <c r="F18" s="9">
        <v>113.251741</v>
      </c>
      <c r="G18" s="9">
        <v>113.251741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9">
        <v>113.251741</v>
      </c>
      <c r="O18" s="9">
        <v>113.251741</v>
      </c>
      <c r="P18" s="8">
        <v>113.251741</v>
      </c>
      <c r="V18" s="9">
        <v>113.251741</v>
      </c>
      <c r="W18" s="9">
        <v>113.251741</v>
      </c>
      <c r="X18" s="9">
        <v>113.251741</v>
      </c>
      <c r="Y18" s="9">
        <v>113.251741</v>
      </c>
      <c r="Z18" s="9">
        <v>113.251741</v>
      </c>
      <c r="AA18" s="9">
        <v>113.251741</v>
      </c>
      <c r="AB18" s="8">
        <v>113.251741</v>
      </c>
      <c r="AC18" s="9">
        <v>113.251741</v>
      </c>
      <c r="AD18" s="9">
        <v>113.251741</v>
      </c>
      <c r="AE18" s="9">
        <v>113.251741</v>
      </c>
      <c r="AF18" s="9">
        <v>113.251741</v>
      </c>
      <c r="AG18" s="9">
        <v>113.251741</v>
      </c>
      <c r="AH18" s="9">
        <v>113.251741</v>
      </c>
      <c r="AI18" s="9">
        <v>113.251741</v>
      </c>
      <c r="AJ18" s="9">
        <v>113.251741</v>
      </c>
      <c r="AK18" s="9">
        <v>113.251741</v>
      </c>
      <c r="AL18" s="9">
        <v>113.251741</v>
      </c>
    </row>
    <row r="19" spans="3:118" x14ac:dyDescent="0.25">
      <c r="C19" s="2" t="s">
        <v>55</v>
      </c>
      <c r="D19" s="19">
        <f t="shared" ref="D19:O19" si="19">D17/D18</f>
        <v>1.9602347658390524</v>
      </c>
      <c r="E19" s="19">
        <f t="shared" si="19"/>
        <v>1.5364002218738519</v>
      </c>
      <c r="F19" s="19">
        <f t="shared" si="19"/>
        <v>1.5717197672042853</v>
      </c>
      <c r="G19" s="19">
        <f t="shared" si="19"/>
        <v>3.5142947603781209</v>
      </c>
      <c r="H19" s="19">
        <f t="shared" si="19"/>
        <v>3.8498304410172381</v>
      </c>
      <c r="I19" s="19">
        <f t="shared" si="19"/>
        <v>1.7748071528542773</v>
      </c>
      <c r="J19" s="19">
        <f>J17/J18</f>
        <v>1.3244829498912516</v>
      </c>
      <c r="K19" s="19">
        <f>K17/K18</f>
        <v>2.9138624897607537</v>
      </c>
      <c r="L19" s="19">
        <f t="shared" si="19"/>
        <v>3.134609648075962</v>
      </c>
      <c r="M19" s="19">
        <f t="shared" si="19"/>
        <v>3.3376970337259539</v>
      </c>
      <c r="N19" s="19">
        <f t="shared" si="19"/>
        <v>1.3156530635586432</v>
      </c>
      <c r="O19" s="19">
        <f t="shared" si="19"/>
        <v>3.1257797617433538</v>
      </c>
      <c r="P19" s="18">
        <f>P17/P18</f>
        <v>2.2163014694846943</v>
      </c>
      <c r="V19" s="19">
        <f>V17/V18</f>
        <v>7.2493366790714502</v>
      </c>
      <c r="W19" s="19">
        <f>W17/W18</f>
        <v>8.7592472419474774</v>
      </c>
      <c r="X19" s="19">
        <f>X17/X18</f>
        <v>9.9777715558474291</v>
      </c>
      <c r="Y19" s="19">
        <f>Y17/Y18</f>
        <v>8.5914794016279181</v>
      </c>
      <c r="Z19" s="19">
        <f>Z17/Z18</f>
        <v>9.7128749658691778</v>
      </c>
      <c r="AA19" s="19">
        <f>AA17/AA18</f>
        <v>10.896079734438697</v>
      </c>
      <c r="AB19" s="18">
        <f t="shared" ref="AB19:AL19" si="20">AB17/AB18</f>
        <v>12.67954017589893</v>
      </c>
      <c r="AC19" s="19">
        <f t="shared" si="20"/>
        <v>14.169954349752562</v>
      </c>
      <c r="AD19" s="19">
        <f t="shared" si="20"/>
        <v>15.931315351699533</v>
      </c>
      <c r="AE19" s="19">
        <f t="shared" si="20"/>
        <v>17.868812453841205</v>
      </c>
      <c r="AF19" s="19">
        <f t="shared" si="20"/>
        <v>20.000059266197084</v>
      </c>
      <c r="AG19" s="19">
        <f t="shared" si="20"/>
        <v>22.344430759788466</v>
      </c>
      <c r="AH19" s="19">
        <f t="shared" si="20"/>
        <v>24.923239402739057</v>
      </c>
      <c r="AI19" s="19">
        <f t="shared" si="20"/>
        <v>27.759928909984716</v>
      </c>
      <c r="AJ19" s="19">
        <f t="shared" si="20"/>
        <v>30.880287367954917</v>
      </c>
      <c r="AK19" s="19">
        <f t="shared" si="20"/>
        <v>34.312681671722132</v>
      </c>
      <c r="AL19" s="19">
        <f t="shared" si="20"/>
        <v>38.088315405866091</v>
      </c>
    </row>
    <row r="20" spans="3:118" x14ac:dyDescent="0.25">
      <c r="AN20" s="2" t="s">
        <v>99</v>
      </c>
      <c r="AO20" s="32">
        <v>0.09</v>
      </c>
    </row>
    <row r="21" spans="3:118" x14ac:dyDescent="0.25">
      <c r="C21" s="1" t="s">
        <v>29</v>
      </c>
      <c r="H21" s="21">
        <f t="shared" ref="H21:M21" si="21">(H4-D4)/D4</f>
        <v>0.21975308641975308</v>
      </c>
      <c r="I21" s="21">
        <f t="shared" si="21"/>
        <v>0.1496234309623431</v>
      </c>
      <c r="J21" s="21">
        <f>(J4-F4)/F4</f>
        <v>0.14363910909777275</v>
      </c>
      <c r="K21" s="21">
        <f>(K4-G4)/G4</f>
        <v>7.9588440006052349E-2</v>
      </c>
      <c r="L21" s="21">
        <f t="shared" si="21"/>
        <v>-3.6148062463851939E-3</v>
      </c>
      <c r="M21" s="21">
        <f t="shared" si="21"/>
        <v>4.6877274712476345E-2</v>
      </c>
      <c r="N21" s="21">
        <f>(N4-J4)/J4</f>
        <v>-1.0892886614952963E-2</v>
      </c>
      <c r="O21" s="21">
        <f>(O4-K4)/K4</f>
        <v>-7.0077084793272598E-3</v>
      </c>
      <c r="P21" s="22">
        <f>(P4-L4)/L4</f>
        <v>-2.0606588303584385E-2</v>
      </c>
      <c r="V21" s="21"/>
      <c r="W21" s="21">
        <f t="shared" ref="W21:AA21" si="22">(W4-V4)/V4</f>
        <v>-4.0470897332255458E-2</v>
      </c>
      <c r="X21" s="21">
        <f t="shared" si="22"/>
        <v>5.8606708440840399E-2</v>
      </c>
      <c r="Y21" s="21">
        <f t="shared" si="22"/>
        <v>0.17150815758058097</v>
      </c>
      <c r="Z21" s="21">
        <f t="shared" si="22"/>
        <v>0.14546535326086957</v>
      </c>
      <c r="AA21" s="21">
        <f t="shared" si="22"/>
        <v>6.7462376751427086E-3</v>
      </c>
      <c r="AB21" s="22">
        <f>(AB4-AA4)/AA4</f>
        <v>0</v>
      </c>
      <c r="AC21" s="27">
        <f t="shared" ref="AC21:AL21" si="23">(AC4-AB4)/AB4</f>
        <v>0.05</v>
      </c>
      <c r="AD21" s="27">
        <f t="shared" si="23"/>
        <v>0.1000000000000001</v>
      </c>
      <c r="AE21" s="27">
        <f t="shared" si="23"/>
        <v>0.10000000000000009</v>
      </c>
      <c r="AF21" s="27">
        <f t="shared" si="23"/>
        <v>0.10000000000000019</v>
      </c>
      <c r="AG21" s="27">
        <f t="shared" si="23"/>
        <v>0.10000000000000007</v>
      </c>
      <c r="AH21" s="27">
        <f t="shared" si="23"/>
        <v>0.10000000000000007</v>
      </c>
      <c r="AI21" s="27">
        <f t="shared" si="23"/>
        <v>0.10000000000000016</v>
      </c>
      <c r="AJ21" s="27">
        <f t="shared" si="23"/>
        <v>0.10000000000000006</v>
      </c>
      <c r="AK21" s="27">
        <f t="shared" si="23"/>
        <v>0.10000000000000002</v>
      </c>
      <c r="AL21" s="27">
        <f t="shared" si="23"/>
        <v>0.10000000000000013</v>
      </c>
      <c r="AN21" s="2" t="s">
        <v>100</v>
      </c>
      <c r="AO21" s="32">
        <v>-0.01</v>
      </c>
    </row>
    <row r="22" spans="3:118" x14ac:dyDescent="0.25">
      <c r="C22" s="2" t="s">
        <v>96</v>
      </c>
      <c r="D22" s="26">
        <f t="shared" ref="D22:O22" si="24">D11/D4</f>
        <v>6.3139329805996472E-2</v>
      </c>
      <c r="E22" s="26">
        <f t="shared" si="24"/>
        <v>7.2301255230125525E-2</v>
      </c>
      <c r="F22" s="26">
        <f t="shared" si="24"/>
        <v>7.0781426953567386E-2</v>
      </c>
      <c r="G22" s="26">
        <f t="shared" si="24"/>
        <v>8.5035557573006501E-2</v>
      </c>
      <c r="H22" s="26">
        <f t="shared" si="24"/>
        <v>9.9768652400231347E-2</v>
      </c>
      <c r="I22" s="26">
        <f t="shared" si="24"/>
        <v>5.7941476197408651E-2</v>
      </c>
      <c r="J22" s="26">
        <f t="shared" si="24"/>
        <v>5.1163558342960887E-2</v>
      </c>
      <c r="K22" s="26">
        <f t="shared" si="24"/>
        <v>7.8065872459705671E-2</v>
      </c>
      <c r="L22" s="26">
        <f t="shared" si="24"/>
        <v>8.4457988680888121E-2</v>
      </c>
      <c r="M22" s="26">
        <f t="shared" si="24"/>
        <v>7.9682937004589074E-2</v>
      </c>
      <c r="N22" s="26">
        <f t="shared" si="24"/>
        <v>6.0737527114967459E-2</v>
      </c>
      <c r="O22" s="26">
        <f t="shared" si="24"/>
        <v>8.2709950599858861E-2</v>
      </c>
      <c r="P22" s="23">
        <f>P11/P4</f>
        <v>6.8010075566750636E-2</v>
      </c>
      <c r="V22" s="26">
        <f t="shared" ref="V22:AL22" si="25">V11/V4</f>
        <v>6.9118835893290223E-2</v>
      </c>
      <c r="W22" s="26">
        <f t="shared" si="25"/>
        <v>8.3407930072139438E-2</v>
      </c>
      <c r="X22" s="26">
        <f t="shared" si="25"/>
        <v>8.2670115399920419E-2</v>
      </c>
      <c r="Y22" s="26">
        <f t="shared" si="25"/>
        <v>7.3369565217391311E-2</v>
      </c>
      <c r="Z22" s="26">
        <f t="shared" si="25"/>
        <v>7.1799243828304549E-2</v>
      </c>
      <c r="AA22" s="26">
        <f t="shared" si="25"/>
        <v>7.7466863033873345E-2</v>
      </c>
      <c r="AB22" s="23">
        <f t="shared" si="25"/>
        <v>7.6988217967599415E-2</v>
      </c>
      <c r="AC22" s="26">
        <f t="shared" si="25"/>
        <v>8.1348621922996023E-2</v>
      </c>
      <c r="AD22" s="26">
        <f t="shared" si="25"/>
        <v>8.2942511587577816E-2</v>
      </c>
      <c r="AE22" s="26">
        <f t="shared" si="25"/>
        <v>8.4391502191743115E-2</v>
      </c>
      <c r="AF22" s="26">
        <f t="shared" si="25"/>
        <v>8.5708766377348075E-2</v>
      </c>
      <c r="AG22" s="26">
        <f t="shared" si="25"/>
        <v>8.6906279273352288E-2</v>
      </c>
      <c r="AH22" s="26">
        <f t="shared" si="25"/>
        <v>8.7994927360629083E-2</v>
      </c>
      <c r="AI22" s="26">
        <f t="shared" si="25"/>
        <v>8.8984607439971608E-2</v>
      </c>
      <c r="AJ22" s="26">
        <f t="shared" si="25"/>
        <v>8.9884316603010245E-2</v>
      </c>
      <c r="AK22" s="26">
        <f t="shared" si="25"/>
        <v>9.0702234023954428E-2</v>
      </c>
      <c r="AL22" s="26">
        <f t="shared" si="25"/>
        <v>9.1445795315721931E-2</v>
      </c>
      <c r="AN22" s="31" t="s">
        <v>101</v>
      </c>
      <c r="AO22" s="33">
        <f>NPV(AO20,AB17:DN17)</f>
        <v>33062.986107704011</v>
      </c>
    </row>
    <row r="23" spans="3:118" x14ac:dyDescent="0.25">
      <c r="C23" s="2" t="s">
        <v>30</v>
      </c>
      <c r="D23" s="20">
        <f>D13/D4</f>
        <v>5.5731922398589068E-2</v>
      </c>
      <c r="E23" s="20">
        <f>E13/E4</f>
        <v>5.6066945606694563E-2</v>
      </c>
      <c r="F23" s="20">
        <f>F13/F4</f>
        <v>4.9830124575311441E-2</v>
      </c>
      <c r="G23" s="20">
        <f>G13/G4</f>
        <v>7.9739748827356641E-2</v>
      </c>
      <c r="H23" s="20">
        <f>H13/H4</f>
        <v>9.3406593406593408E-2</v>
      </c>
      <c r="I23" s="20">
        <f>I13/I4</f>
        <v>5.284612025040035E-2</v>
      </c>
      <c r="J23" s="20">
        <f>J13/J4</f>
        <v>4.4561808879353029E-2</v>
      </c>
      <c r="K23" s="20">
        <f>K13/K4</f>
        <v>7.2319551506657323E-2</v>
      </c>
      <c r="L23" s="20">
        <f>L13/L4</f>
        <v>7.8508199100275719E-2</v>
      </c>
      <c r="M23" s="20">
        <f>M13/M4</f>
        <v>7.5371992768738696E-2</v>
      </c>
      <c r="N23" s="20">
        <f>N13/N4</f>
        <v>5.2561321541798767E-2</v>
      </c>
      <c r="O23" s="20">
        <f>O13/O4</f>
        <v>7.6781933662667612E-2</v>
      </c>
      <c r="P23" s="23">
        <f>P13/P4</f>
        <v>6.1638761297970072E-2</v>
      </c>
      <c r="V23" s="20">
        <f>V13/V4</f>
        <v>6.452101859337106E-2</v>
      </c>
      <c r="W23" s="20">
        <f>W13/W4</f>
        <v>7.6667895318835236E-2</v>
      </c>
      <c r="X23" s="20">
        <f>X13/X4</f>
        <v>7.5756068444090732E-2</v>
      </c>
      <c r="Y23" s="20">
        <f>Y13/Y4</f>
        <v>6.1268682065217392E-2</v>
      </c>
      <c r="Z23" s="20">
        <f>Z13/Z4</f>
        <v>6.5905552672547996E-2</v>
      </c>
      <c r="AA23" s="20">
        <f>AA13/AA4</f>
        <v>7.1428571428571425E-2</v>
      </c>
      <c r="AB23" s="23">
        <f>AB13/AB4</f>
        <v>7.1465390279823265E-2</v>
      </c>
      <c r="AC23" s="26">
        <f t="shared" ref="AC23:AL23" si="26">AC13/AC4</f>
        <v>7.5825794235219887E-2</v>
      </c>
      <c r="AD23" s="26">
        <f t="shared" si="26"/>
        <v>7.7419683899801681E-2</v>
      </c>
      <c r="AE23" s="26">
        <f t="shared" si="26"/>
        <v>7.8868674503966979E-2</v>
      </c>
      <c r="AF23" s="26">
        <f t="shared" si="26"/>
        <v>8.0185938689571926E-2</v>
      </c>
      <c r="AG23" s="26">
        <f t="shared" si="26"/>
        <v>8.1383451585576153E-2</v>
      </c>
      <c r="AH23" s="26">
        <f t="shared" si="26"/>
        <v>8.2472099672852947E-2</v>
      </c>
      <c r="AI23" s="26">
        <f t="shared" si="26"/>
        <v>8.3461779752195486E-2</v>
      </c>
      <c r="AJ23" s="26">
        <f t="shared" si="26"/>
        <v>8.4361488915234095E-2</v>
      </c>
      <c r="AK23" s="26">
        <f t="shared" si="26"/>
        <v>8.5179406336178307E-2</v>
      </c>
      <c r="AL23" s="26">
        <f t="shared" si="26"/>
        <v>8.5922967627945795E-2</v>
      </c>
      <c r="AN23" s="2" t="s">
        <v>2</v>
      </c>
      <c r="AO23" s="34">
        <v>113.251741</v>
      </c>
      <c r="AP23" s="35"/>
    </row>
    <row r="24" spans="3:118" x14ac:dyDescent="0.25">
      <c r="AN24" s="2" t="s">
        <v>102</v>
      </c>
      <c r="AO24" s="36">
        <f>AO22/AO23</f>
        <v>291.9424091476352</v>
      </c>
    </row>
    <row r="25" spans="3:118" x14ac:dyDescent="0.25">
      <c r="C25" s="3" t="s">
        <v>109</v>
      </c>
      <c r="AN25" s="1" t="s">
        <v>103</v>
      </c>
      <c r="AO25" s="21">
        <f>(AO24-B4)/B4</f>
        <v>0.801001907141488</v>
      </c>
    </row>
    <row r="26" spans="3:118" x14ac:dyDescent="0.25">
      <c r="C26" s="2" t="s">
        <v>56</v>
      </c>
      <c r="D26" s="14">
        <v>14852</v>
      </c>
      <c r="E26" s="14">
        <v>15221</v>
      </c>
      <c r="F26" s="14">
        <v>15481</v>
      </c>
      <c r="G26" s="14">
        <v>15590</v>
      </c>
      <c r="H26" s="14">
        <v>15738</v>
      </c>
      <c r="I26" s="14">
        <v>16391</v>
      </c>
      <c r="J26" s="14">
        <v>16153</v>
      </c>
      <c r="K26" s="14">
        <v>15760</v>
      </c>
      <c r="L26" s="14">
        <v>16107</v>
      </c>
      <c r="M26" s="14">
        <v>15957</v>
      </c>
      <c r="N26" s="14">
        <v>15827</v>
      </c>
      <c r="O26" s="14">
        <v>15926</v>
      </c>
      <c r="P26" s="15">
        <v>15344</v>
      </c>
      <c r="Q26" s="1"/>
      <c r="R26" s="1"/>
      <c r="S26" s="1"/>
      <c r="T26" s="1"/>
      <c r="U26" s="1"/>
      <c r="V26" s="1"/>
      <c r="W26" s="1"/>
      <c r="X26" s="1"/>
    </row>
    <row r="27" spans="3:118" x14ac:dyDescent="0.25">
      <c r="C27" s="2" t="s">
        <v>57</v>
      </c>
      <c r="D27" s="14">
        <v>500</v>
      </c>
      <c r="E27" s="14">
        <v>338</v>
      </c>
      <c r="F27" s="14">
        <v>346</v>
      </c>
      <c r="G27" s="14">
        <v>355</v>
      </c>
      <c r="H27" s="14">
        <v>363</v>
      </c>
      <c r="I27" s="14">
        <v>387</v>
      </c>
      <c r="J27" s="14">
        <v>386</v>
      </c>
      <c r="K27" s="14">
        <v>382</v>
      </c>
      <c r="L27" s="14">
        <v>379</v>
      </c>
      <c r="M27" s="14">
        <v>386</v>
      </c>
      <c r="N27" s="14">
        <v>368</v>
      </c>
      <c r="O27" s="14">
        <v>363</v>
      </c>
      <c r="P27" s="15">
        <v>342</v>
      </c>
    </row>
    <row r="28" spans="3:118" x14ac:dyDescent="0.25">
      <c r="C28" s="2" t="s">
        <v>58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2">
        <v>0</v>
      </c>
      <c r="J28" s="14">
        <v>0</v>
      </c>
      <c r="K28" s="14">
        <v>0</v>
      </c>
      <c r="L28" s="14">
        <v>1569</v>
      </c>
      <c r="M28" s="14">
        <v>0</v>
      </c>
      <c r="N28" s="14">
        <v>0</v>
      </c>
      <c r="O28" s="2">
        <v>0</v>
      </c>
      <c r="P28" s="15">
        <v>1423</v>
      </c>
    </row>
    <row r="29" spans="3:118" x14ac:dyDescent="0.25">
      <c r="C29" s="2" t="s">
        <v>59</v>
      </c>
      <c r="D29" s="14">
        <v>2217</v>
      </c>
      <c r="E29" s="14">
        <v>2221</v>
      </c>
      <c r="F29" s="14">
        <v>2258</v>
      </c>
      <c r="G29" s="14">
        <v>2272</v>
      </c>
      <c r="H29" s="14">
        <v>2258</v>
      </c>
      <c r="I29" s="14">
        <v>2176</v>
      </c>
      <c r="J29" s="14">
        <v>2064</v>
      </c>
      <c r="K29" s="14">
        <v>2020</v>
      </c>
      <c r="L29" s="14">
        <v>345</v>
      </c>
      <c r="M29" s="14">
        <v>1874</v>
      </c>
      <c r="N29" s="14">
        <v>1952</v>
      </c>
      <c r="O29" s="14">
        <v>1768</v>
      </c>
      <c r="P29" s="15">
        <v>362</v>
      </c>
    </row>
    <row r="30" spans="3:118" x14ac:dyDescent="0.25">
      <c r="C30" s="2" t="s">
        <v>60</v>
      </c>
      <c r="D30" s="14">
        <v>7290</v>
      </c>
      <c r="E30" s="14">
        <v>7950</v>
      </c>
      <c r="F30" s="14">
        <v>8024</v>
      </c>
      <c r="G30" s="14">
        <v>8690</v>
      </c>
      <c r="H30" s="14">
        <v>8890</v>
      </c>
      <c r="I30" s="14">
        <v>9472</v>
      </c>
      <c r="J30" s="14">
        <v>8842</v>
      </c>
      <c r="K30" s="14">
        <v>8843</v>
      </c>
      <c r="L30" s="14">
        <v>4974</v>
      </c>
      <c r="M30" s="14">
        <v>9472</v>
      </c>
      <c r="N30" s="14">
        <v>9071</v>
      </c>
      <c r="O30" s="14">
        <v>8977</v>
      </c>
      <c r="P30" s="15">
        <v>4116</v>
      </c>
    </row>
    <row r="31" spans="3:118" x14ac:dyDescent="0.25">
      <c r="C31" s="2" t="s">
        <v>61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2998</v>
      </c>
      <c r="M31" s="14">
        <v>0</v>
      </c>
      <c r="N31" s="14">
        <v>0</v>
      </c>
      <c r="O31" s="2">
        <v>0</v>
      </c>
      <c r="P31" s="15">
        <v>3342</v>
      </c>
    </row>
    <row r="32" spans="3:118" x14ac:dyDescent="0.25">
      <c r="C32" s="2" t="s">
        <v>62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1237</v>
      </c>
      <c r="M32" s="14">
        <v>0</v>
      </c>
      <c r="N32" s="14">
        <v>0</v>
      </c>
      <c r="O32" s="14">
        <v>0</v>
      </c>
      <c r="P32" s="15">
        <v>1113</v>
      </c>
    </row>
    <row r="33" spans="3:16" x14ac:dyDescent="0.25">
      <c r="C33" s="2" t="s">
        <v>63</v>
      </c>
      <c r="D33" s="14">
        <v>902</v>
      </c>
      <c r="E33" s="14">
        <v>1187</v>
      </c>
      <c r="F33" s="14">
        <v>862</v>
      </c>
      <c r="G33" s="14">
        <v>1088</v>
      </c>
      <c r="H33" s="14">
        <v>1162</v>
      </c>
      <c r="I33" s="14">
        <v>827</v>
      </c>
      <c r="J33" s="14">
        <v>853</v>
      </c>
      <c r="K33" s="14">
        <v>1167</v>
      </c>
      <c r="L33" s="14">
        <v>1563</v>
      </c>
      <c r="M33" s="14">
        <v>827</v>
      </c>
      <c r="N33" s="14">
        <v>863</v>
      </c>
      <c r="O33" s="14">
        <v>1270</v>
      </c>
      <c r="P33" s="15">
        <v>884</v>
      </c>
    </row>
    <row r="34" spans="3:16" x14ac:dyDescent="0.25">
      <c r="C34" s="1" t="s">
        <v>64</v>
      </c>
      <c r="D34" s="12">
        <f t="shared" ref="D34:N34" si="27">SUM(D26:D33)</f>
        <v>25761</v>
      </c>
      <c r="E34" s="12">
        <f t="shared" si="27"/>
        <v>26917</v>
      </c>
      <c r="F34" s="12">
        <f t="shared" si="27"/>
        <v>26971</v>
      </c>
      <c r="G34" s="12">
        <f t="shared" si="27"/>
        <v>27995</v>
      </c>
      <c r="H34" s="12">
        <f t="shared" si="27"/>
        <v>28411</v>
      </c>
      <c r="I34" s="12">
        <f t="shared" si="27"/>
        <v>29253</v>
      </c>
      <c r="J34" s="12">
        <f t="shared" si="27"/>
        <v>28298</v>
      </c>
      <c r="K34" s="12">
        <f t="shared" si="27"/>
        <v>28172</v>
      </c>
      <c r="L34" s="12">
        <f t="shared" si="27"/>
        <v>29172</v>
      </c>
      <c r="M34" s="12">
        <f t="shared" si="27"/>
        <v>28516</v>
      </c>
      <c r="N34" s="12">
        <f t="shared" si="27"/>
        <v>28081</v>
      </c>
      <c r="O34" s="12">
        <f>SUM(O26:O33)</f>
        <v>28304</v>
      </c>
      <c r="P34" s="13">
        <f>SUM(P26:P33)</f>
        <v>26926</v>
      </c>
    </row>
    <row r="35" spans="3:16" x14ac:dyDescent="0.25">
      <c r="C35" s="2" t="s">
        <v>65</v>
      </c>
      <c r="D35" s="14">
        <v>11419</v>
      </c>
      <c r="E35" s="14">
        <v>11317</v>
      </c>
      <c r="F35" s="14">
        <v>11701</v>
      </c>
      <c r="G35" s="14">
        <v>12176</v>
      </c>
      <c r="H35" s="14">
        <v>12600</v>
      </c>
      <c r="I35" s="14">
        <v>12550</v>
      </c>
      <c r="J35" s="14">
        <v>12535</v>
      </c>
      <c r="K35" s="14">
        <v>12454</v>
      </c>
      <c r="L35" s="14">
        <v>13025</v>
      </c>
      <c r="M35" s="14">
        <v>12678</v>
      </c>
      <c r="N35" s="14">
        <v>12665</v>
      </c>
      <c r="O35" s="14">
        <v>13128</v>
      </c>
      <c r="P35" s="15">
        <v>12884</v>
      </c>
    </row>
    <row r="36" spans="3:16" x14ac:dyDescent="0.25">
      <c r="C36" s="2" t="s">
        <v>66</v>
      </c>
      <c r="D36" s="14">
        <v>1</v>
      </c>
      <c r="E36" s="14">
        <v>1</v>
      </c>
      <c r="F36" s="14">
        <v>1</v>
      </c>
      <c r="G36" s="14">
        <v>2</v>
      </c>
      <c r="H36" s="14">
        <v>2</v>
      </c>
      <c r="I36" s="14">
        <v>2</v>
      </c>
      <c r="J36" s="14">
        <v>2</v>
      </c>
      <c r="K36" s="14">
        <v>1</v>
      </c>
      <c r="L36" s="14">
        <v>1</v>
      </c>
      <c r="M36" s="14">
        <v>1</v>
      </c>
      <c r="N36" s="14">
        <v>0</v>
      </c>
      <c r="O36" s="14">
        <v>23</v>
      </c>
      <c r="P36" s="15">
        <v>24</v>
      </c>
    </row>
    <row r="37" spans="3:16" x14ac:dyDescent="0.25">
      <c r="C37" s="11" t="s">
        <v>67</v>
      </c>
      <c r="D37" s="16">
        <f t="shared" ref="D37:O37" si="28">SUM(D35:D36)</f>
        <v>11420</v>
      </c>
      <c r="E37" s="16">
        <f t="shared" si="28"/>
        <v>11318</v>
      </c>
      <c r="F37" s="16">
        <f t="shared" si="28"/>
        <v>11702</v>
      </c>
      <c r="G37" s="16">
        <f t="shared" si="28"/>
        <v>12178</v>
      </c>
      <c r="H37" s="16">
        <f t="shared" si="28"/>
        <v>12602</v>
      </c>
      <c r="I37" s="16">
        <f t="shared" si="28"/>
        <v>12552</v>
      </c>
      <c r="J37" s="16">
        <f t="shared" si="28"/>
        <v>12537</v>
      </c>
      <c r="K37" s="16">
        <f t="shared" si="28"/>
        <v>12455</v>
      </c>
      <c r="L37" s="16">
        <f t="shared" si="28"/>
        <v>13026</v>
      </c>
      <c r="M37" s="16">
        <f t="shared" si="28"/>
        <v>12679</v>
      </c>
      <c r="N37" s="16">
        <f t="shared" si="28"/>
        <v>12665</v>
      </c>
      <c r="O37" s="16">
        <f t="shared" si="28"/>
        <v>13151</v>
      </c>
      <c r="P37" s="24">
        <f>SUM(P35:P36)</f>
        <v>12908</v>
      </c>
    </row>
    <row r="38" spans="3:16" x14ac:dyDescent="0.25">
      <c r="C38" s="2" t="s">
        <v>68</v>
      </c>
      <c r="D38" s="14">
        <v>5107</v>
      </c>
      <c r="E38" s="14">
        <v>6350</v>
      </c>
      <c r="F38" s="14">
        <v>6199</v>
      </c>
      <c r="G38" s="14">
        <v>6139</v>
      </c>
      <c r="H38" s="14">
        <v>5902</v>
      </c>
      <c r="I38" s="14">
        <v>5964</v>
      </c>
      <c r="J38" s="14">
        <v>5813</v>
      </c>
      <c r="K38" s="14">
        <v>6067</v>
      </c>
      <c r="L38" s="14">
        <v>5328</v>
      </c>
      <c r="M38" s="14">
        <v>6736</v>
      </c>
      <c r="N38" s="14">
        <v>6753</v>
      </c>
      <c r="O38" s="14">
        <v>6120</v>
      </c>
      <c r="P38" s="15">
        <v>5405</v>
      </c>
    </row>
    <row r="39" spans="3:16" x14ac:dyDescent="0.25">
      <c r="C39" s="2" t="s">
        <v>69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1245</v>
      </c>
      <c r="M39" s="14">
        <v>0</v>
      </c>
      <c r="N39" s="14">
        <v>0</v>
      </c>
      <c r="O39" s="14">
        <v>0</v>
      </c>
      <c r="P39" s="15">
        <v>991</v>
      </c>
    </row>
    <row r="40" spans="3:16" x14ac:dyDescent="0.25">
      <c r="C40" s="2" t="s">
        <v>70</v>
      </c>
      <c r="D40" s="14">
        <v>667</v>
      </c>
      <c r="E40" s="14">
        <v>668</v>
      </c>
      <c r="F40" s="14">
        <v>619</v>
      </c>
      <c r="G40" s="14">
        <v>657</v>
      </c>
      <c r="H40" s="14">
        <v>646</v>
      </c>
      <c r="I40" s="14">
        <v>613</v>
      </c>
      <c r="J40" s="14">
        <v>591</v>
      </c>
      <c r="K40" s="14">
        <v>607</v>
      </c>
      <c r="L40" s="14">
        <v>624</v>
      </c>
      <c r="M40" s="14">
        <v>680</v>
      </c>
      <c r="N40" s="14">
        <v>663</v>
      </c>
      <c r="O40" s="14">
        <v>675</v>
      </c>
      <c r="P40" s="15">
        <v>580</v>
      </c>
    </row>
    <row r="41" spans="3:16" x14ac:dyDescent="0.25">
      <c r="C41" s="2" t="s">
        <v>71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34</v>
      </c>
      <c r="M41" s="14">
        <v>0</v>
      </c>
      <c r="N41" s="14">
        <v>0</v>
      </c>
      <c r="O41" s="14">
        <v>0</v>
      </c>
      <c r="P41" s="15">
        <v>13</v>
      </c>
    </row>
    <row r="42" spans="3:16" x14ac:dyDescent="0.25">
      <c r="C42" s="2" t="s">
        <v>68</v>
      </c>
      <c r="D42" s="14">
        <v>8458</v>
      </c>
      <c r="E42" s="14">
        <v>8495</v>
      </c>
      <c r="F42" s="14">
        <v>8384</v>
      </c>
      <c r="G42" s="14">
        <v>8975</v>
      </c>
      <c r="H42" s="14">
        <v>9224</v>
      </c>
      <c r="I42" s="14">
        <v>10334</v>
      </c>
      <c r="J42" s="14">
        <v>9304</v>
      </c>
      <c r="K42" s="14">
        <v>8982</v>
      </c>
      <c r="L42" s="14">
        <v>968</v>
      </c>
      <c r="M42" s="14">
        <v>8380</v>
      </c>
      <c r="N42" s="14">
        <v>7952</v>
      </c>
      <c r="O42" s="14">
        <v>8317</v>
      </c>
      <c r="P42" s="15">
        <v>0</v>
      </c>
    </row>
    <row r="43" spans="3:16" x14ac:dyDescent="0.25">
      <c r="C43" s="2" t="s">
        <v>69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603</v>
      </c>
      <c r="M43" s="14">
        <v>0</v>
      </c>
      <c r="N43" s="14">
        <v>0</v>
      </c>
      <c r="O43" s="14">
        <v>0</v>
      </c>
      <c r="P43" s="15">
        <v>576</v>
      </c>
    </row>
    <row r="44" spans="3:16" x14ac:dyDescent="0.25">
      <c r="C44" s="2" t="s">
        <v>72</v>
      </c>
      <c r="D44" s="14">
        <v>108</v>
      </c>
      <c r="E44" s="14">
        <v>85</v>
      </c>
      <c r="F44" s="14">
        <v>66</v>
      </c>
      <c r="G44" s="14">
        <v>45</v>
      </c>
      <c r="H44" s="14">
        <v>36</v>
      </c>
      <c r="I44" s="14">
        <v>48</v>
      </c>
      <c r="J44" s="14">
        <v>53</v>
      </c>
      <c r="K44" s="14">
        <v>61</v>
      </c>
      <c r="L44" s="14">
        <v>43</v>
      </c>
      <c r="M44" s="14">
        <v>40</v>
      </c>
      <c r="N44" s="14">
        <v>46</v>
      </c>
      <c r="O44" s="14">
        <v>41</v>
      </c>
      <c r="P44" s="15">
        <v>41</v>
      </c>
    </row>
    <row r="45" spans="3:16" x14ac:dyDescent="0.25">
      <c r="C45" s="2" t="s">
        <v>73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2098</v>
      </c>
      <c r="M45" s="14">
        <v>0</v>
      </c>
      <c r="N45" s="14">
        <v>0</v>
      </c>
      <c r="O45" s="14">
        <v>0</v>
      </c>
      <c r="P45" s="15">
        <v>1859</v>
      </c>
    </row>
    <row r="46" spans="3:16" x14ac:dyDescent="0.25">
      <c r="C46" s="2" t="s">
        <v>74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1000</v>
      </c>
      <c r="M46" s="14">
        <v>0</v>
      </c>
      <c r="N46" s="14">
        <v>0</v>
      </c>
      <c r="O46" s="14">
        <v>0</v>
      </c>
      <c r="P46" s="15">
        <v>654</v>
      </c>
    </row>
    <row r="47" spans="3:16" x14ac:dyDescent="0.25">
      <c r="C47" s="2" t="s">
        <v>75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4203</v>
      </c>
      <c r="M47" s="14">
        <v>0</v>
      </c>
      <c r="N47" s="14">
        <v>0</v>
      </c>
      <c r="O47" s="14">
        <v>0</v>
      </c>
      <c r="P47" s="15">
        <v>3898</v>
      </c>
    </row>
    <row r="48" spans="3:16" x14ac:dyDescent="0.25">
      <c r="C48" s="11" t="s">
        <v>76</v>
      </c>
      <c r="D48" s="16">
        <f t="shared" ref="D48:O48" si="29">SUM(D38:D47)</f>
        <v>14340</v>
      </c>
      <c r="E48" s="16">
        <f t="shared" si="29"/>
        <v>15598</v>
      </c>
      <c r="F48" s="16">
        <f t="shared" si="29"/>
        <v>15268</v>
      </c>
      <c r="G48" s="16">
        <f t="shared" si="29"/>
        <v>15816</v>
      </c>
      <c r="H48" s="16">
        <f t="shared" si="29"/>
        <v>15808</v>
      </c>
      <c r="I48" s="16">
        <f t="shared" si="29"/>
        <v>16959</v>
      </c>
      <c r="J48" s="16">
        <f t="shared" si="29"/>
        <v>15761</v>
      </c>
      <c r="K48" s="16">
        <f t="shared" si="29"/>
        <v>15717</v>
      </c>
      <c r="L48" s="16">
        <f t="shared" si="29"/>
        <v>16146</v>
      </c>
      <c r="M48" s="16">
        <f t="shared" si="29"/>
        <v>15836</v>
      </c>
      <c r="N48" s="16">
        <f t="shared" si="29"/>
        <v>15414</v>
      </c>
      <c r="O48" s="16">
        <f t="shared" si="29"/>
        <v>15153</v>
      </c>
      <c r="P48" s="24">
        <f>SUM(P38:P47)</f>
        <v>14017</v>
      </c>
    </row>
    <row r="49" spans="3:27" x14ac:dyDescent="0.25">
      <c r="C49" s="1" t="s">
        <v>77</v>
      </c>
      <c r="D49" s="12">
        <f t="shared" ref="D49:O49" si="30">D37+D48</f>
        <v>25760</v>
      </c>
      <c r="E49" s="12">
        <f t="shared" si="30"/>
        <v>26916</v>
      </c>
      <c r="F49" s="12">
        <f t="shared" si="30"/>
        <v>26970</v>
      </c>
      <c r="G49" s="12">
        <f t="shared" si="30"/>
        <v>27994</v>
      </c>
      <c r="H49" s="12">
        <f t="shared" si="30"/>
        <v>28410</v>
      </c>
      <c r="I49" s="12">
        <f t="shared" si="30"/>
        <v>29511</v>
      </c>
      <c r="J49" s="12">
        <f t="shared" si="30"/>
        <v>28298</v>
      </c>
      <c r="K49" s="12">
        <f t="shared" si="30"/>
        <v>28172</v>
      </c>
      <c r="L49" s="12">
        <f t="shared" si="30"/>
        <v>29172</v>
      </c>
      <c r="M49" s="12">
        <f t="shared" si="30"/>
        <v>28515</v>
      </c>
      <c r="N49" s="12">
        <f t="shared" si="30"/>
        <v>28079</v>
      </c>
      <c r="O49" s="12">
        <f t="shared" si="30"/>
        <v>28304</v>
      </c>
      <c r="P49" s="13">
        <f>P37+P48</f>
        <v>26925</v>
      </c>
    </row>
    <row r="50" spans="3:27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25"/>
    </row>
    <row r="51" spans="3:27" x14ac:dyDescent="0.25">
      <c r="C51" s="3" t="s">
        <v>110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3:27" x14ac:dyDescent="0.25">
      <c r="C52" s="2" t="s">
        <v>78</v>
      </c>
      <c r="D52" s="2">
        <f t="shared" ref="D52:O52" si="31">D15</f>
        <v>289</v>
      </c>
      <c r="E52" s="2">
        <f t="shared" si="31"/>
        <v>237</v>
      </c>
      <c r="F52" s="2">
        <f t="shared" si="31"/>
        <v>217</v>
      </c>
      <c r="G52" s="2">
        <f t="shared" si="31"/>
        <v>475</v>
      </c>
      <c r="H52" s="2">
        <f t="shared" si="31"/>
        <v>569</v>
      </c>
      <c r="I52" s="2">
        <f t="shared" si="31"/>
        <v>287</v>
      </c>
      <c r="J52" s="2">
        <f>J15</f>
        <v>196</v>
      </c>
      <c r="K52" s="2">
        <f>K15</f>
        <v>447</v>
      </c>
      <c r="L52" s="2">
        <f t="shared" si="31"/>
        <v>472</v>
      </c>
      <c r="M52" s="2">
        <f t="shared" si="31"/>
        <v>474</v>
      </c>
      <c r="N52" s="2">
        <f t="shared" si="31"/>
        <v>204</v>
      </c>
      <c r="O52" s="2">
        <f t="shared" si="31"/>
        <v>488</v>
      </c>
      <c r="P52" s="4">
        <f>P15</f>
        <v>335</v>
      </c>
      <c r="V52" s="14">
        <f t="shared" ref="V52:Z52" si="32">V15</f>
        <v>1040</v>
      </c>
      <c r="W52" s="14">
        <f t="shared" si="32"/>
        <v>1271</v>
      </c>
      <c r="X52" s="14">
        <f t="shared" si="32"/>
        <v>1394</v>
      </c>
      <c r="Y52" s="14">
        <f t="shared" si="32"/>
        <v>1219</v>
      </c>
      <c r="Z52" s="14">
        <f t="shared" si="32"/>
        <v>1441</v>
      </c>
      <c r="AA52" s="14">
        <f>AA15</f>
        <v>1635</v>
      </c>
    </row>
    <row r="53" spans="3:27" x14ac:dyDescent="0.25">
      <c r="C53" s="2" t="s">
        <v>79</v>
      </c>
      <c r="D53" s="14">
        <v>290</v>
      </c>
      <c r="E53" s="14">
        <v>237</v>
      </c>
      <c r="F53" s="14">
        <v>218</v>
      </c>
      <c r="G53" s="14">
        <v>475</v>
      </c>
      <c r="H53" s="14">
        <v>568</v>
      </c>
      <c r="I53" s="14">
        <v>287</v>
      </c>
      <c r="J53" s="14">
        <v>196</v>
      </c>
      <c r="K53" s="14">
        <v>391</v>
      </c>
      <c r="L53" s="14">
        <v>471</v>
      </c>
      <c r="M53" s="14">
        <v>474</v>
      </c>
      <c r="N53" s="14">
        <v>204</v>
      </c>
      <c r="O53" s="2">
        <v>487</v>
      </c>
      <c r="P53" s="4">
        <v>335</v>
      </c>
      <c r="V53" s="14">
        <v>1039</v>
      </c>
      <c r="W53" s="14">
        <v>1270</v>
      </c>
      <c r="X53" s="14">
        <v>1393</v>
      </c>
      <c r="Y53" s="14">
        <v>1220</v>
      </c>
      <c r="Z53" s="14">
        <v>1441</v>
      </c>
      <c r="AA53" s="14">
        <v>1635</v>
      </c>
    </row>
    <row r="54" spans="3:27" x14ac:dyDescent="0.25">
      <c r="C54" s="2" t="s">
        <v>80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219</v>
      </c>
      <c r="M54" s="14">
        <v>0</v>
      </c>
      <c r="N54" s="14">
        <v>0</v>
      </c>
      <c r="O54" s="2">
        <v>0</v>
      </c>
      <c r="P54" s="4">
        <v>215</v>
      </c>
      <c r="V54" s="14">
        <v>0</v>
      </c>
      <c r="W54" s="14">
        <v>0</v>
      </c>
      <c r="X54" s="14">
        <v>0</v>
      </c>
      <c r="Y54" s="14">
        <v>0</v>
      </c>
      <c r="Z54" s="14">
        <v>958</v>
      </c>
      <c r="AA54" s="14">
        <v>914</v>
      </c>
    </row>
    <row r="55" spans="3:27" x14ac:dyDescent="0.25">
      <c r="C55" s="2" t="s">
        <v>81</v>
      </c>
      <c r="D55" s="14">
        <v>351</v>
      </c>
      <c r="E55" s="14">
        <v>392</v>
      </c>
      <c r="F55" s="14">
        <v>212</v>
      </c>
      <c r="G55" s="14">
        <v>50</v>
      </c>
      <c r="H55" s="14">
        <v>215</v>
      </c>
      <c r="I55" s="14">
        <v>364</v>
      </c>
      <c r="J55" s="14">
        <v>267</v>
      </c>
      <c r="K55" s="14">
        <v>195</v>
      </c>
      <c r="L55" s="14">
        <v>-20</v>
      </c>
      <c r="M55" s="14">
        <v>103</v>
      </c>
      <c r="N55" s="14">
        <v>273</v>
      </c>
      <c r="O55" s="2">
        <v>363</v>
      </c>
      <c r="P55" s="4">
        <v>14</v>
      </c>
      <c r="V55" s="14">
        <v>880</v>
      </c>
      <c r="W55" s="14">
        <v>460</v>
      </c>
      <c r="X55" s="14">
        <v>874</v>
      </c>
      <c r="Y55" s="14">
        <v>1005</v>
      </c>
      <c r="Z55" s="14">
        <v>82</v>
      </c>
      <c r="AA55" s="14">
        <v>25</v>
      </c>
    </row>
    <row r="56" spans="3:27" x14ac:dyDescent="0.25">
      <c r="C56" s="2" t="s">
        <v>82</v>
      </c>
      <c r="D56" s="14">
        <v>-142</v>
      </c>
      <c r="E56" s="14">
        <v>-79</v>
      </c>
      <c r="F56" s="14">
        <v>-20</v>
      </c>
      <c r="G56" s="14">
        <v>-145</v>
      </c>
      <c r="H56" s="14">
        <v>-120</v>
      </c>
      <c r="I56" s="14">
        <v>-136</v>
      </c>
      <c r="J56" s="14">
        <v>-37</v>
      </c>
      <c r="K56" s="14">
        <v>-140</v>
      </c>
      <c r="L56" s="14">
        <v>-85</v>
      </c>
      <c r="M56" s="14">
        <v>-97</v>
      </c>
      <c r="N56" s="14">
        <v>-110</v>
      </c>
      <c r="O56" s="2">
        <v>-87</v>
      </c>
      <c r="P56" s="4">
        <v>-98</v>
      </c>
      <c r="V56" s="14">
        <v>-284</v>
      </c>
      <c r="W56" s="14">
        <v>-163</v>
      </c>
      <c r="X56" s="14">
        <v>-229</v>
      </c>
      <c r="Y56" s="14">
        <v>-385</v>
      </c>
      <c r="Z56" s="14">
        <v>-433</v>
      </c>
      <c r="AA56" s="14">
        <v>-379</v>
      </c>
    </row>
    <row r="57" spans="3:27" x14ac:dyDescent="0.25">
      <c r="C57" s="2" t="s">
        <v>83</v>
      </c>
      <c r="D57" s="14">
        <v>-235</v>
      </c>
      <c r="E57" s="14">
        <v>-260</v>
      </c>
      <c r="F57" s="14">
        <v>-323</v>
      </c>
      <c r="G57" s="14">
        <v>21</v>
      </c>
      <c r="H57" s="14">
        <v>-609</v>
      </c>
      <c r="I57" s="14">
        <v>-11</v>
      </c>
      <c r="J57" s="14">
        <v>-148</v>
      </c>
      <c r="K57" s="14">
        <v>512</v>
      </c>
      <c r="L57" s="14">
        <v>-477</v>
      </c>
      <c r="M57" s="14">
        <v>-59</v>
      </c>
      <c r="N57" s="14">
        <v>-205</v>
      </c>
      <c r="O57" s="2">
        <v>540</v>
      </c>
      <c r="P57" s="4">
        <v>-348</v>
      </c>
      <c r="V57" s="14">
        <f>99+259</f>
        <v>358</v>
      </c>
      <c r="W57" s="14">
        <f>445+73</f>
        <v>518</v>
      </c>
      <c r="X57" s="14">
        <f>-980+440</f>
        <v>-540</v>
      </c>
      <c r="Y57" s="14">
        <f>-996+198</f>
        <v>-798</v>
      </c>
      <c r="Z57" s="14">
        <f>-325+70</f>
        <v>-255</v>
      </c>
      <c r="AA57" s="14">
        <f>-115-86</f>
        <v>-201</v>
      </c>
    </row>
    <row r="58" spans="3:27" x14ac:dyDescent="0.25">
      <c r="C58" s="1" t="s">
        <v>84</v>
      </c>
      <c r="D58" s="1">
        <f t="shared" ref="D58:O58" si="33">SUM(D53:D57)</f>
        <v>264</v>
      </c>
      <c r="E58" s="1">
        <f t="shared" si="33"/>
        <v>290</v>
      </c>
      <c r="F58" s="1">
        <f t="shared" si="33"/>
        <v>87</v>
      </c>
      <c r="G58" s="1">
        <f t="shared" si="33"/>
        <v>401</v>
      </c>
      <c r="H58" s="1">
        <f t="shared" si="33"/>
        <v>54</v>
      </c>
      <c r="I58" s="1">
        <f t="shared" si="33"/>
        <v>504</v>
      </c>
      <c r="J58" s="1">
        <f t="shared" si="33"/>
        <v>278</v>
      </c>
      <c r="K58" s="1">
        <f t="shared" si="33"/>
        <v>958</v>
      </c>
      <c r="L58" s="1">
        <f t="shared" si="33"/>
        <v>108</v>
      </c>
      <c r="M58" s="1">
        <f t="shared" si="33"/>
        <v>421</v>
      </c>
      <c r="N58" s="1">
        <f t="shared" si="33"/>
        <v>162</v>
      </c>
      <c r="O58" s="1">
        <f t="shared" si="33"/>
        <v>1303</v>
      </c>
      <c r="P58" s="25">
        <f>SUM(P53:P57)</f>
        <v>118</v>
      </c>
      <c r="V58" s="12">
        <f t="shared" ref="V58:Z58" si="34">SUM(V53:V57)</f>
        <v>1993</v>
      </c>
      <c r="W58" s="12">
        <f t="shared" si="34"/>
        <v>2085</v>
      </c>
      <c r="X58" s="12">
        <f t="shared" si="34"/>
        <v>1498</v>
      </c>
      <c r="Y58" s="12">
        <f t="shared" si="34"/>
        <v>1042</v>
      </c>
      <c r="Z58" s="12">
        <f t="shared" si="34"/>
        <v>1793</v>
      </c>
      <c r="AA58" s="12">
        <f>SUM(AA53:AA57)</f>
        <v>1994</v>
      </c>
    </row>
    <row r="59" spans="3:27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V59" s="14"/>
      <c r="W59" s="14"/>
      <c r="X59" s="14"/>
      <c r="Y59" s="14"/>
      <c r="Z59" s="14"/>
      <c r="AA59" s="14"/>
    </row>
    <row r="60" spans="3:27" x14ac:dyDescent="0.25">
      <c r="C60" s="2" t="s">
        <v>85</v>
      </c>
      <c r="D60" s="14">
        <v>-720</v>
      </c>
      <c r="E60" s="14">
        <v>-28</v>
      </c>
      <c r="F60" s="14">
        <v>-117</v>
      </c>
      <c r="G60" s="14">
        <v>-8</v>
      </c>
      <c r="H60" s="14">
        <v>-168</v>
      </c>
      <c r="I60" s="14">
        <v>-381</v>
      </c>
      <c r="J60" s="14">
        <v>-68</v>
      </c>
      <c r="K60" s="14">
        <v>-139</v>
      </c>
      <c r="L60" s="14">
        <f>-84-29</f>
        <v>-113</v>
      </c>
      <c r="M60" s="14">
        <v>-133</v>
      </c>
      <c r="N60" s="14">
        <v>-46</v>
      </c>
      <c r="O60" s="2">
        <v>-103</v>
      </c>
      <c r="P60" s="4">
        <f>-8-20</f>
        <v>-28</v>
      </c>
      <c r="V60" s="14">
        <f>-136+7-67-4891+1-310-106</f>
        <v>-5502</v>
      </c>
      <c r="W60" s="14">
        <f>-81+8-101-41-5-108-18+1</f>
        <v>-345</v>
      </c>
      <c r="X60" s="14">
        <f>-87+44-27+1-955-204+15</f>
        <v>-1213</v>
      </c>
      <c r="Y60" s="14">
        <f>-112+105-39-813+41-44-11</f>
        <v>-873</v>
      </c>
      <c r="Z60" s="14">
        <f>-147+3-29-357-107-111-9</f>
        <v>-757</v>
      </c>
      <c r="AA60" s="14">
        <f>-107+9-26-86-13-101-60</f>
        <v>-384</v>
      </c>
    </row>
    <row r="61" spans="3:27" x14ac:dyDescent="0.25">
      <c r="C61" s="2" t="s">
        <v>86</v>
      </c>
      <c r="D61" s="14">
        <v>0</v>
      </c>
      <c r="E61" s="2">
        <v>0</v>
      </c>
      <c r="F61" s="14">
        <v>0</v>
      </c>
      <c r="G61" s="14">
        <v>0</v>
      </c>
      <c r="H61" s="14">
        <v>0</v>
      </c>
      <c r="I61" s="2">
        <v>0</v>
      </c>
      <c r="J61" s="14">
        <v>0</v>
      </c>
      <c r="K61" s="14">
        <v>0</v>
      </c>
      <c r="L61" s="14">
        <v>10</v>
      </c>
      <c r="M61" s="14">
        <v>0</v>
      </c>
      <c r="N61" s="14">
        <v>0</v>
      </c>
      <c r="O61" s="2">
        <v>0</v>
      </c>
      <c r="P61" s="4">
        <v>0</v>
      </c>
      <c r="Q61" s="1"/>
      <c r="R61" s="1"/>
      <c r="S61" s="1"/>
      <c r="T61" s="1"/>
      <c r="U61" s="1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3:27" x14ac:dyDescent="0.25">
      <c r="C62" s="1" t="s">
        <v>87</v>
      </c>
      <c r="D62" s="1">
        <f t="shared" ref="D62:O62" si="35">SUM(D60:D61)</f>
        <v>-720</v>
      </c>
      <c r="E62" s="1">
        <f ca="1">SUM(E60:E64)</f>
        <v>-152</v>
      </c>
      <c r="F62" s="1">
        <f t="shared" si="35"/>
        <v>-117</v>
      </c>
      <c r="G62" s="1">
        <f t="shared" si="35"/>
        <v>-8</v>
      </c>
      <c r="H62" s="1">
        <f t="shared" si="35"/>
        <v>-168</v>
      </c>
      <c r="I62" s="1">
        <f ca="1">SUM(I60:I64)</f>
        <v>-493</v>
      </c>
      <c r="J62" s="1">
        <f t="shared" si="35"/>
        <v>-68</v>
      </c>
      <c r="K62" s="1">
        <f t="shared" si="35"/>
        <v>-139</v>
      </c>
      <c r="L62" s="1">
        <f t="shared" si="35"/>
        <v>-103</v>
      </c>
      <c r="M62" s="1">
        <f t="shared" si="35"/>
        <v>-133</v>
      </c>
      <c r="N62" s="1">
        <f t="shared" si="35"/>
        <v>-46</v>
      </c>
      <c r="O62" s="1">
        <f t="shared" si="35"/>
        <v>-103</v>
      </c>
      <c r="P62" s="25">
        <f>SUM(P60:P61)</f>
        <v>-28</v>
      </c>
      <c r="Q62" s="1"/>
      <c r="R62" s="1"/>
      <c r="S62" s="1"/>
      <c r="T62" s="1"/>
      <c r="U62" s="1"/>
      <c r="V62" s="12">
        <f t="shared" ref="V62:Z62" si="36">SUM(V60:V61)</f>
        <v>-5502</v>
      </c>
      <c r="W62" s="12">
        <f t="shared" si="36"/>
        <v>-345</v>
      </c>
      <c r="X62" s="12">
        <f t="shared" si="36"/>
        <v>-1213</v>
      </c>
      <c r="Y62" s="12">
        <f t="shared" si="36"/>
        <v>-873</v>
      </c>
      <c r="Z62" s="12">
        <f t="shared" si="36"/>
        <v>-757</v>
      </c>
      <c r="AA62" s="12">
        <f>SUM(AA60:AA61)</f>
        <v>-384</v>
      </c>
    </row>
    <row r="63" spans="3:27" x14ac:dyDescent="0.25">
      <c r="C63" s="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25"/>
      <c r="Q63" s="1"/>
      <c r="R63" s="1"/>
      <c r="S63" s="1"/>
      <c r="T63" s="1"/>
      <c r="U63" s="1"/>
      <c r="V63" s="12"/>
      <c r="W63" s="12"/>
      <c r="X63" s="14"/>
      <c r="Y63" s="14"/>
      <c r="Z63" s="14"/>
      <c r="AA63" s="14"/>
    </row>
    <row r="64" spans="3:27" x14ac:dyDescent="0.25">
      <c r="C64" s="2" t="s">
        <v>88</v>
      </c>
      <c r="D64" s="14">
        <v>-711</v>
      </c>
      <c r="E64" s="14">
        <v>-124</v>
      </c>
      <c r="F64" s="14">
        <v>-230</v>
      </c>
      <c r="G64" s="14">
        <v>-195</v>
      </c>
      <c r="H64" s="14">
        <v>201</v>
      </c>
      <c r="I64" s="14">
        <v>-112</v>
      </c>
      <c r="J64" s="14">
        <v>-478</v>
      </c>
      <c r="K64" s="14">
        <v>-553</v>
      </c>
      <c r="L64" s="14">
        <v>561</v>
      </c>
      <c r="M64" s="14">
        <v>-1049</v>
      </c>
      <c r="N64" s="14">
        <v>-84</v>
      </c>
      <c r="O64" s="2">
        <v>-754</v>
      </c>
      <c r="P64" s="4">
        <v>-212</v>
      </c>
      <c r="Q64" s="1"/>
      <c r="R64" s="1"/>
      <c r="S64" s="1"/>
      <c r="T64" s="1"/>
      <c r="U64" s="1"/>
      <c r="V64" s="14">
        <f>3967+3035-1881</f>
        <v>5121</v>
      </c>
      <c r="W64" s="14">
        <f>849-1836</f>
        <v>-987</v>
      </c>
      <c r="X64" s="14">
        <f>2139-1373</f>
        <v>766</v>
      </c>
      <c r="Y64" s="14">
        <f>1785-2117</f>
        <v>-332</v>
      </c>
      <c r="Z64" s="14">
        <f>4372-3914</f>
        <v>458</v>
      </c>
      <c r="AA64" s="14">
        <f>2174-2252</f>
        <v>-78</v>
      </c>
    </row>
    <row r="65" spans="3:27" x14ac:dyDescent="0.25">
      <c r="C65" s="2" t="s">
        <v>89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-143</v>
      </c>
      <c r="M65" s="14">
        <v>0</v>
      </c>
      <c r="N65" s="14">
        <v>0</v>
      </c>
      <c r="O65" s="2">
        <v>0</v>
      </c>
      <c r="P65" s="4">
        <v>-148</v>
      </c>
      <c r="Q65" s="1"/>
      <c r="R65" s="1"/>
      <c r="S65" s="1"/>
      <c r="T65" s="1"/>
      <c r="U65" s="1"/>
      <c r="V65" s="14">
        <v>0</v>
      </c>
      <c r="W65" s="14">
        <v>0</v>
      </c>
      <c r="X65" s="14">
        <v>0</v>
      </c>
      <c r="Y65" s="14">
        <v>0</v>
      </c>
      <c r="Z65" s="14">
        <v>-606</v>
      </c>
      <c r="AA65" s="14">
        <v>-620</v>
      </c>
    </row>
    <row r="66" spans="3:27" x14ac:dyDescent="0.25">
      <c r="C66" s="2" t="s">
        <v>90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2">
        <v>0</v>
      </c>
      <c r="P66" s="4">
        <v>0</v>
      </c>
      <c r="Q66" s="1"/>
      <c r="R66" s="1"/>
      <c r="S66" s="1"/>
      <c r="T66" s="1"/>
      <c r="U66" s="1"/>
      <c r="V66" s="14">
        <v>-331</v>
      </c>
      <c r="W66" s="14">
        <v>0</v>
      </c>
      <c r="X66" s="14">
        <v>-7</v>
      </c>
      <c r="Y66" s="14">
        <v>-58</v>
      </c>
      <c r="Z66" s="14">
        <v>-623</v>
      </c>
      <c r="AA66" s="14">
        <v>-149</v>
      </c>
    </row>
    <row r="67" spans="3:27" x14ac:dyDescent="0.25">
      <c r="C67" s="2" t="s">
        <v>95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2">
        <v>0</v>
      </c>
      <c r="P67" s="4">
        <v>0</v>
      </c>
      <c r="Q67" s="1"/>
      <c r="R67" s="1"/>
      <c r="S67" s="1"/>
      <c r="T67" s="1"/>
      <c r="U67" s="1"/>
      <c r="V67" s="14">
        <f>-560-164</f>
        <v>-724</v>
      </c>
      <c r="W67" s="14">
        <v>0</v>
      </c>
      <c r="X67" s="14">
        <f>-566-205</f>
        <v>-771</v>
      </c>
      <c r="Y67" s="14">
        <v>-623</v>
      </c>
      <c r="Z67" s="14">
        <v>-171</v>
      </c>
      <c r="AA67" s="14">
        <v>-623</v>
      </c>
    </row>
    <row r="68" spans="3:27" x14ac:dyDescent="0.25">
      <c r="C68" s="1" t="s">
        <v>91</v>
      </c>
      <c r="D68" s="1">
        <f t="shared" ref="D68:O68" si="37">SUM(D64:D67)</f>
        <v>-711</v>
      </c>
      <c r="E68" s="1">
        <f>SUM(E64:E67)</f>
        <v>-124</v>
      </c>
      <c r="F68" s="1">
        <f t="shared" si="37"/>
        <v>-230</v>
      </c>
      <c r="G68" s="1">
        <f t="shared" si="37"/>
        <v>-195</v>
      </c>
      <c r="H68" s="1">
        <f t="shared" si="37"/>
        <v>201</v>
      </c>
      <c r="I68" s="1">
        <f>SUM(I64:I67)</f>
        <v>-112</v>
      </c>
      <c r="J68" s="1">
        <f t="shared" si="37"/>
        <v>-478</v>
      </c>
      <c r="K68" s="1">
        <f t="shared" si="37"/>
        <v>-553</v>
      </c>
      <c r="L68" s="1">
        <f t="shared" si="37"/>
        <v>418</v>
      </c>
      <c r="M68" s="1">
        <f t="shared" si="37"/>
        <v>-1049</v>
      </c>
      <c r="N68" s="1">
        <f t="shared" si="37"/>
        <v>-84</v>
      </c>
      <c r="O68" s="1">
        <f t="shared" si="37"/>
        <v>-754</v>
      </c>
      <c r="P68" s="25">
        <f>SUM(P64:P67)</f>
        <v>-360</v>
      </c>
      <c r="V68" s="12">
        <f>SUM(V64:V67)</f>
        <v>4066</v>
      </c>
      <c r="W68" s="12">
        <f t="shared" ref="W68:Z68" si="38">SUM(W64:W67)</f>
        <v>-987</v>
      </c>
      <c r="X68" s="12">
        <f t="shared" si="38"/>
        <v>-12</v>
      </c>
      <c r="Y68" s="12">
        <f t="shared" si="38"/>
        <v>-1013</v>
      </c>
      <c r="Z68" s="12">
        <f t="shared" si="38"/>
        <v>-942</v>
      </c>
      <c r="AA68" s="12">
        <f>SUM(AA64:AA67)</f>
        <v>-1470</v>
      </c>
    </row>
    <row r="69" spans="3:27" x14ac:dyDescent="0.25">
      <c r="D69" s="14"/>
      <c r="V69" s="14"/>
      <c r="W69" s="14"/>
      <c r="X69" s="14"/>
      <c r="Y69" s="14"/>
      <c r="Z69" s="14"/>
      <c r="AA69" s="14"/>
    </row>
    <row r="70" spans="3:27" x14ac:dyDescent="0.25">
      <c r="C70" s="2" t="s">
        <v>92</v>
      </c>
      <c r="D70" s="2">
        <v>-42</v>
      </c>
      <c r="E70" s="2">
        <v>-101</v>
      </c>
      <c r="F70" s="2">
        <v>-65</v>
      </c>
      <c r="G70" s="2">
        <v>28</v>
      </c>
      <c r="H70" s="2">
        <v>-13</v>
      </c>
      <c r="I70" s="2">
        <v>-94</v>
      </c>
      <c r="J70" s="2">
        <v>42</v>
      </c>
      <c r="K70" s="2">
        <v>49</v>
      </c>
      <c r="L70" s="2">
        <v>-27</v>
      </c>
      <c r="M70" s="2">
        <v>26</v>
      </c>
      <c r="N70" s="2">
        <v>4</v>
      </c>
      <c r="O70" s="2">
        <v>-40</v>
      </c>
      <c r="P70" s="4">
        <v>-114</v>
      </c>
      <c r="V70" s="14">
        <v>-11</v>
      </c>
      <c r="W70" s="14">
        <v>180</v>
      </c>
      <c r="X70" s="14">
        <v>-92</v>
      </c>
      <c r="Y70" s="14">
        <v>-180</v>
      </c>
      <c r="Z70" s="14">
        <v>-16</v>
      </c>
      <c r="AA70" s="14">
        <v>-38</v>
      </c>
    </row>
    <row r="71" spans="3:27" x14ac:dyDescent="0.25">
      <c r="V71" s="14"/>
      <c r="W71" s="14"/>
      <c r="X71" s="14"/>
      <c r="Y71" s="14"/>
      <c r="Z71" s="14"/>
      <c r="AA71" s="14"/>
    </row>
    <row r="72" spans="3:27" x14ac:dyDescent="0.25">
      <c r="C72" s="2" t="s">
        <v>93</v>
      </c>
      <c r="D72" s="2">
        <f t="shared" ref="D72:O72" si="39">D58+D62+D68+D70</f>
        <v>-1209</v>
      </c>
      <c r="E72" s="2">
        <f ca="1">E58+E62+E68+E70</f>
        <v>0</v>
      </c>
      <c r="F72" s="2">
        <f t="shared" si="39"/>
        <v>-325</v>
      </c>
      <c r="G72" s="2">
        <f t="shared" si="39"/>
        <v>226</v>
      </c>
      <c r="H72" s="2">
        <f t="shared" si="39"/>
        <v>74</v>
      </c>
      <c r="I72" s="2">
        <f t="shared" ca="1" si="39"/>
        <v>11</v>
      </c>
      <c r="J72" s="2">
        <f t="shared" si="39"/>
        <v>-226</v>
      </c>
      <c r="K72" s="2">
        <f t="shared" si="39"/>
        <v>315</v>
      </c>
      <c r="L72" s="2">
        <f t="shared" si="39"/>
        <v>396</v>
      </c>
      <c r="M72" s="2">
        <f t="shared" si="39"/>
        <v>-735</v>
      </c>
      <c r="N72" s="2">
        <f t="shared" si="39"/>
        <v>36</v>
      </c>
      <c r="O72" s="2">
        <f t="shared" si="39"/>
        <v>406</v>
      </c>
      <c r="P72" s="4">
        <f>P58+P62+P68+P70</f>
        <v>-384</v>
      </c>
      <c r="V72" s="14">
        <f t="shared" ref="V72:Z72" si="40">V58+V62+V68+V70</f>
        <v>546</v>
      </c>
      <c r="W72" s="14">
        <f t="shared" si="40"/>
        <v>933</v>
      </c>
      <c r="X72" s="14">
        <f t="shared" si="40"/>
        <v>181</v>
      </c>
      <c r="Y72" s="14">
        <f t="shared" si="40"/>
        <v>-1024</v>
      </c>
      <c r="Z72" s="14">
        <f t="shared" si="40"/>
        <v>78</v>
      </c>
      <c r="AA72" s="14">
        <f>AA58+AA62+AA68+AA70</f>
        <v>102</v>
      </c>
    </row>
    <row r="73" spans="3:27" x14ac:dyDescent="0.25">
      <c r="V73" s="14"/>
      <c r="W73" s="14"/>
      <c r="X73" s="14"/>
      <c r="Y73" s="14"/>
      <c r="Z73" s="14"/>
      <c r="AA73" s="14"/>
    </row>
    <row r="74" spans="3:27" x14ac:dyDescent="0.25">
      <c r="C74" s="2" t="s">
        <v>94</v>
      </c>
      <c r="D74" s="2">
        <f t="shared" ref="D74:O74" si="41">D58+D60</f>
        <v>-456</v>
      </c>
      <c r="E74" s="2">
        <f t="shared" si="41"/>
        <v>262</v>
      </c>
      <c r="F74" s="2">
        <f t="shared" si="41"/>
        <v>-30</v>
      </c>
      <c r="G74" s="2">
        <f t="shared" si="41"/>
        <v>393</v>
      </c>
      <c r="H74" s="2">
        <f t="shared" si="41"/>
        <v>-114</v>
      </c>
      <c r="I74" s="2">
        <f t="shared" si="41"/>
        <v>123</v>
      </c>
      <c r="J74" s="2">
        <f t="shared" si="41"/>
        <v>210</v>
      </c>
      <c r="K74" s="2">
        <f t="shared" si="41"/>
        <v>819</v>
      </c>
      <c r="L74" s="2">
        <f t="shared" si="41"/>
        <v>-5</v>
      </c>
      <c r="M74" s="2">
        <f t="shared" si="41"/>
        <v>288</v>
      </c>
      <c r="N74" s="2">
        <f t="shared" si="41"/>
        <v>116</v>
      </c>
      <c r="O74" s="2">
        <f t="shared" si="41"/>
        <v>1200</v>
      </c>
      <c r="P74" s="4">
        <f>P58+P60</f>
        <v>90</v>
      </c>
      <c r="V74" s="14">
        <f t="shared" ref="V74:Z74" si="42">V58+V60</f>
        <v>-3509</v>
      </c>
      <c r="W74" s="14">
        <f t="shared" si="42"/>
        <v>1740</v>
      </c>
      <c r="X74" s="14">
        <f t="shared" si="42"/>
        <v>285</v>
      </c>
      <c r="Y74" s="14">
        <f t="shared" si="42"/>
        <v>169</v>
      </c>
      <c r="Z74" s="14">
        <f t="shared" si="42"/>
        <v>1036</v>
      </c>
      <c r="AA74" s="14">
        <f>AA58+AA60</f>
        <v>1610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59"/>
  <sheetViews>
    <sheetView showGridLines="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X9" sqref="X9"/>
    </sheetView>
  </sheetViews>
  <sheetFormatPr baseColWidth="10" defaultRowHeight="19" x14ac:dyDescent="0.25"/>
  <cols>
    <col min="1" max="1" width="6" style="2" customWidth="1"/>
    <col min="2" max="2" width="29.1640625" style="2" customWidth="1"/>
    <col min="3" max="16384" width="10.83203125" style="2"/>
  </cols>
  <sheetData>
    <row r="4" spans="2:22" x14ac:dyDescent="0.25">
      <c r="B4" s="2" t="s">
        <v>104</v>
      </c>
      <c r="C4" s="7" t="s">
        <v>3</v>
      </c>
      <c r="D4" s="7" t="s">
        <v>4</v>
      </c>
      <c r="E4" s="7" t="s">
        <v>5</v>
      </c>
      <c r="F4" s="7" t="s">
        <v>6</v>
      </c>
      <c r="G4" s="40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40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40">
        <v>2024</v>
      </c>
      <c r="R4" s="42" t="s">
        <v>39</v>
      </c>
      <c r="S4" s="42" t="s">
        <v>33</v>
      </c>
      <c r="T4" s="7" t="s">
        <v>37</v>
      </c>
      <c r="U4" s="7" t="s">
        <v>38</v>
      </c>
      <c r="V4" s="41">
        <v>2025</v>
      </c>
    </row>
    <row r="5" spans="2:22" x14ac:dyDescent="0.25">
      <c r="B5" s="43" t="s">
        <v>111</v>
      </c>
      <c r="C5" s="35"/>
      <c r="D5" s="35"/>
      <c r="E5" s="35"/>
      <c r="F5" s="35"/>
      <c r="G5" s="41"/>
      <c r="H5" s="35"/>
      <c r="I5" s="35"/>
      <c r="J5" s="35"/>
      <c r="K5" s="35"/>
      <c r="L5" s="41"/>
      <c r="M5" s="35"/>
      <c r="N5" s="35"/>
      <c r="O5" s="35"/>
      <c r="P5" s="35"/>
      <c r="Q5" s="41"/>
      <c r="R5" s="35"/>
      <c r="S5" s="35"/>
      <c r="T5" s="35"/>
      <c r="U5" s="35"/>
      <c r="V5" s="41"/>
    </row>
    <row r="6" spans="2:22" x14ac:dyDescent="0.25">
      <c r="B6" s="1" t="s">
        <v>40</v>
      </c>
      <c r="C6" s="1">
        <v>2240</v>
      </c>
      <c r="D6" s="1">
        <v>2279</v>
      </c>
      <c r="E6" s="1">
        <v>1954</v>
      </c>
      <c r="F6" s="1">
        <v>2466</v>
      </c>
      <c r="G6" s="41">
        <f>SUM(C6:F6)</f>
        <v>8939</v>
      </c>
      <c r="H6" s="1">
        <v>2595</v>
      </c>
      <c r="I6" s="1">
        <v>2601</v>
      </c>
      <c r="J6" s="1">
        <v>2249</v>
      </c>
      <c r="K6" s="1">
        <v>2737</v>
      </c>
      <c r="L6" s="41">
        <f>SUM(H6:K6)</f>
        <v>10182</v>
      </c>
      <c r="M6" s="1">
        <v>2670</v>
      </c>
      <c r="N6" s="1">
        <v>2771</v>
      </c>
      <c r="O6" s="1">
        <v>2240</v>
      </c>
      <c r="P6" s="1">
        <v>2790</v>
      </c>
      <c r="Q6" s="41">
        <f>SUM(M6:P6)</f>
        <v>10471</v>
      </c>
      <c r="R6" s="1">
        <v>2695</v>
      </c>
      <c r="V6" s="41">
        <f>SUM(R6:U6)</f>
        <v>2695</v>
      </c>
    </row>
    <row r="7" spans="2:22" x14ac:dyDescent="0.25">
      <c r="B7" s="2" t="s">
        <v>47</v>
      </c>
      <c r="C7" s="2">
        <v>183</v>
      </c>
      <c r="D7" s="2">
        <v>171</v>
      </c>
      <c r="E7" s="2">
        <v>119</v>
      </c>
      <c r="F7" s="2">
        <v>193</v>
      </c>
      <c r="G7" s="41">
        <f>SUM(C7:F7)</f>
        <v>666</v>
      </c>
      <c r="H7" s="2">
        <v>253</v>
      </c>
      <c r="I7" s="2">
        <v>103</v>
      </c>
      <c r="J7" s="2">
        <v>65</v>
      </c>
      <c r="K7" s="2">
        <v>229</v>
      </c>
      <c r="L7" s="41">
        <f>SUM(H7:K7)</f>
        <v>650</v>
      </c>
      <c r="M7" s="2">
        <v>216</v>
      </c>
      <c r="N7" s="2">
        <v>213</v>
      </c>
      <c r="O7" s="2">
        <v>120</v>
      </c>
      <c r="P7" s="2">
        <v>261</v>
      </c>
      <c r="Q7" s="41">
        <f>SUM(M7:P7)</f>
        <v>810</v>
      </c>
      <c r="R7" s="2">
        <v>231</v>
      </c>
      <c r="V7" s="41">
        <f>SUM(R7:U7)</f>
        <v>231</v>
      </c>
    </row>
    <row r="8" spans="2:22" x14ac:dyDescent="0.25">
      <c r="B8" s="2" t="s">
        <v>96</v>
      </c>
      <c r="C8" s="10">
        <v>8.2000000000000003E-2</v>
      </c>
      <c r="D8" s="10">
        <v>7.4999999999999997E-2</v>
      </c>
      <c r="E8" s="10">
        <v>6.0999999999999999E-2</v>
      </c>
      <c r="F8" s="10">
        <v>7.8E-2</v>
      </c>
      <c r="G8" s="47">
        <f>G7/G6</f>
        <v>7.4504978185479354E-2</v>
      </c>
      <c r="H8" s="10">
        <v>9.8000000000000004E-2</v>
      </c>
      <c r="I8" s="10">
        <v>0.04</v>
      </c>
      <c r="J8" s="10">
        <v>2.9000000000000001E-2</v>
      </c>
      <c r="K8" s="10">
        <v>8.4000000000000005E-2</v>
      </c>
      <c r="L8" s="47">
        <f>L7/L6</f>
        <v>6.3838145747397365E-2</v>
      </c>
      <c r="M8" s="10">
        <v>8.1000000000000003E-2</v>
      </c>
      <c r="N8" s="10">
        <v>7.6999999999999999E-2</v>
      </c>
      <c r="O8" s="10">
        <v>5.2999999999999999E-2</v>
      </c>
      <c r="P8" s="10">
        <v>9.4E-2</v>
      </c>
      <c r="Q8" s="47">
        <f>Q7/Q6</f>
        <v>7.7356508451914816E-2</v>
      </c>
      <c r="R8" s="10">
        <v>8.5999999999999993E-2</v>
      </c>
      <c r="S8" s="10"/>
      <c r="T8" s="10"/>
      <c r="U8" s="10"/>
      <c r="V8" s="47">
        <f>V7/V6</f>
        <v>8.5714285714285715E-2</v>
      </c>
    </row>
    <row r="9" spans="2:22" x14ac:dyDescent="0.25">
      <c r="B9" s="2" t="s">
        <v>112</v>
      </c>
      <c r="C9" s="2">
        <v>7191</v>
      </c>
      <c r="D9" s="2">
        <v>0</v>
      </c>
      <c r="E9" s="2">
        <v>0</v>
      </c>
      <c r="F9" s="2">
        <v>0</v>
      </c>
      <c r="G9" s="41"/>
      <c r="H9" s="2">
        <v>8080</v>
      </c>
      <c r="I9" s="2">
        <v>0</v>
      </c>
      <c r="J9" s="2">
        <v>0</v>
      </c>
      <c r="K9" s="2">
        <v>0</v>
      </c>
      <c r="L9" s="41"/>
      <c r="M9" s="2">
        <v>8679</v>
      </c>
      <c r="N9" s="2">
        <v>0</v>
      </c>
      <c r="O9" s="2">
        <v>0</v>
      </c>
      <c r="P9" s="2">
        <v>0</v>
      </c>
      <c r="Q9" s="41"/>
      <c r="R9" s="2">
        <v>8399</v>
      </c>
      <c r="V9" s="41"/>
    </row>
    <row r="10" spans="2:22" x14ac:dyDescent="0.25">
      <c r="B10" s="31" t="s">
        <v>113</v>
      </c>
      <c r="C10" s="31">
        <v>6436</v>
      </c>
      <c r="D10" s="31">
        <v>6455</v>
      </c>
      <c r="E10" s="31">
        <v>6433</v>
      </c>
      <c r="F10" s="31">
        <v>6603</v>
      </c>
      <c r="G10" s="46"/>
      <c r="H10" s="31">
        <v>6748</v>
      </c>
      <c r="I10" s="31">
        <v>6923</v>
      </c>
      <c r="J10" s="31">
        <v>6867</v>
      </c>
      <c r="K10" s="31">
        <v>6901</v>
      </c>
      <c r="L10" s="46"/>
      <c r="M10" s="31">
        <v>6740</v>
      </c>
      <c r="N10" s="31">
        <v>6746</v>
      </c>
      <c r="O10" s="31">
        <v>6644</v>
      </c>
      <c r="P10" s="31">
        <v>6706</v>
      </c>
      <c r="Q10" s="46"/>
      <c r="R10" s="31">
        <v>6684</v>
      </c>
      <c r="S10" s="31"/>
      <c r="T10" s="31"/>
      <c r="U10" s="31"/>
      <c r="V10" s="46"/>
    </row>
    <row r="11" spans="2:22" x14ac:dyDescent="0.25">
      <c r="B11" s="1" t="s">
        <v>114</v>
      </c>
      <c r="C11" s="50">
        <v>0.13600000000000001</v>
      </c>
      <c r="D11" s="50">
        <v>0.114</v>
      </c>
      <c r="E11" s="50">
        <v>0.193</v>
      </c>
      <c r="F11" s="50">
        <v>0.19800000000000001</v>
      </c>
      <c r="G11" s="47"/>
      <c r="H11" s="50">
        <v>0.158</v>
      </c>
      <c r="I11" s="50">
        <v>0.13100000000000001</v>
      </c>
      <c r="J11" s="50">
        <v>0.14000000000000001</v>
      </c>
      <c r="K11" s="50">
        <v>9.8000000000000004E-2</v>
      </c>
      <c r="L11" s="47">
        <f>(L6-G6)/G6</f>
        <v>0.1390535854122385</v>
      </c>
      <c r="M11" s="50">
        <v>1.6E-2</v>
      </c>
      <c r="N11" s="50">
        <v>6.5000000000000002E-2</v>
      </c>
      <c r="O11" s="50">
        <v>-4.0000000000000001E-3</v>
      </c>
      <c r="P11" s="50">
        <v>0.02</v>
      </c>
      <c r="Q11" s="47">
        <f>(Q6-L6)/L6</f>
        <v>2.838342172461206E-2</v>
      </c>
      <c r="R11" s="50">
        <v>0.01</v>
      </c>
      <c r="S11" s="10"/>
      <c r="T11" s="10"/>
      <c r="U11" s="10"/>
      <c r="V11" s="47">
        <f>(V6-Q6)/Q6</f>
        <v>-0.74262248113838225</v>
      </c>
    </row>
    <row r="12" spans="2:22" x14ac:dyDescent="0.25">
      <c r="B12" s="2" t="s">
        <v>115</v>
      </c>
      <c r="C12" s="10">
        <v>7.0999999999999994E-2</v>
      </c>
      <c r="D12" s="10">
        <v>7.0999999999999994E-2</v>
      </c>
      <c r="E12" s="10">
        <v>6.4000000000000001E-2</v>
      </c>
      <c r="F12" s="10">
        <v>5.8000000000000003E-2</v>
      </c>
      <c r="G12" s="47"/>
      <c r="H12" s="10">
        <v>3.0000000000000001E-3</v>
      </c>
      <c r="I12" s="10">
        <v>8.9999999999999993E-3</v>
      </c>
      <c r="J12" s="10">
        <v>0.01</v>
      </c>
      <c r="K12" s="10">
        <v>1.0999999999999999E-2</v>
      </c>
      <c r="L12" s="47"/>
      <c r="M12" s="10">
        <v>8.0000000000000002E-3</v>
      </c>
      <c r="N12" s="10">
        <v>0</v>
      </c>
      <c r="O12" s="10">
        <v>0</v>
      </c>
      <c r="P12" s="10">
        <v>0</v>
      </c>
      <c r="Q12" s="47"/>
      <c r="R12" s="10">
        <v>0</v>
      </c>
      <c r="S12" s="10"/>
      <c r="T12" s="10"/>
      <c r="U12" s="10"/>
      <c r="V12" s="47"/>
    </row>
    <row r="13" spans="2:22" x14ac:dyDescent="0.25">
      <c r="B13" s="2" t="s">
        <v>116</v>
      </c>
      <c r="C13" s="10">
        <v>3.4000000000000002E-2</v>
      </c>
      <c r="D13" s="10">
        <v>2.7E-2</v>
      </c>
      <c r="E13" s="10">
        <v>4.9000000000000002E-2</v>
      </c>
      <c r="F13" s="10">
        <v>4.8000000000000001E-2</v>
      </c>
      <c r="G13" s="47"/>
      <c r="H13" s="10">
        <v>2.8000000000000001E-2</v>
      </c>
      <c r="I13" s="10">
        <v>4.2000000000000003E-2</v>
      </c>
      <c r="J13" s="10">
        <v>5.3999999999999999E-2</v>
      </c>
      <c r="K13" s="10">
        <v>1.2E-2</v>
      </c>
      <c r="L13" s="47"/>
      <c r="M13" s="10">
        <v>1E-3</v>
      </c>
      <c r="N13" s="10">
        <v>3.0000000000000001E-3</v>
      </c>
      <c r="O13" s="10">
        <v>-2.5000000000000001E-2</v>
      </c>
      <c r="P13" s="10">
        <v>1E-3</v>
      </c>
      <c r="Q13" s="47"/>
      <c r="R13" s="10">
        <v>-6.0000000000000001E-3</v>
      </c>
      <c r="S13" s="10"/>
      <c r="T13" s="10"/>
      <c r="U13" s="10"/>
      <c r="V13" s="47"/>
    </row>
    <row r="14" spans="2:22" x14ac:dyDescent="0.25">
      <c r="B14" s="2" t="s">
        <v>117</v>
      </c>
      <c r="C14" s="10">
        <v>1.7000000000000001E-2</v>
      </c>
      <c r="D14" s="10">
        <v>-1.0999999999999999E-2</v>
      </c>
      <c r="E14" s="10">
        <v>-4.0000000000000001E-3</v>
      </c>
      <c r="F14" s="10">
        <v>9.2999999999999999E-2</v>
      </c>
      <c r="G14" s="47"/>
      <c r="H14" s="10">
        <v>1.2E-2</v>
      </c>
      <c r="I14" s="10">
        <v>-1.4999999999999999E-2</v>
      </c>
      <c r="J14" s="10">
        <v>-1.4E-2</v>
      </c>
      <c r="K14" s="10">
        <v>-4.0000000000000001E-3</v>
      </c>
      <c r="L14" s="47"/>
      <c r="M14" s="10">
        <v>-2.5000000000000001E-2</v>
      </c>
      <c r="N14" s="10">
        <v>2.5999999999999999E-2</v>
      </c>
      <c r="O14" s="10">
        <v>4.0000000000000001E-3</v>
      </c>
      <c r="P14" s="10">
        <v>-1.2999999999999999E-2</v>
      </c>
      <c r="Q14" s="47"/>
      <c r="R14" s="10">
        <v>-1E-3</v>
      </c>
      <c r="S14" s="10"/>
      <c r="T14" s="10"/>
      <c r="U14" s="10"/>
      <c r="V14" s="47"/>
    </row>
    <row r="15" spans="2:22" ht="20" thickBot="1" x14ac:dyDescent="0.3">
      <c r="B15" s="44" t="s">
        <v>118</v>
      </c>
      <c r="C15" s="48">
        <v>1.2999999999999999E-2</v>
      </c>
      <c r="D15" s="48">
        <v>2.7E-2</v>
      </c>
      <c r="E15" s="48">
        <v>8.5000000000000006E-2</v>
      </c>
      <c r="F15" s="48">
        <v>0.104</v>
      </c>
      <c r="G15" s="49"/>
      <c r="H15" s="48">
        <v>0.115</v>
      </c>
      <c r="I15" s="48">
        <v>9.5000000000000001E-2</v>
      </c>
      <c r="J15" s="48">
        <v>8.8999999999999996E-2</v>
      </c>
      <c r="K15" s="48">
        <v>0.08</v>
      </c>
      <c r="L15" s="49"/>
      <c r="M15" s="48">
        <v>3.2000000000000001E-2</v>
      </c>
      <c r="N15" s="48">
        <v>3.6999999999999998E-2</v>
      </c>
      <c r="O15" s="48">
        <v>1.7999999999999999E-2</v>
      </c>
      <c r="P15" s="48">
        <v>3.2000000000000001E-2</v>
      </c>
      <c r="Q15" s="49"/>
      <c r="R15" s="48">
        <v>1.7000000000000001E-2</v>
      </c>
      <c r="S15" s="48"/>
      <c r="T15" s="48"/>
      <c r="U15" s="48"/>
      <c r="V15" s="49"/>
    </row>
    <row r="16" spans="2:22" x14ac:dyDescent="0.25">
      <c r="B16" s="1" t="s">
        <v>119</v>
      </c>
      <c r="G16" s="41"/>
      <c r="L16" s="41"/>
      <c r="Q16" s="41"/>
      <c r="V16" s="41"/>
    </row>
    <row r="17" spans="2:22" x14ac:dyDescent="0.25">
      <c r="B17" s="1" t="s">
        <v>40</v>
      </c>
      <c r="C17" s="1">
        <v>1355</v>
      </c>
      <c r="D17" s="1">
        <v>1388</v>
      </c>
      <c r="E17" s="1">
        <v>1200</v>
      </c>
      <c r="F17" s="1">
        <v>1548</v>
      </c>
      <c r="G17" s="41">
        <f>SUM(C17:F17)</f>
        <v>5491</v>
      </c>
      <c r="H17" s="1">
        <v>1566</v>
      </c>
      <c r="I17" s="1">
        <v>1747</v>
      </c>
      <c r="J17" s="1">
        <v>1455</v>
      </c>
      <c r="K17" s="1">
        <v>1775</v>
      </c>
      <c r="L17" s="41">
        <f>SUM(H17:K17)</f>
        <v>6543</v>
      </c>
      <c r="M17" s="1">
        <v>1792</v>
      </c>
      <c r="N17" s="1">
        <v>1810</v>
      </c>
      <c r="O17" s="1">
        <v>1478</v>
      </c>
      <c r="P17" s="1">
        <v>1778</v>
      </c>
      <c r="Q17" s="41">
        <f>SUM(M17:P17)</f>
        <v>6858</v>
      </c>
      <c r="R17" s="1">
        <v>1711</v>
      </c>
      <c r="V17" s="41">
        <f>SUM(R17:U17)</f>
        <v>1711</v>
      </c>
    </row>
    <row r="18" spans="2:22" x14ac:dyDescent="0.25">
      <c r="B18" s="2" t="s">
        <v>47</v>
      </c>
      <c r="C18" s="2">
        <v>121</v>
      </c>
      <c r="D18" s="2">
        <v>101</v>
      </c>
      <c r="E18" s="2">
        <v>93</v>
      </c>
      <c r="F18" s="2">
        <v>130</v>
      </c>
      <c r="G18" s="41">
        <f>SUM(C18:F18)</f>
        <v>445</v>
      </c>
      <c r="H18" s="2">
        <v>159</v>
      </c>
      <c r="I18" s="2">
        <v>101</v>
      </c>
      <c r="J18" s="2">
        <v>69</v>
      </c>
      <c r="K18" s="2">
        <v>120</v>
      </c>
      <c r="L18" s="41">
        <f>SUM(H18:K18)</f>
        <v>449</v>
      </c>
      <c r="M18" s="2">
        <v>165</v>
      </c>
      <c r="N18" s="2">
        <v>116</v>
      </c>
      <c r="O18" s="2">
        <v>76</v>
      </c>
      <c r="P18" s="2">
        <v>108</v>
      </c>
      <c r="Q18" s="41">
        <f>SUM(M18:P18)</f>
        <v>465</v>
      </c>
      <c r="R18" s="2">
        <v>119</v>
      </c>
      <c r="V18" s="41">
        <f>SUM(R18:U18)</f>
        <v>119</v>
      </c>
    </row>
    <row r="19" spans="2:22" x14ac:dyDescent="0.25">
      <c r="B19" s="2" t="s">
        <v>96</v>
      </c>
      <c r="C19" s="10">
        <v>8.8999999999999996E-2</v>
      </c>
      <c r="D19" s="10">
        <v>7.2999999999999995E-2</v>
      </c>
      <c r="E19" s="10">
        <v>7.8E-2</v>
      </c>
      <c r="F19" s="10">
        <v>8.4000000000000005E-2</v>
      </c>
      <c r="G19" s="47">
        <f>G18/G17</f>
        <v>8.1041704607539608E-2</v>
      </c>
      <c r="H19" s="10">
        <v>0.10199999999999999</v>
      </c>
      <c r="I19" s="10">
        <v>5.8000000000000003E-2</v>
      </c>
      <c r="J19" s="10">
        <v>4.7E-2</v>
      </c>
      <c r="K19" s="10">
        <v>6.7000000000000004E-2</v>
      </c>
      <c r="L19" s="47">
        <f>L18/L17</f>
        <v>6.8622955830658722E-2</v>
      </c>
      <c r="M19" s="10">
        <v>9.1999999999999998E-2</v>
      </c>
      <c r="N19" s="10">
        <v>6.4000000000000001E-2</v>
      </c>
      <c r="O19" s="10">
        <v>5.0999999999999997E-2</v>
      </c>
      <c r="P19" s="10">
        <v>6.0999999999999999E-2</v>
      </c>
      <c r="Q19" s="47">
        <f>Q18/Q17</f>
        <v>6.7804024496937884E-2</v>
      </c>
      <c r="R19" s="10">
        <v>7.0000000000000007E-2</v>
      </c>
      <c r="S19" s="10"/>
      <c r="T19" s="10"/>
      <c r="U19" s="10"/>
      <c r="V19" s="47">
        <f>V18/V17</f>
        <v>6.9549970777323208E-2</v>
      </c>
    </row>
    <row r="20" spans="2:22" x14ac:dyDescent="0.25">
      <c r="B20" s="2" t="s">
        <v>112</v>
      </c>
      <c r="C20" s="2">
        <v>2411</v>
      </c>
      <c r="D20" s="2">
        <v>0</v>
      </c>
      <c r="E20" s="2">
        <v>0</v>
      </c>
      <c r="F20" s="2">
        <v>0</v>
      </c>
      <c r="G20" s="41"/>
      <c r="H20" s="2">
        <v>2544</v>
      </c>
      <c r="I20" s="2">
        <v>0</v>
      </c>
      <c r="J20" s="2">
        <v>0</v>
      </c>
      <c r="K20" s="2">
        <v>0</v>
      </c>
      <c r="L20" s="41"/>
      <c r="M20" s="2">
        <v>2814</v>
      </c>
      <c r="N20" s="2">
        <v>0</v>
      </c>
      <c r="O20" s="2">
        <v>0</v>
      </c>
      <c r="P20" s="2">
        <v>0</v>
      </c>
      <c r="Q20" s="41"/>
      <c r="R20" s="2">
        <v>3074</v>
      </c>
      <c r="V20" s="41"/>
    </row>
    <row r="21" spans="2:22" x14ac:dyDescent="0.25">
      <c r="B21" s="31" t="s">
        <v>113</v>
      </c>
      <c r="C21" s="31">
        <v>3141</v>
      </c>
      <c r="D21" s="31">
        <v>3239</v>
      </c>
      <c r="E21" s="31">
        <v>3265</v>
      </c>
      <c r="F21" s="39">
        <v>3376</v>
      </c>
      <c r="G21" s="46"/>
      <c r="H21" s="31">
        <v>3322</v>
      </c>
      <c r="I21" s="31">
        <v>3840</v>
      </c>
      <c r="J21" s="31">
        <v>3834</v>
      </c>
      <c r="K21" s="31">
        <v>3846</v>
      </c>
      <c r="L21" s="46"/>
      <c r="M21" s="31">
        <v>3757</v>
      </c>
      <c r="N21" s="31">
        <v>3699</v>
      </c>
      <c r="O21" s="31">
        <v>3603</v>
      </c>
      <c r="P21" s="31">
        <v>3589</v>
      </c>
      <c r="Q21" s="46"/>
      <c r="R21" s="31">
        <v>3460</v>
      </c>
      <c r="S21" s="31"/>
      <c r="T21" s="31"/>
      <c r="U21" s="31"/>
      <c r="V21" s="46"/>
    </row>
    <row r="22" spans="2:22" x14ac:dyDescent="0.25">
      <c r="B22" s="1" t="s">
        <v>114</v>
      </c>
      <c r="C22" s="50">
        <v>0.14099999999999999</v>
      </c>
      <c r="D22" s="50">
        <v>0.109</v>
      </c>
      <c r="E22" s="50">
        <v>9.1999999999999998E-2</v>
      </c>
      <c r="F22" s="50">
        <v>0.12</v>
      </c>
      <c r="G22" s="47"/>
      <c r="H22" s="50">
        <v>0.156</v>
      </c>
      <c r="I22" s="50">
        <v>9.4E-2</v>
      </c>
      <c r="J22" s="50">
        <v>5.7000000000000002E-2</v>
      </c>
      <c r="K22" s="50">
        <v>-6.0000000000000001E-3</v>
      </c>
      <c r="L22" s="47">
        <f>(L17-G17)/G17</f>
        <v>0.19158623201602623</v>
      </c>
      <c r="M22" s="50">
        <v>-1.2999999999999999E-2</v>
      </c>
      <c r="N22" s="50">
        <v>3.5999999999999997E-2</v>
      </c>
      <c r="O22" s="50">
        <v>1.6E-2</v>
      </c>
      <c r="P22" s="50">
        <v>2E-3</v>
      </c>
      <c r="Q22" s="47">
        <f>(Q17-L17)/L17</f>
        <v>4.8143053645116916E-2</v>
      </c>
      <c r="R22" s="50">
        <v>-4.4999999999999998E-2</v>
      </c>
      <c r="S22" s="10"/>
      <c r="T22" s="10"/>
      <c r="U22" s="10"/>
      <c r="V22" s="47">
        <f>(V17-Q17)/Q17</f>
        <v>-0.75051035287255763</v>
      </c>
    </row>
    <row r="23" spans="2:22" x14ac:dyDescent="0.25">
      <c r="B23" s="2" t="s">
        <v>115</v>
      </c>
      <c r="C23" s="10">
        <v>2.4E-2</v>
      </c>
      <c r="D23" s="10">
        <v>2.1000000000000001E-2</v>
      </c>
      <c r="E23" s="10">
        <v>1.4999999999999999E-2</v>
      </c>
      <c r="F23" s="10">
        <v>8.0000000000000002E-3</v>
      </c>
      <c r="G23" s="47"/>
      <c r="H23" s="10">
        <v>0</v>
      </c>
      <c r="I23" s="10">
        <v>0</v>
      </c>
      <c r="J23" s="10">
        <v>0</v>
      </c>
      <c r="K23" s="10">
        <v>0</v>
      </c>
      <c r="L23" s="47"/>
      <c r="M23" s="10">
        <v>0</v>
      </c>
      <c r="N23" s="10">
        <v>0</v>
      </c>
      <c r="O23" s="10">
        <v>0</v>
      </c>
      <c r="P23" s="10">
        <v>0</v>
      </c>
      <c r="Q23" s="47"/>
      <c r="R23" s="10">
        <v>0</v>
      </c>
      <c r="S23" s="10"/>
      <c r="T23" s="10"/>
      <c r="U23" s="10"/>
      <c r="V23" s="47"/>
    </row>
    <row r="24" spans="2:22" x14ac:dyDescent="0.25">
      <c r="B24" s="2" t="s">
        <v>116</v>
      </c>
      <c r="C24" s="10">
        <v>3.0000000000000001E-3</v>
      </c>
      <c r="D24" s="10">
        <v>0.01</v>
      </c>
      <c r="E24" s="10">
        <v>1.7999999999999999E-2</v>
      </c>
      <c r="F24" s="10">
        <v>1.4E-2</v>
      </c>
      <c r="G24" s="47"/>
      <c r="H24" s="10">
        <v>0.01</v>
      </c>
      <c r="I24" s="10">
        <v>1.0999999999999999E-2</v>
      </c>
      <c r="J24" s="10">
        <v>1.2999999999999999E-2</v>
      </c>
      <c r="K24" s="10">
        <v>2E-3</v>
      </c>
      <c r="L24" s="47"/>
      <c r="M24" s="10">
        <v>-1E-3</v>
      </c>
      <c r="N24" s="10">
        <v>0</v>
      </c>
      <c r="O24" s="10">
        <v>-7.0000000000000001E-3</v>
      </c>
      <c r="P24" s="10">
        <v>0</v>
      </c>
      <c r="Q24" s="47"/>
      <c r="R24" s="10">
        <v>-1E-3</v>
      </c>
      <c r="S24" s="10"/>
      <c r="T24" s="10"/>
      <c r="U24" s="10"/>
      <c r="V24" s="47"/>
    </row>
    <row r="25" spans="2:22" x14ac:dyDescent="0.25">
      <c r="B25" s="2" t="s">
        <v>117</v>
      </c>
      <c r="C25" s="10">
        <v>1.6E-2</v>
      </c>
      <c r="D25" s="10">
        <v>-1.6E-2</v>
      </c>
      <c r="E25" s="10">
        <v>-1E-3</v>
      </c>
      <c r="F25" s="10">
        <v>-1E-3</v>
      </c>
      <c r="G25" s="47"/>
      <c r="H25" s="10">
        <v>1.2999999999999999E-2</v>
      </c>
      <c r="I25" s="10">
        <v>-1.4E-2</v>
      </c>
      <c r="J25" s="10">
        <v>-1.7000000000000001E-2</v>
      </c>
      <c r="K25" s="10">
        <v>-3.0000000000000001E-3</v>
      </c>
      <c r="L25" s="47"/>
      <c r="M25" s="10">
        <v>-1.7000000000000001E-2</v>
      </c>
      <c r="N25" s="10">
        <v>1.7999999999999999E-2</v>
      </c>
      <c r="O25" s="10">
        <v>6.0000000000000001E-3</v>
      </c>
      <c r="P25" s="10">
        <v>-2.4E-2</v>
      </c>
      <c r="Q25" s="47"/>
      <c r="R25" s="10">
        <v>-1.2999999999999999E-2</v>
      </c>
      <c r="S25" s="10"/>
      <c r="T25" s="10"/>
      <c r="U25" s="10"/>
      <c r="V25" s="47"/>
    </row>
    <row r="26" spans="2:22" ht="20" thickBot="1" x14ac:dyDescent="0.3">
      <c r="B26" s="44" t="s">
        <v>118</v>
      </c>
      <c r="C26" s="48">
        <v>9.8000000000000004E-2</v>
      </c>
      <c r="D26" s="48">
        <v>9.4E-2</v>
      </c>
      <c r="E26" s="48">
        <v>0.06</v>
      </c>
      <c r="F26" s="48">
        <v>9.9000000000000005E-2</v>
      </c>
      <c r="G26" s="49"/>
      <c r="H26" s="48">
        <v>0.13200000000000001</v>
      </c>
      <c r="I26" s="48">
        <v>9.8000000000000004E-2</v>
      </c>
      <c r="J26" s="48">
        <v>6.0999999999999999E-2</v>
      </c>
      <c r="K26" s="48">
        <v>-5.0000000000000001E-3</v>
      </c>
      <c r="L26" s="49"/>
      <c r="M26" s="48">
        <v>4.0000000000000001E-3</v>
      </c>
      <c r="N26" s="48">
        <v>1.7999999999999999E-2</v>
      </c>
      <c r="O26" s="48">
        <v>1.6E-2</v>
      </c>
      <c r="P26" s="48">
        <v>2.5999999999999999E-2</v>
      </c>
      <c r="Q26" s="49"/>
      <c r="R26" s="48">
        <v>-3.1E-2</v>
      </c>
      <c r="S26" s="48"/>
      <c r="T26" s="48"/>
      <c r="U26" s="48"/>
      <c r="V26" s="49"/>
    </row>
    <row r="27" spans="2:22" x14ac:dyDescent="0.25">
      <c r="B27" s="1" t="s">
        <v>120</v>
      </c>
      <c r="G27" s="41"/>
      <c r="L27" s="41"/>
      <c r="Q27" s="41"/>
      <c r="V27" s="41"/>
    </row>
    <row r="28" spans="2:22" x14ac:dyDescent="0.25">
      <c r="B28" s="38" t="s">
        <v>40</v>
      </c>
      <c r="C28" s="1">
        <v>1060</v>
      </c>
      <c r="D28" s="1">
        <v>1157</v>
      </c>
      <c r="E28" s="1">
        <v>1107</v>
      </c>
      <c r="F28" s="1">
        <v>1294</v>
      </c>
      <c r="G28" s="41">
        <f>SUM(C28:F28)</f>
        <v>4618</v>
      </c>
      <c r="H28" s="1">
        <v>1402</v>
      </c>
      <c r="I28" s="1">
        <v>1457</v>
      </c>
      <c r="J28" s="1">
        <v>1282</v>
      </c>
      <c r="K28" s="1">
        <v>1432</v>
      </c>
      <c r="L28" s="41">
        <f>SUM(H28:K28)</f>
        <v>5573</v>
      </c>
      <c r="M28" s="1">
        <v>1361</v>
      </c>
      <c r="N28" s="1">
        <v>1397</v>
      </c>
      <c r="O28" s="1">
        <v>1138</v>
      </c>
      <c r="P28" s="1">
        <v>1293</v>
      </c>
      <c r="Q28" s="41">
        <f>SUM(M28:P28)</f>
        <v>5189</v>
      </c>
      <c r="R28" s="1">
        <v>1260</v>
      </c>
      <c r="V28" s="41">
        <f>SUM(R28:U28)</f>
        <v>1260</v>
      </c>
    </row>
    <row r="29" spans="2:22" x14ac:dyDescent="0.25">
      <c r="B29" s="37" t="s">
        <v>47</v>
      </c>
      <c r="C29" s="2">
        <v>123</v>
      </c>
      <c r="D29" s="2">
        <v>113</v>
      </c>
      <c r="E29" s="2">
        <v>101</v>
      </c>
      <c r="F29" s="2">
        <v>148</v>
      </c>
      <c r="G29" s="41">
        <f>SUM(C29:F29)</f>
        <v>485</v>
      </c>
      <c r="H29" s="2">
        <v>199</v>
      </c>
      <c r="I29" s="2">
        <v>168</v>
      </c>
      <c r="J29" s="2">
        <v>122</v>
      </c>
      <c r="K29" s="2">
        <v>170</v>
      </c>
      <c r="L29" s="41">
        <f>SUM(H29:K29)</f>
        <v>659</v>
      </c>
      <c r="M29" s="2">
        <v>142</v>
      </c>
      <c r="N29" s="2">
        <v>129</v>
      </c>
      <c r="O29" s="2">
        <v>81</v>
      </c>
      <c r="P29" s="2">
        <v>125</v>
      </c>
      <c r="Q29" s="41">
        <f>SUM(M29:P29)</f>
        <v>477</v>
      </c>
      <c r="R29" s="2">
        <v>98</v>
      </c>
      <c r="V29" s="41">
        <f>SUM(R29:U29)</f>
        <v>98</v>
      </c>
    </row>
    <row r="30" spans="2:22" x14ac:dyDescent="0.25">
      <c r="B30" s="37" t="s">
        <v>96</v>
      </c>
      <c r="C30" s="10">
        <v>0.11600000000000001</v>
      </c>
      <c r="D30" s="10">
        <v>9.8000000000000004E-2</v>
      </c>
      <c r="E30" s="10">
        <v>9.1999999999999998E-2</v>
      </c>
      <c r="F30" s="10">
        <v>0.115</v>
      </c>
      <c r="G30" s="47">
        <f>G29/G28</f>
        <v>0.10502381983542659</v>
      </c>
      <c r="H30" s="10">
        <v>0.14199999999999999</v>
      </c>
      <c r="I30" s="10">
        <v>0.115</v>
      </c>
      <c r="J30" s="10">
        <v>9.5000000000000001E-2</v>
      </c>
      <c r="K30" s="10">
        <v>0.11899999999999999</v>
      </c>
      <c r="L30" s="47">
        <f>L29/L28</f>
        <v>0.1182486990848735</v>
      </c>
      <c r="M30" s="10">
        <v>0.104</v>
      </c>
      <c r="N30" s="10">
        <v>9.2999999999999999E-2</v>
      </c>
      <c r="O30" s="10">
        <v>7.1999999999999995E-2</v>
      </c>
      <c r="P30" s="10">
        <v>9.7000000000000003E-2</v>
      </c>
      <c r="Q30" s="47">
        <f>Q29/Q28</f>
        <v>9.1925226440547306E-2</v>
      </c>
      <c r="R30" s="10">
        <v>7.8E-2</v>
      </c>
      <c r="S30" s="10"/>
      <c r="T30" s="10"/>
      <c r="U30" s="10"/>
      <c r="V30" s="47">
        <f>V29/V28</f>
        <v>7.7777777777777779E-2</v>
      </c>
    </row>
    <row r="31" spans="2:22" x14ac:dyDescent="0.25">
      <c r="B31" s="37" t="s">
        <v>112</v>
      </c>
      <c r="C31" s="2">
        <v>3332</v>
      </c>
      <c r="D31" s="2">
        <v>0</v>
      </c>
      <c r="E31" s="2">
        <v>0</v>
      </c>
      <c r="F31" s="2">
        <v>0</v>
      </c>
      <c r="G31" s="41"/>
      <c r="H31" s="2">
        <v>3770</v>
      </c>
      <c r="I31" s="2">
        <v>0</v>
      </c>
      <c r="J31" s="2">
        <v>0</v>
      </c>
      <c r="K31" s="2">
        <v>0</v>
      </c>
      <c r="L31" s="41"/>
      <c r="M31" s="2">
        <v>3098</v>
      </c>
      <c r="N31" s="2">
        <v>0</v>
      </c>
      <c r="O31" s="2">
        <v>0</v>
      </c>
      <c r="P31" s="2">
        <v>0</v>
      </c>
      <c r="Q31" s="41"/>
      <c r="R31" s="2">
        <v>3125</v>
      </c>
      <c r="V31" s="41"/>
    </row>
    <row r="32" spans="2:22" x14ac:dyDescent="0.25">
      <c r="B32" s="31" t="s">
        <v>113</v>
      </c>
      <c r="C32" s="31">
        <v>3870</v>
      </c>
      <c r="D32" s="31">
        <v>4072</v>
      </c>
      <c r="E32" s="31">
        <v>4202</v>
      </c>
      <c r="F32" s="31">
        <v>4314</v>
      </c>
      <c r="G32" s="46"/>
      <c r="H32" s="31">
        <v>4394</v>
      </c>
      <c r="I32" s="31">
        <v>4383</v>
      </c>
      <c r="J32" s="31">
        <v>4334</v>
      </c>
      <c r="K32" s="31">
        <v>4230</v>
      </c>
      <c r="L32" s="46"/>
      <c r="M32" s="31">
        <v>4137</v>
      </c>
      <c r="N32" s="31">
        <v>4024</v>
      </c>
      <c r="O32" s="31">
        <v>3908</v>
      </c>
      <c r="P32" s="31">
        <v>3820</v>
      </c>
      <c r="Q32" s="46"/>
      <c r="R32" s="31">
        <v>3787</v>
      </c>
      <c r="S32" s="31"/>
      <c r="T32" s="31"/>
      <c r="U32" s="31"/>
      <c r="V32" s="46"/>
    </row>
    <row r="33" spans="2:22" x14ac:dyDescent="0.25">
      <c r="B33" s="38" t="s">
        <v>114</v>
      </c>
      <c r="C33" s="50">
        <v>0.16600000000000001</v>
      </c>
      <c r="D33" s="50">
        <v>0.17299999999999999</v>
      </c>
      <c r="E33" s="50">
        <v>0.30099999999999999</v>
      </c>
      <c r="F33" s="50">
        <v>0.20899999999999999</v>
      </c>
      <c r="G33" s="47"/>
      <c r="H33" s="50">
        <v>0.32200000000000001</v>
      </c>
      <c r="I33" s="50">
        <v>0.25900000000000001</v>
      </c>
      <c r="J33" s="50">
        <v>0.158</v>
      </c>
      <c r="K33" s="50">
        <v>0.107</v>
      </c>
      <c r="L33" s="47">
        <f>(L28-G28)/G28</f>
        <v>0.20679948029449979</v>
      </c>
      <c r="M33" s="50">
        <v>-2.8000000000000001E-2</v>
      </c>
      <c r="N33" s="50">
        <v>-4.1000000000000002E-2</v>
      </c>
      <c r="O33" s="50">
        <v>-0.113</v>
      </c>
      <c r="P33" s="50">
        <v>-9.7000000000000003E-2</v>
      </c>
      <c r="Q33" s="47">
        <f>(Q28-L28)/L28</f>
        <v>-6.8903642562354206E-2</v>
      </c>
      <c r="R33" s="50">
        <v>-7.3999999999999996E-2</v>
      </c>
      <c r="S33" s="10"/>
      <c r="T33" s="10"/>
      <c r="U33" s="10"/>
      <c r="V33" s="47">
        <f>(V28-Q28)/Q28</f>
        <v>-0.75717864713817695</v>
      </c>
    </row>
    <row r="34" spans="2:22" x14ac:dyDescent="0.25">
      <c r="B34" s="37" t="s">
        <v>115</v>
      </c>
      <c r="C34" s="10">
        <v>2.8000000000000001E-2</v>
      </c>
      <c r="D34" s="10">
        <v>1.6E-2</v>
      </c>
      <c r="E34" s="10">
        <v>0</v>
      </c>
      <c r="F34" s="10">
        <v>0</v>
      </c>
      <c r="G34" s="47"/>
      <c r="H34" s="10">
        <v>4.0000000000000001E-3</v>
      </c>
      <c r="I34" s="10">
        <v>5.0000000000000001E-3</v>
      </c>
      <c r="J34" s="10">
        <v>3.2000000000000001E-2</v>
      </c>
      <c r="K34" s="10">
        <v>3.1E-2</v>
      </c>
      <c r="L34" s="47"/>
      <c r="M34" s="10">
        <v>0.03</v>
      </c>
      <c r="N34" s="10">
        <v>2E-3</v>
      </c>
      <c r="O34" s="10">
        <v>0</v>
      </c>
      <c r="P34" s="10">
        <v>0</v>
      </c>
      <c r="Q34" s="47"/>
      <c r="R34" s="10">
        <v>0</v>
      </c>
      <c r="S34" s="10"/>
      <c r="T34" s="10"/>
      <c r="U34" s="10"/>
      <c r="V34" s="47"/>
    </row>
    <row r="35" spans="2:22" x14ac:dyDescent="0.25">
      <c r="B35" s="37" t="s">
        <v>116</v>
      </c>
      <c r="C35" s="10">
        <v>4.8000000000000001E-2</v>
      </c>
      <c r="D35" s="10">
        <v>7.5999999999999998E-2</v>
      </c>
      <c r="E35" s="10">
        <v>0.109</v>
      </c>
      <c r="F35" s="10">
        <v>0.11</v>
      </c>
      <c r="G35" s="47"/>
      <c r="H35" s="10">
        <v>7.2999999999999995E-2</v>
      </c>
      <c r="I35" s="10">
        <v>5.7000000000000002E-2</v>
      </c>
      <c r="J35" s="10">
        <v>6.3E-2</v>
      </c>
      <c r="K35" s="10">
        <v>2.1000000000000001E-2</v>
      </c>
      <c r="L35" s="47"/>
      <c r="M35" s="10">
        <v>3.0000000000000001E-3</v>
      </c>
      <c r="N35" s="10">
        <v>-1E-3</v>
      </c>
      <c r="O35" s="10">
        <v>-3.7999999999999999E-2</v>
      </c>
      <c r="P35" s="10">
        <v>-1.4E-2</v>
      </c>
      <c r="Q35" s="47"/>
      <c r="R35" s="10">
        <v>-1.6E-2</v>
      </c>
      <c r="S35" s="10"/>
      <c r="T35" s="10"/>
      <c r="U35" s="10"/>
      <c r="V35" s="47"/>
    </row>
    <row r="36" spans="2:22" x14ac:dyDescent="0.25">
      <c r="B36" s="37" t="s">
        <v>117</v>
      </c>
      <c r="C36" s="10">
        <v>4.0000000000000001E-3</v>
      </c>
      <c r="D36" s="10">
        <v>-1.7000000000000001E-2</v>
      </c>
      <c r="E36" s="10">
        <v>0.191</v>
      </c>
      <c r="F36" s="10">
        <v>-8.0000000000000002E-3</v>
      </c>
      <c r="G36" s="47"/>
      <c r="H36" s="10">
        <v>2.1999999999999999E-2</v>
      </c>
      <c r="I36" s="10">
        <v>-8.0000000000000002E-3</v>
      </c>
      <c r="J36" s="10">
        <v>-2.1000000000000001E-2</v>
      </c>
      <c r="K36" s="10">
        <v>-0.02</v>
      </c>
      <c r="L36" s="47"/>
      <c r="M36" s="10">
        <v>-2.1999999999999999E-2</v>
      </c>
      <c r="N36" s="10">
        <v>1.7000000000000001E-2</v>
      </c>
      <c r="O36" s="10">
        <v>0.01</v>
      </c>
      <c r="P36" s="10">
        <v>1.2999999999999999E-2</v>
      </c>
      <c r="Q36" s="47"/>
      <c r="R36" s="10">
        <v>-6.0000000000000001E-3</v>
      </c>
      <c r="S36" s="10"/>
      <c r="T36" s="10"/>
      <c r="U36" s="10"/>
      <c r="V36" s="47"/>
    </row>
    <row r="37" spans="2:22" ht="20" thickBot="1" x14ac:dyDescent="0.3">
      <c r="B37" s="45" t="s">
        <v>118</v>
      </c>
      <c r="C37" s="48">
        <v>8.5999999999999993E-2</v>
      </c>
      <c r="D37" s="48">
        <v>9.8000000000000004E-2</v>
      </c>
      <c r="E37" s="48">
        <v>0.191</v>
      </c>
      <c r="F37" s="48">
        <v>0.106</v>
      </c>
      <c r="G37" s="49"/>
      <c r="H37" s="48">
        <v>0.224</v>
      </c>
      <c r="I37" s="48">
        <v>0.20499999999999999</v>
      </c>
      <c r="J37" s="48">
        <v>8.4000000000000005E-2</v>
      </c>
      <c r="K37" s="48">
        <v>7.5999999999999998E-2</v>
      </c>
      <c r="L37" s="49"/>
      <c r="M37" s="48">
        <v>-3.9E-2</v>
      </c>
      <c r="N37" s="48">
        <v>-5.8999999999999997E-2</v>
      </c>
      <c r="O37" s="48">
        <v>-8.5000000000000006E-2</v>
      </c>
      <c r="P37" s="48">
        <v>-9.6000000000000002E-2</v>
      </c>
      <c r="Q37" s="49"/>
      <c r="R37" s="48">
        <v>-5.0999999999999997E-2</v>
      </c>
      <c r="S37" s="48"/>
      <c r="T37" s="48"/>
      <c r="U37" s="48"/>
      <c r="V37" s="49"/>
    </row>
    <row r="38" spans="2:22" x14ac:dyDescent="0.25">
      <c r="B38" s="1" t="s">
        <v>121</v>
      </c>
      <c r="G38" s="41"/>
      <c r="L38" s="41"/>
      <c r="Q38" s="41"/>
      <c r="V38" s="41"/>
    </row>
    <row r="39" spans="2:22" x14ac:dyDescent="0.25">
      <c r="B39" s="38" t="s">
        <v>40</v>
      </c>
      <c r="C39" s="1">
        <v>695</v>
      </c>
      <c r="D39" s="1">
        <v>771</v>
      </c>
      <c r="E39" s="1">
        <v>726</v>
      </c>
      <c r="F39" s="1">
        <v>840</v>
      </c>
      <c r="G39" s="41">
        <f>SUM(C39:F39)</f>
        <v>3032</v>
      </c>
      <c r="H39" s="1">
        <v>867</v>
      </c>
      <c r="I39" s="1">
        <v>884</v>
      </c>
      <c r="J39" s="1">
        <v>869</v>
      </c>
      <c r="K39" s="1">
        <v>961</v>
      </c>
      <c r="L39" s="41">
        <f>SUM(H39:K39)</f>
        <v>3581</v>
      </c>
      <c r="M39" s="1">
        <v>877</v>
      </c>
      <c r="N39" s="1">
        <v>986</v>
      </c>
      <c r="O39" s="1">
        <v>949</v>
      </c>
      <c r="P39" s="1">
        <v>1052</v>
      </c>
      <c r="Q39" s="41">
        <f>SUM(M39:P39)</f>
        <v>3864</v>
      </c>
      <c r="R39" s="1">
        <v>966</v>
      </c>
      <c r="V39" s="41">
        <f>SUM(R39:U39)</f>
        <v>966</v>
      </c>
    </row>
    <row r="40" spans="2:22" x14ac:dyDescent="0.25">
      <c r="B40" s="37" t="s">
        <v>47</v>
      </c>
      <c r="C40" s="2">
        <v>72</v>
      </c>
      <c r="D40" s="2">
        <v>71</v>
      </c>
      <c r="E40" s="2">
        <v>58</v>
      </c>
      <c r="F40" s="2">
        <v>94</v>
      </c>
      <c r="G40" s="41">
        <f>SUM(C40:F40)</f>
        <v>295</v>
      </c>
      <c r="H40" s="2">
        <v>91</v>
      </c>
      <c r="I40" s="2">
        <v>80</v>
      </c>
      <c r="J40" s="2">
        <v>79</v>
      </c>
      <c r="K40" s="2">
        <v>110</v>
      </c>
      <c r="L40" s="41">
        <f>SUM(H40:K40)</f>
        <v>360</v>
      </c>
      <c r="M40" s="2">
        <v>84</v>
      </c>
      <c r="N40" s="2">
        <v>97</v>
      </c>
      <c r="O40" s="2">
        <v>98</v>
      </c>
      <c r="P40" s="2">
        <v>125</v>
      </c>
      <c r="Q40" s="41">
        <f>SUM(M40:P40)</f>
        <v>404</v>
      </c>
      <c r="R40" s="2">
        <v>95</v>
      </c>
      <c r="V40" s="41">
        <f>SUM(R40:U40)</f>
        <v>95</v>
      </c>
    </row>
    <row r="41" spans="2:22" x14ac:dyDescent="0.25">
      <c r="B41" s="37" t="s">
        <v>96</v>
      </c>
      <c r="C41" s="10">
        <v>0.10299999999999999</v>
      </c>
      <c r="D41" s="10">
        <v>9.1999999999999998E-2</v>
      </c>
      <c r="E41" s="10">
        <v>0.08</v>
      </c>
      <c r="F41" s="10">
        <v>0.112</v>
      </c>
      <c r="G41" s="47">
        <f>G40/G39</f>
        <v>9.7295514511873349E-2</v>
      </c>
      <c r="H41" s="10">
        <v>0.105</v>
      </c>
      <c r="I41" s="10">
        <v>0.09</v>
      </c>
      <c r="J41" s="10">
        <v>9.0999999999999998E-2</v>
      </c>
      <c r="K41" s="10">
        <v>0.114</v>
      </c>
      <c r="L41" s="47">
        <f>L40/L39</f>
        <v>0.1005305780508238</v>
      </c>
      <c r="M41" s="10">
        <v>9.6000000000000002E-2</v>
      </c>
      <c r="N41" s="10">
        <v>9.8000000000000004E-2</v>
      </c>
      <c r="O41" s="10">
        <v>0.10299999999999999</v>
      </c>
      <c r="P41" s="10">
        <v>0.11899999999999999</v>
      </c>
      <c r="Q41" s="47">
        <f>Q40/Q39</f>
        <v>0.10455486542443064</v>
      </c>
      <c r="R41" s="10">
        <v>9.9000000000000005E-2</v>
      </c>
      <c r="S41" s="10"/>
      <c r="T41" s="10"/>
      <c r="U41" s="10"/>
      <c r="V41" s="47">
        <f>V40/V39</f>
        <v>9.834368530020704E-2</v>
      </c>
    </row>
    <row r="42" spans="2:22" x14ac:dyDescent="0.25">
      <c r="B42" s="37" t="s">
        <v>112</v>
      </c>
      <c r="C42" s="2">
        <v>3874</v>
      </c>
      <c r="D42" s="2">
        <v>0</v>
      </c>
      <c r="E42" s="2">
        <v>0</v>
      </c>
      <c r="F42" s="2">
        <v>0</v>
      </c>
      <c r="G42" s="41"/>
      <c r="H42" s="2">
        <v>4882</v>
      </c>
      <c r="I42" s="2">
        <v>0</v>
      </c>
      <c r="J42" s="2">
        <v>0</v>
      </c>
      <c r="K42" s="2">
        <v>0</v>
      </c>
      <c r="L42" s="41"/>
      <c r="M42" s="2">
        <v>5255</v>
      </c>
      <c r="N42" s="2">
        <v>0</v>
      </c>
      <c r="O42" s="2">
        <v>0</v>
      </c>
      <c r="P42" s="2">
        <v>0</v>
      </c>
      <c r="Q42" s="41"/>
      <c r="R42" s="2">
        <v>5124</v>
      </c>
      <c r="V42" s="41"/>
    </row>
    <row r="43" spans="2:22" x14ac:dyDescent="0.25">
      <c r="B43" s="31" t="s">
        <v>113</v>
      </c>
      <c r="C43" s="31">
        <v>1676</v>
      </c>
      <c r="D43" s="31">
        <v>1738</v>
      </c>
      <c r="E43" s="31">
        <v>1783</v>
      </c>
      <c r="F43" s="31">
        <v>1819</v>
      </c>
      <c r="G43" s="46"/>
      <c r="H43" s="31">
        <v>1851</v>
      </c>
      <c r="I43" s="31">
        <v>1907</v>
      </c>
      <c r="J43" s="31">
        <v>1907</v>
      </c>
      <c r="K43" s="31">
        <v>1938</v>
      </c>
      <c r="L43" s="46"/>
      <c r="M43" s="31">
        <v>1945</v>
      </c>
      <c r="N43" s="31">
        <v>1973</v>
      </c>
      <c r="O43" s="31">
        <v>1959</v>
      </c>
      <c r="P43" s="31">
        <v>2009</v>
      </c>
      <c r="Q43" s="46"/>
      <c r="R43" s="31">
        <v>2015</v>
      </c>
      <c r="S43" s="31"/>
      <c r="T43" s="31"/>
      <c r="U43" s="31"/>
      <c r="V43" s="46"/>
    </row>
    <row r="44" spans="2:22" x14ac:dyDescent="0.25">
      <c r="B44" s="38" t="s">
        <v>114</v>
      </c>
      <c r="C44" s="50">
        <v>-1.7000000000000001E-2</v>
      </c>
      <c r="D44" s="50">
        <v>0.14399999999999999</v>
      </c>
      <c r="E44" s="50">
        <v>0.25</v>
      </c>
      <c r="F44" s="50">
        <v>0.16500000000000001</v>
      </c>
      <c r="G44" s="47"/>
      <c r="H44" s="50">
        <v>0.247</v>
      </c>
      <c r="I44" s="50">
        <v>0.14599999999999999</v>
      </c>
      <c r="J44" s="50">
        <v>0.19700000000000001</v>
      </c>
      <c r="K44" s="50">
        <v>0.14399999999999999</v>
      </c>
      <c r="L44" s="47">
        <f>(L39-G39)/G39</f>
        <v>0.18106860158311347</v>
      </c>
      <c r="M44" s="50">
        <v>1.0999999999999999E-2</v>
      </c>
      <c r="N44" s="50">
        <v>0.11600000000000001</v>
      </c>
      <c r="O44" s="50">
        <v>9.1999999999999998E-2</v>
      </c>
      <c r="P44" s="50">
        <v>9.4E-2</v>
      </c>
      <c r="Q44" s="47">
        <f>(Q39-L39)/L39</f>
        <v>7.9028204412175368E-2</v>
      </c>
      <c r="R44" s="50">
        <v>0.10100000000000001</v>
      </c>
      <c r="S44" s="10"/>
      <c r="T44" s="10"/>
      <c r="U44" s="10"/>
      <c r="V44" s="47">
        <f>(V39-Q39)/Q39</f>
        <v>-0.75</v>
      </c>
    </row>
    <row r="45" spans="2:22" x14ac:dyDescent="0.25">
      <c r="B45" s="37" t="s">
        <v>115</v>
      </c>
      <c r="C45" s="10">
        <v>1.2999999999999999E-2</v>
      </c>
      <c r="D45" s="10">
        <v>1.4999999999999999E-2</v>
      </c>
      <c r="E45" s="10">
        <v>3.7999999999999999E-2</v>
      </c>
      <c r="F45" s="10">
        <v>2.1000000000000001E-2</v>
      </c>
      <c r="G45" s="47"/>
      <c r="H45" s="10">
        <v>2.9000000000000001E-2</v>
      </c>
      <c r="I45" s="10">
        <v>4.2999999999999997E-2</v>
      </c>
      <c r="J45" s="10">
        <v>0.03</v>
      </c>
      <c r="K45" s="10">
        <v>2.4E-2</v>
      </c>
      <c r="L45" s="47"/>
      <c r="M45" s="10">
        <v>1.6E-2</v>
      </c>
      <c r="N45" s="10">
        <v>2.5000000000000001E-2</v>
      </c>
      <c r="O45" s="10">
        <v>3.7999999999999999E-2</v>
      </c>
      <c r="P45" s="10">
        <v>3.3000000000000002E-2</v>
      </c>
      <c r="Q45" s="47"/>
      <c r="R45" s="10">
        <v>0</v>
      </c>
      <c r="S45" s="10"/>
      <c r="T45" s="10"/>
      <c r="U45" s="10"/>
      <c r="V45" s="47"/>
    </row>
    <row r="46" spans="2:22" x14ac:dyDescent="0.25">
      <c r="B46" s="37" t="s">
        <v>116</v>
      </c>
      <c r="C46" s="10">
        <v>0.04</v>
      </c>
      <c r="D46" s="10">
        <v>5.3999999999999999E-2</v>
      </c>
      <c r="E46" s="10">
        <v>8.1000000000000003E-2</v>
      </c>
      <c r="F46" s="10">
        <v>0.09</v>
      </c>
      <c r="G46" s="47"/>
      <c r="H46" s="10">
        <v>6.6000000000000003E-2</v>
      </c>
      <c r="I46" s="10">
        <v>7.6999999999999999E-2</v>
      </c>
      <c r="J46" s="10">
        <v>8.8999999999999996E-2</v>
      </c>
      <c r="K46" s="10">
        <v>3.9E-2</v>
      </c>
      <c r="L46" s="47"/>
      <c r="M46" s="10">
        <v>7.0000000000000001E-3</v>
      </c>
      <c r="N46" s="10">
        <v>-2E-3</v>
      </c>
      <c r="O46" s="10">
        <v>-2.5999999999999999E-2</v>
      </c>
      <c r="P46" s="10">
        <v>4.0000000000000001E-3</v>
      </c>
      <c r="Q46" s="47"/>
      <c r="R46" s="10">
        <v>1E-3</v>
      </c>
      <c r="S46" s="10"/>
      <c r="T46" s="10"/>
      <c r="U46" s="10"/>
      <c r="V46" s="47"/>
    </row>
    <row r="47" spans="2:22" x14ac:dyDescent="0.25">
      <c r="B47" s="37" t="s">
        <v>117</v>
      </c>
      <c r="C47" s="10">
        <v>8.0000000000000002E-3</v>
      </c>
      <c r="D47" s="10">
        <v>7.0000000000000001E-3</v>
      </c>
      <c r="E47" s="10">
        <v>-3.0000000000000001E-3</v>
      </c>
      <c r="F47" s="10">
        <v>-3.5999999999999997E-2</v>
      </c>
      <c r="G47" s="47"/>
      <c r="H47" s="10">
        <v>4.0000000000000001E-3</v>
      </c>
      <c r="I47" s="10">
        <v>-0.02</v>
      </c>
      <c r="J47" s="10">
        <v>-1.7000000000000001E-2</v>
      </c>
      <c r="K47" s="10">
        <v>-1.2999999999999999E-2</v>
      </c>
      <c r="L47" s="47"/>
      <c r="M47" s="10">
        <v>-2.4E-2</v>
      </c>
      <c r="N47" s="10">
        <v>5.0000000000000001E-3</v>
      </c>
      <c r="O47" s="10">
        <v>4.0000000000000001E-3</v>
      </c>
      <c r="P47" s="10">
        <v>-0.01</v>
      </c>
      <c r="Q47" s="47"/>
      <c r="R47" s="10">
        <v>-1.7000000000000001E-2</v>
      </c>
      <c r="S47" s="10"/>
      <c r="T47" s="10"/>
      <c r="U47" s="10"/>
      <c r="V47" s="47"/>
    </row>
    <row r="48" spans="2:22" ht="20" thickBot="1" x14ac:dyDescent="0.3">
      <c r="B48" s="45" t="s">
        <v>118</v>
      </c>
      <c r="C48" s="48">
        <v>-7.8E-2</v>
      </c>
      <c r="D48" s="48">
        <v>6.7000000000000004E-2</v>
      </c>
      <c r="E48" s="48">
        <v>0.13400000000000001</v>
      </c>
      <c r="F48" s="48">
        <v>8.8999999999999996E-2</v>
      </c>
      <c r="G48" s="49"/>
      <c r="H48" s="48">
        <v>0.14699999999999999</v>
      </c>
      <c r="I48" s="48">
        <v>4.7E-2</v>
      </c>
      <c r="J48" s="48">
        <v>9.5000000000000001E-2</v>
      </c>
      <c r="K48" s="48">
        <v>9.4E-2</v>
      </c>
      <c r="L48" s="49"/>
      <c r="M48" s="48">
        <v>1.2999999999999999E-2</v>
      </c>
      <c r="N48" s="48">
        <v>8.7999999999999995E-2</v>
      </c>
      <c r="O48" s="48">
        <v>7.5999999999999998E-2</v>
      </c>
      <c r="P48" s="48">
        <v>6.7000000000000004E-2</v>
      </c>
      <c r="Q48" s="49"/>
      <c r="R48" s="48">
        <v>0.11700000000000001</v>
      </c>
      <c r="S48" s="48"/>
      <c r="T48" s="48"/>
      <c r="U48" s="48"/>
      <c r="V48" s="49"/>
    </row>
    <row r="49" spans="2:22" x14ac:dyDescent="0.25">
      <c r="B49" s="1" t="s">
        <v>122</v>
      </c>
      <c r="G49" s="41"/>
      <c r="L49" s="41"/>
      <c r="Q49" s="41"/>
      <c r="V49" s="41"/>
    </row>
    <row r="50" spans="2:22" x14ac:dyDescent="0.25">
      <c r="B50" s="38" t="s">
        <v>40</v>
      </c>
      <c r="C50" s="1">
        <v>256</v>
      </c>
      <c r="D50" s="1">
        <v>298</v>
      </c>
      <c r="E50" s="1">
        <v>286</v>
      </c>
      <c r="F50" s="1">
        <v>327</v>
      </c>
      <c r="G50" s="41">
        <f>SUM(C50:F50)</f>
        <v>1167</v>
      </c>
      <c r="H50" s="1">
        <v>331</v>
      </c>
      <c r="I50" s="1">
        <v>398</v>
      </c>
      <c r="J50" s="1">
        <v>385</v>
      </c>
      <c r="K50" s="1">
        <v>453</v>
      </c>
      <c r="L50" s="41">
        <f>SUM(H50:K50)</f>
        <v>1567</v>
      </c>
      <c r="M50" s="1">
        <v>397</v>
      </c>
      <c r="N50" s="1">
        <v>459</v>
      </c>
      <c r="O50" s="1">
        <v>385</v>
      </c>
      <c r="P50" s="1">
        <v>421</v>
      </c>
      <c r="Q50" s="41">
        <f>SUM(M50:P50)</f>
        <v>1662</v>
      </c>
      <c r="R50" s="1">
        <v>388</v>
      </c>
      <c r="V50" s="41">
        <f>SUM(R50:U50)</f>
        <v>388</v>
      </c>
    </row>
    <row r="51" spans="2:22" x14ac:dyDescent="0.25">
      <c r="B51" s="37" t="s">
        <v>47</v>
      </c>
      <c r="C51" s="2">
        <v>34</v>
      </c>
      <c r="D51" s="2">
        <v>50</v>
      </c>
      <c r="E51" s="2">
        <v>42</v>
      </c>
      <c r="F51" s="2">
        <v>7</v>
      </c>
      <c r="G51" s="41">
        <f>SUM(C51:F51)</f>
        <v>133</v>
      </c>
      <c r="H51" s="2">
        <v>45</v>
      </c>
      <c r="I51" s="2">
        <v>49</v>
      </c>
      <c r="J51" s="2">
        <v>42</v>
      </c>
      <c r="K51" s="2">
        <v>46</v>
      </c>
      <c r="L51" s="41">
        <f>SUM(H51:K51)</f>
        <v>182</v>
      </c>
      <c r="M51" s="2">
        <v>45</v>
      </c>
      <c r="N51" s="2">
        <v>72</v>
      </c>
      <c r="O51" s="2">
        <v>36</v>
      </c>
      <c r="P51" s="2">
        <v>42</v>
      </c>
      <c r="Q51" s="41">
        <f>SUM(M51:P51)</f>
        <v>195</v>
      </c>
      <c r="R51" s="2">
        <v>38</v>
      </c>
      <c r="V51" s="41">
        <f>SUM(R51:U51)</f>
        <v>38</v>
      </c>
    </row>
    <row r="52" spans="2:22" x14ac:dyDescent="0.25">
      <c r="B52" s="37" t="s">
        <v>96</v>
      </c>
      <c r="C52" s="10">
        <v>0.13400000000000001</v>
      </c>
      <c r="D52" s="10">
        <v>0.16800000000000001</v>
      </c>
      <c r="E52" s="10">
        <v>0.14699999999999999</v>
      </c>
      <c r="F52" s="10">
        <v>2.3E-2</v>
      </c>
      <c r="G52" s="47">
        <f>G51/G50</f>
        <v>0.11396743787489289</v>
      </c>
      <c r="H52" s="10">
        <v>0.13600000000000001</v>
      </c>
      <c r="I52" s="10">
        <v>0.123</v>
      </c>
      <c r="J52" s="10">
        <v>0.108</v>
      </c>
      <c r="K52" s="10">
        <v>0.10199999999999999</v>
      </c>
      <c r="L52" s="47">
        <f>L51/L50</f>
        <v>0.11614550095724314</v>
      </c>
      <c r="M52" s="10">
        <v>0.114</v>
      </c>
      <c r="N52" s="10">
        <v>0.157</v>
      </c>
      <c r="O52" s="10">
        <v>9.2999999999999999E-2</v>
      </c>
      <c r="P52" s="10">
        <v>0.10100000000000001</v>
      </c>
      <c r="Q52" s="47">
        <f>Q51/Q50</f>
        <v>0.11732851985559567</v>
      </c>
      <c r="R52" s="10">
        <v>9.9000000000000005E-2</v>
      </c>
      <c r="S52" s="10"/>
      <c r="T52" s="10"/>
      <c r="U52" s="10"/>
      <c r="V52" s="47">
        <f>V51/V50</f>
        <v>9.7938144329896906E-2</v>
      </c>
    </row>
    <row r="53" spans="2:22" x14ac:dyDescent="0.25">
      <c r="B53" s="37" t="s">
        <v>112</v>
      </c>
      <c r="C53" s="2">
        <v>307</v>
      </c>
      <c r="D53" s="2">
        <v>0</v>
      </c>
      <c r="E53" s="2">
        <v>0</v>
      </c>
      <c r="G53" s="41"/>
      <c r="H53" s="2">
        <v>352</v>
      </c>
      <c r="I53" s="2">
        <v>0</v>
      </c>
      <c r="J53" s="2">
        <v>0</v>
      </c>
      <c r="K53" s="2">
        <v>0</v>
      </c>
      <c r="L53" s="41"/>
      <c r="M53" s="2">
        <v>503</v>
      </c>
      <c r="N53" s="2">
        <v>0</v>
      </c>
      <c r="O53" s="2">
        <v>0</v>
      </c>
      <c r="P53" s="2">
        <v>0</v>
      </c>
      <c r="Q53" s="41"/>
      <c r="R53" s="2">
        <v>453</v>
      </c>
      <c r="V53" s="41"/>
    </row>
    <row r="54" spans="2:22" x14ac:dyDescent="0.25">
      <c r="B54" s="31" t="s">
        <v>113</v>
      </c>
      <c r="C54" s="31">
        <v>484</v>
      </c>
      <c r="D54" s="31">
        <v>511</v>
      </c>
      <c r="E54" s="31">
        <v>527</v>
      </c>
      <c r="F54" s="31">
        <v>681</v>
      </c>
      <c r="G54" s="46"/>
      <c r="H54" s="31">
        <v>578</v>
      </c>
      <c r="I54" s="31">
        <v>758</v>
      </c>
      <c r="J54" s="31">
        <v>774</v>
      </c>
      <c r="K54" s="31">
        <v>791</v>
      </c>
      <c r="L54" s="46"/>
      <c r="M54" s="31">
        <v>770</v>
      </c>
      <c r="N54" s="31">
        <v>774</v>
      </c>
      <c r="O54" s="31">
        <v>740</v>
      </c>
      <c r="P54" s="31">
        <v>746</v>
      </c>
      <c r="Q54" s="46"/>
      <c r="R54" s="31">
        <v>752</v>
      </c>
      <c r="S54" s="31"/>
      <c r="T54" s="31"/>
      <c r="U54" s="31"/>
      <c r="V54" s="46"/>
    </row>
    <row r="55" spans="2:22" x14ac:dyDescent="0.25">
      <c r="B55" s="38" t="s">
        <v>114</v>
      </c>
      <c r="C55" s="50">
        <v>0.17799999999999999</v>
      </c>
      <c r="D55" s="50">
        <v>0.29199999999999998</v>
      </c>
      <c r="E55" s="50">
        <v>0.17</v>
      </c>
      <c r="F55" s="50">
        <v>0.11600000000000001</v>
      </c>
      <c r="G55" s="47"/>
      <c r="H55" s="50">
        <v>0.29299999999999998</v>
      </c>
      <c r="I55" s="50">
        <v>0.191</v>
      </c>
      <c r="J55" s="50">
        <v>0.249</v>
      </c>
      <c r="K55" s="50">
        <v>0.23499999999999999</v>
      </c>
      <c r="L55" s="47">
        <f>(L50-G50)/G50</f>
        <v>0.34275921165381318</v>
      </c>
      <c r="M55" s="50">
        <v>6.8000000000000005E-2</v>
      </c>
      <c r="N55" s="50">
        <v>0.152</v>
      </c>
      <c r="O55" s="50">
        <v>0</v>
      </c>
      <c r="P55" s="50">
        <v>-6.9000000000000006E-2</v>
      </c>
      <c r="Q55" s="47">
        <f>(Q50-L50)/L50</f>
        <v>6.0625398851308229E-2</v>
      </c>
      <c r="R55" s="50">
        <v>-2.3E-2</v>
      </c>
      <c r="S55" s="10"/>
      <c r="T55" s="10"/>
      <c r="U55" s="10"/>
      <c r="V55" s="47">
        <f>(V50-Q50)/Q50</f>
        <v>-0.76654632972322501</v>
      </c>
    </row>
    <row r="56" spans="2:22" x14ac:dyDescent="0.25">
      <c r="B56" s="37" t="s">
        <v>115</v>
      </c>
      <c r="C56" s="10">
        <v>0</v>
      </c>
      <c r="D56" s="10">
        <v>0</v>
      </c>
      <c r="E56" s="10">
        <v>0</v>
      </c>
      <c r="F56" s="10">
        <v>0.05</v>
      </c>
      <c r="G56" s="47"/>
      <c r="H56" s="10">
        <v>0</v>
      </c>
      <c r="I56" s="10">
        <v>0</v>
      </c>
      <c r="J56" s="10">
        <v>0</v>
      </c>
      <c r="K56" s="10">
        <v>0</v>
      </c>
      <c r="L56" s="47"/>
      <c r="M56" s="10">
        <v>0</v>
      </c>
      <c r="N56" s="10">
        <v>0</v>
      </c>
      <c r="O56" s="10">
        <v>0</v>
      </c>
      <c r="P56" s="10">
        <v>0</v>
      </c>
      <c r="Q56" s="47"/>
      <c r="R56" s="10">
        <v>0</v>
      </c>
      <c r="S56" s="10"/>
      <c r="T56" s="10"/>
      <c r="U56" s="10"/>
      <c r="V56" s="47"/>
    </row>
    <row r="57" spans="2:22" x14ac:dyDescent="0.25">
      <c r="B57" s="37" t="s">
        <v>116</v>
      </c>
      <c r="C57" s="10">
        <v>7.9000000000000001E-2</v>
      </c>
      <c r="D57" s="10">
        <v>8.2000000000000003E-2</v>
      </c>
      <c r="E57" s="10">
        <v>9.2999999999999999E-2</v>
      </c>
      <c r="F57" s="10">
        <v>1.4E-2</v>
      </c>
      <c r="G57" s="47"/>
      <c r="H57" s="10">
        <v>8.5000000000000006E-2</v>
      </c>
      <c r="I57" s="10">
        <v>0.11</v>
      </c>
      <c r="J57" s="10">
        <v>0.127</v>
      </c>
      <c r="K57" s="10">
        <v>0.05</v>
      </c>
      <c r="L57" s="47"/>
      <c r="M57" s="10">
        <v>0.01</v>
      </c>
      <c r="N57" s="10">
        <v>0.01</v>
      </c>
      <c r="O57" s="10">
        <v>-2.8000000000000001E-2</v>
      </c>
      <c r="P57" s="10">
        <v>0.01</v>
      </c>
      <c r="Q57" s="47"/>
      <c r="R57" s="10">
        <v>4.0000000000000001E-3</v>
      </c>
      <c r="S57" s="10"/>
      <c r="T57" s="10"/>
      <c r="U57" s="10"/>
      <c r="V57" s="47"/>
    </row>
    <row r="58" spans="2:22" x14ac:dyDescent="0.25">
      <c r="B58" s="37" t="s">
        <v>117</v>
      </c>
      <c r="C58" s="10">
        <v>-4.0000000000000001E-3</v>
      </c>
      <c r="D58" s="10">
        <v>1.2999999999999999E-2</v>
      </c>
      <c r="E58" s="10">
        <v>-1.0999999999999999E-2</v>
      </c>
      <c r="F58" s="10">
        <v>2.7E-2</v>
      </c>
      <c r="G58" s="47"/>
      <c r="H58" s="10">
        <v>1.2E-2</v>
      </c>
      <c r="I58" s="10">
        <v>-0.02</v>
      </c>
      <c r="J58" s="10">
        <v>-1.2E-2</v>
      </c>
      <c r="K58" s="10">
        <v>-1.7999999999999999E-2</v>
      </c>
      <c r="L58" s="47"/>
      <c r="M58" s="10">
        <v>-1.6E-2</v>
      </c>
      <c r="N58" s="10">
        <v>2.7E-2</v>
      </c>
      <c r="O58" s="10">
        <v>1.4E-2</v>
      </c>
      <c r="P58" s="10">
        <v>1.7000000000000001E-2</v>
      </c>
      <c r="Q58" s="47"/>
      <c r="R58" s="10">
        <v>-1E-3</v>
      </c>
      <c r="S58" s="10"/>
      <c r="T58" s="10"/>
      <c r="U58" s="10"/>
      <c r="V58" s="47"/>
    </row>
    <row r="59" spans="2:22" ht="20" thickBot="1" x14ac:dyDescent="0.3">
      <c r="B59" s="45" t="s">
        <v>118</v>
      </c>
      <c r="C59" s="48">
        <v>0.104</v>
      </c>
      <c r="D59" s="48">
        <v>0.19700000000000001</v>
      </c>
      <c r="E59" s="48">
        <v>8.7999999999999995E-2</v>
      </c>
      <c r="F59" s="48">
        <v>2.4E-2</v>
      </c>
      <c r="G59" s="49"/>
      <c r="H59" s="48">
        <v>0.19600000000000001</v>
      </c>
      <c r="I59" s="48">
        <v>0.1</v>
      </c>
      <c r="J59" s="48">
        <v>0.13400000000000001</v>
      </c>
      <c r="K59" s="48">
        <v>0.20300000000000001</v>
      </c>
      <c r="L59" s="49"/>
      <c r="M59" s="48">
        <v>7.3999999999999996E-2</v>
      </c>
      <c r="N59" s="48">
        <v>0.115</v>
      </c>
      <c r="O59" s="48">
        <v>1.4E-2</v>
      </c>
      <c r="P59" s="48">
        <v>-9.6000000000000002E-2</v>
      </c>
      <c r="Q59" s="49"/>
      <c r="R59" s="48">
        <v>-2.5999999999999999E-2</v>
      </c>
      <c r="S59" s="48"/>
      <c r="T59" s="48"/>
      <c r="U59" s="48"/>
      <c r="V5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7"/>
  <sheetViews>
    <sheetView showGridLines="0" workbookViewId="0">
      <selection activeCell="E7" sqref="E7"/>
    </sheetView>
  </sheetViews>
  <sheetFormatPr baseColWidth="10" defaultRowHeight="16" x14ac:dyDescent="0.2"/>
  <cols>
    <col min="3" max="3" width="34.5" bestFit="1" customWidth="1"/>
    <col min="4" max="6" width="18.6640625" bestFit="1" customWidth="1"/>
  </cols>
  <sheetData>
    <row r="4" spans="3:6" ht="62" x14ac:dyDescent="0.7">
      <c r="C4" s="29"/>
      <c r="D4" s="29">
        <v>2025</v>
      </c>
      <c r="E4" s="29">
        <v>2026</v>
      </c>
      <c r="F4" s="29">
        <v>2027</v>
      </c>
    </row>
    <row r="5" spans="3:6" ht="62" x14ac:dyDescent="0.7">
      <c r="C5" s="29" t="s">
        <v>98</v>
      </c>
      <c r="D5" s="30">
        <f>Modell!$B$9/Modell!AB11</f>
        <v>10.94170598570062</v>
      </c>
      <c r="E5" s="30">
        <f>Modell!$B$9/Modell!AC11</f>
        <v>9.8621092357860221</v>
      </c>
      <c r="F5" s="30">
        <f>Modell!$B$9/Modell!AD11</f>
        <v>8.7932645946216041</v>
      </c>
    </row>
    <row r="6" spans="3:6" ht="62" x14ac:dyDescent="0.7">
      <c r="C6" s="29" t="s">
        <v>31</v>
      </c>
      <c r="D6" s="30">
        <f>Modell!$B$9/Modell!AB13</f>
        <v>11.7872783184441</v>
      </c>
      <c r="E6" s="30">
        <f>Modell!$B$9/Modell!AC13</f>
        <v>10.580423240889749</v>
      </c>
      <c r="F6" s="30">
        <f>Modell!$B$9/Modell!AD13</f>
        <v>9.4205428618897855</v>
      </c>
    </row>
    <row r="7" spans="3:6" ht="62" x14ac:dyDescent="0.7">
      <c r="C7" s="29" t="s">
        <v>32</v>
      </c>
      <c r="D7" s="30">
        <f>Modell!$B$4/Modell!AB19</f>
        <v>12.78437528106241</v>
      </c>
      <c r="E7" s="30">
        <f>Modell!$B$4/Modell!AC19</f>
        <v>11.439698110448084</v>
      </c>
      <c r="F7" s="30">
        <f>Modell!$B$4/Modell!AD19</f>
        <v>10.174928838045213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2025-07-06T16:02:32Z</dcterms:modified>
</cp:coreProperties>
</file>